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404BA07C-CEF6-4355-B44F-72E754E7CE16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MTInputs" sheetId="3" r:id="rId12"/>
    <sheet name="Data_Energy" sheetId="4" r:id="rId13"/>
    <sheet name="Data_Prices" sheetId="5" r:id="rId14"/>
    <sheet name="Data_Macro" sheetId="6" r:id="rId15"/>
    <sheet name="Data_Elast" sheetId="7" r:id="rId16"/>
    <sheet name="Data_EF" sheetId="11" r:id="rId17"/>
    <sheet name="Check" sheetId="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8" l="1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N37" i="18" l="1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E102" i="17" l="1"/>
  <c r="D10" i="18"/>
  <c r="D11" i="18" s="1"/>
  <c r="B102" i="17"/>
  <c r="D6" i="18"/>
  <c r="D27" i="18" s="1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D23" i="18" l="1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L40" i="18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L39" i="18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M39" i="18" l="1"/>
  <c r="N932" i="8"/>
  <c r="N933" i="8" s="1"/>
  <c r="F39" i="18"/>
  <c r="M40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L38" i="18" l="1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M38" i="18" l="1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8" i="8"/>
  <c r="Q59" i="17"/>
  <c r="M83" i="17"/>
  <c r="M1867" i="8" s="1"/>
  <c r="L85" i="17"/>
  <c r="L1867" i="8"/>
  <c r="L1865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48" i="18" l="1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T1324" i="8" l="1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D51" i="18" s="1"/>
  <c r="D72" i="18" s="1"/>
  <c r="I86" i="18" s="1"/>
  <c r="I87" i="18" s="1"/>
  <c r="AA660" i="2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38" i="15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71" i="18" l="1"/>
  <c r="H86" i="18" s="1"/>
  <c r="H87" i="18" s="1"/>
  <c r="D73" i="18"/>
  <c r="J86" i="18" s="1"/>
  <c r="J87" i="18" s="1"/>
  <c r="D74" i="18"/>
  <c r="K86" i="18" s="1"/>
  <c r="K87" i="18" s="1"/>
  <c r="D67" i="18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J102" i="17" l="1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D1919" i="8" s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U60" i="17" l="1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S1868" i="8"/>
  <c r="S96" i="17"/>
  <c r="T1866" i="8"/>
  <c r="T91" i="17"/>
  <c r="T92" i="17" s="1"/>
  <c r="AE660" i="2"/>
  <c r="AE38" i="15" s="1"/>
  <c r="AE659" i="2"/>
  <c r="AE37" i="15" s="1"/>
  <c r="S85" i="17"/>
  <c r="S1867" i="8"/>
  <c r="S1865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V61" i="17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T1865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V1866" i="8" l="1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4" i="17"/>
  <c r="AA95" i="17" s="1"/>
  <c r="Z1868" i="8"/>
  <c r="Z96" i="17"/>
  <c r="Z1865" i="8" s="1"/>
  <c r="AC60" i="17"/>
  <c r="AC61" i="17" s="1"/>
  <c r="AC65" i="17" s="1"/>
  <c r="AA92" i="17"/>
  <c r="AA96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E61" i="17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<sst xmlns="http://schemas.openxmlformats.org/spreadsheetml/2006/main" count="17081" uniqueCount="3796">
  <si>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</si>
  <si>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</si>
  <si>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</si>
  <si>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</si>
  <si>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</si>
  <si>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</si>
  <si>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</si>
  <si>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</si>
  <si>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</si>
  <si>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</si>
  <si>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</si>
  <si>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</si>
  <si>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</si>
  <si>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</si>
  <si>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</si>
  <si>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</si>
  <si>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</si>
  <si>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</si>
  <si>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</si>
  <si>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</si>
  <si>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</si>
  <si>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</si>
  <si>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</si>
  <si>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</si>
  <si>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</si>
  <si>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</si>
  <si>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</si>
  <si>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</si>
  <si>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</si>
  <si>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</si>
  <si>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</si>
  <si>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</si>
  <si>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</si>
  <si>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</si>
  <si>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</si>
  <si>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</si>
  <si>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</si>
  <si>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</si>
  <si>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</si>
  <si>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</si>
  <si>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</si>
  <si>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</si>
  <si>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</si>
  <si>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</si>
  <si>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</si>
  <si>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</si>
  <si>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</si>
  <si>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</si>
  <si>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</si>
  <si>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</si>
  <si>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</si>
  <si>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</si>
  <si>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</si>
  <si>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</si>
  <si>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</si>
  <si>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</si>
  <si>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</si>
  <si>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</si>
  <si>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</si>
  <si>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</si>
  <si>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</si>
  <si>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</si>
  <si>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</si>
  <si>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</si>
  <si>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</si>
  <si>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</si>
  <si>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</si>
  <si>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</si>
  <si>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</si>
  <si>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</si>
  <si>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</si>
  <si>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</si>
  <si>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</si>
  <si>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</si>
  <si>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</si>
  <si>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</si>
  <si>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</si>
  <si>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</si>
  <si>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</si>
  <si>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</si>
  <si>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</si>
  <si>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</si>
  <si>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</si>
  <si>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</si>
  <si>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</si>
  <si>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</si>
  <si>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</si>
  <si>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</si>
  <si>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</si>
  <si>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</si>
  <si>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</si>
  <si>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</si>
  <si>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</si>
  <si>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</si>
  <si>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</si>
  <si>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</si>
  <si>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</si>
  <si>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</si>
  <si>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</si>
  <si>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</si>
  <si>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</si>
  <si>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</si>
  <si>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</si>
  <si>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</si>
  <si>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</si>
  <si>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</si>
  <si>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</si>
  <si>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</si>
  <si>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</si>
  <si>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</si>
  <si>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</si>
  <si>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</si>
  <si>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</si>
  <si>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</si>
  <si>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</si>
  <si>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</si>
  <si>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</si>
  <si>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</si>
  <si>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</si>
  <si>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</si>
  <si>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</si>
  <si>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</si>
  <si>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</si>
  <si>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</si>
  <si>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</si>
  <si>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</si>
  <si>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</si>
  <si>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</si>
  <si>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</si>
  <si>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</si>
  <si>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</si>
  <si>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</si>
  <si>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</si>
  <si>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</si>
  <si>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</si>
  <si>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</si>
  <si>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</si>
  <si>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</si>
  <si>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</si>
  <si>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</si>
  <si>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</si>
  <si>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</si>
  <si>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</si>
  <si>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</si>
  <si>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</si>
  <si>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</si>
  <si>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</si>
  <si>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</si>
  <si>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</si>
  <si>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</si>
  <si>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</si>
  <si>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</si>
  <si>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</si>
  <si>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</si>
  <si>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</si>
  <si>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</si>
  <si>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</si>
  <si>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</si>
  <si>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</si>
  <si>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</si>
  <si>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</si>
  <si>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</si>
  <si>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</si>
  <si>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</si>
  <si>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</si>
  <si>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</si>
  <si>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</si>
  <si>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</si>
  <si>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</si>
  <si>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</si>
  <si>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</si>
  <si>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</si>
  <si>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</si>
  <si>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</si>
  <si>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</si>
  <si>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</si>
  <si>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</si>
  <si>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</si>
  <si>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</si>
  <si>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</si>
  <si>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</si>
  <si>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</si>
  <si>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</si>
  <si>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</si>
  <si>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</si>
  <si>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</si>
  <si>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</si>
  <si>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</si>
  <si>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</si>
  <si>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</si>
  <si>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</si>
  <si>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</si>
  <si>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</si>
  <si>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</si>
  <si>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</si>
  <si>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</si>
  <si>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</si>
  <si>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</si>
  <si>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</si>
  <si>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</si>
  <si>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</si>
  <si>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</si>
  <si>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</si>
  <si>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</si>
  <si>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</si>
  <si>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</si>
  <si>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</si>
  <si>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</si>
  <si>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</si>
  <si>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</si>
  <si>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</si>
  <si>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</si>
  <si>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</si>
  <si>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</si>
  <si>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</si>
  <si>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</si>
  <si>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</si>
  <si>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</si>
  <si>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</si>
  <si>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</si>
  <si>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</si>
  <si>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</si>
  <si>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</si>
  <si>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</si>
  <si>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</si>
  <si>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</si>
  <si>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</si>
  <si>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</si>
  <si>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</si>
  <si>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</si>
  <si>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</si>
  <si>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</si>
  <si>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</si>
  <si>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</si>
  <si>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</si>
  <si>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</si>
  <si>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</si>
  <si>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</si>
  <si>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</si>
  <si>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</si>
  <si>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</si>
  <si>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</si>
  <si>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</si>
  <si>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</si>
  <si>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</si>
  <si>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</si>
  <si>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</si>
  <si>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</si>
  <si>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</si>
  <si>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</si>
  <si>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</si>
  <si>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</si>
  <si>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</si>
  <si>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</si>
  <si>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</si>
  <si>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</si>
  <si>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</si>
  <si>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</si>
  <si>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</si>
  <si>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</si>
  <si>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</si>
  <si>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</si>
  <si>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</si>
  <si>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</si>
  <si>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</si>
  <si>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</si>
  <si>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</si>
  <si>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</si>
  <si>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</si>
  <si>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</si>
  <si>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</si>
  <si>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</si>
  <si>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</si>
  <si>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</si>
  <si>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</si>
  <si>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</si>
  <si>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</si>
  <si>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</si>
  <si>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</si>
  <si>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</si>
  <si>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</si>
  <si>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</si>
  <si>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</si>
  <si>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</si>
  <si>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</si>
  <si>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</si>
  <si>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</si>
  <si>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</si>
  <si>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</si>
  <si>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</si>
  <si>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</si>
  <si>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</si>
  <si>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</si>
  <si>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</si>
  <si>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</si>
  <si>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</si>
  <si>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</si>
  <si>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</si>
  <si>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</si>
  <si>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</si>
  <si>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</si>
  <si>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</si>
  <si>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</si>
  <si>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</si>
  <si>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</si>
  <si>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</si>
  <si>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</si>
  <si>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</si>
  <si>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</si>
  <si>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</si>
  <si>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</si>
  <si>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</si>
  <si>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</si>
  <si>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</si>
  <si>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</si>
  <si>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</si>
  <si>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</si>
  <si>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</si>
  <si>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</si>
  <si>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</si>
  <si>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</si>
  <si>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</si>
  <si>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</si>
  <si>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</si>
  <si>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</si>
  <si>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</si>
  <si>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</si>
  <si>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</si>
  <si>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</si>
  <si>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</si>
  <si>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</si>
  <si>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</si>
  <si>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</si>
  <si>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</si>
  <si>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</si>
  <si>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</si>
  <si>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</si>
  <si>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</si>
  <si>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</si>
  <si>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</si>
  <si>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</si>
  <si>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</si>
  <si>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</si>
  <si>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</si>
  <si>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</si>
  <si>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</si>
  <si>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</si>
  <si>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</si>
  <si>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</si>
  <si>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</si>
  <si>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</si>
  <si>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</si>
  <si>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</si>
  <si>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</si>
  <si>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</si>
  <si>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</si>
  <si>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</si>
  <si>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</si>
  <si>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</si>
  <si>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</si>
  <si>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</si>
  <si>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</si>
  <si>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</si>
  <si>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</si>
  <si>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</si>
  <si>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</si>
  <si>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</si>
  <si>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</si>
  <si>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</si>
  <si>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</si>
  <si>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</si>
  <si>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</si>
  <si>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</si>
  <si>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</si>
  <si>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</si>
  <si>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</si>
  <si>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</si>
  <si>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</si>
  <si>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</si>
  <si>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</si>
  <si>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</si>
  <si>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</si>
  <si>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</si>
  <si>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</si>
  <si>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</si>
  <si>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</si>
  <si>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</si>
  <si>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</si>
  <si>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</si>
  <si>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</si>
  <si>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</si>
  <si>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</si>
  <si>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</si>
  <si>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</si>
  <si>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</si>
  <si>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</si>
  <si>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</si>
  <si>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</si>
  <si>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</si>
  <si>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</si>
  <si>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</si>
  <si>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</si>
  <si>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</si>
  <si>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</si>
  <si>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</si>
  <si>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</si>
  <si>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</si>
  <si>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</si>
  <si>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</si>
  <si>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</si>
  <si>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</si>
  <si>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</si>
  <si>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</si>
  <si>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</si>
  <si>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</si>
  <si>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</si>
  <si>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</si>
  <si>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</si>
  <si>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</si>
  <si>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</si>
  <si>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</si>
  <si>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</si>
  <si>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</si>
  <si>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</si>
  <si>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</si>
  <si>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</si>
  <si>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</si>
  <si>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</si>
  <si>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</si>
  <si>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</si>
  <si>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</si>
  <si>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</si>
  <si>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</si>
  <si>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</si>
  <si>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</si>
  <si>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</si>
  <si>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</si>
  <si>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</si>
  <si>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</si>
  <si>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</si>
  <si>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</si>
  <si>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</si>
  <si>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</si>
  <si>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</si>
  <si>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</si>
  <si>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</si>
  <si>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</si>
  <si>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</si>
  <si>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</si>
  <si>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</si>
  <si>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</si>
  <si>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</si>
  <si>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</si>
  <si>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</si>
  <si>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</si>
  <si>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</si>
  <si>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</si>
  <si>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</si>
  <si>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</si>
  <si>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</si>
  <si>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</si>
  <si>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</si>
  <si>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</si>
  <si>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</si>
  <si>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</si>
  <si>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</si>
  <si>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</si>
  <si>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</si>
  <si>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</si>
  <si>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</si>
  <si>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</si>
  <si>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</si>
  <si>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</si>
  <si>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</si>
  <si>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</si>
  <si>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</si>
  <si>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</si>
  <si>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</si>
  <si>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</si>
  <si>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</si>
  <si>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</si>
  <si>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</si>
  <si>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</si>
  <si>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</si>
  <si>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</si>
  <si>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</si>
  <si>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</si>
  <si>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</si>
  <si>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</si>
  <si>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</si>
  <si>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</si>
  <si>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</si>
  <si>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</si>
  <si>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</si>
  <si>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</si>
  <si>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</si>
  <si>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</si>
  <si>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</si>
  <si>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</si>
  <si>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</si>
  <si>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</si>
  <si>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</si>
  <si>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</si>
  <si>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</si>
  <si>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</si>
  <si>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</si>
  <si>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</si>
  <si>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</si>
  <si>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</si>
  <si>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</si>
  <si>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</si>
  <si>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</si>
  <si>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</si>
  <si>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</si>
  <si>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</si>
  <si>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</si>
  <si>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</si>
  <si>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</si>
  <si>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</si>
  <si>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</si>
  <si>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</si>
  <si>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</si>
  <si>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</si>
  <si>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</si>
  <si>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</si>
  <si>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</si>
  <si>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</si>
  <si>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</si>
  <si>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</si>
  <si>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</si>
  <si>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</si>
  <si>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</si>
  <si>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</si>
  <si>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</si>
  <si>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</si>
  <si>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</si>
  <si>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</si>
  <si>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</si>
  <si>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</si>
  <si>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</si>
  <si>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</si>
  <si>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</si>
  <si>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</si>
  <si>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</si>
  <si>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</si>
  <si>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</si>
  <si>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</si>
  <si>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</si>
  <si>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</si>
  <si>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</si>
  <si>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</si>
  <si>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</si>
  <si>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</si>
  <si>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</si>
  <si>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</si>
  <si>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</si>
  <si>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</si>
  <si>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</si>
  <si>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</si>
  <si>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</si>
  <si>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</si>
  <si>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</si>
  <si>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</si>
  <si>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</si>
  <si>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</si>
  <si>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</si>
  <si>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</si>
  <si>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</si>
  <si>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</si>
  <si>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</si>
  <si>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</si>
  <si>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</si>
  <si>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</si>
  <si>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</si>
  <si>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</si>
  <si>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</si>
  <si>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</si>
  <si>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</si>
  <si>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</si>
  <si>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</si>
  <si>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</si>
  <si>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</si>
  <si>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</si>
  <si>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</si>
  <si>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</si>
  <si>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</si>
  <si>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</si>
  <si>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</si>
  <si>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</si>
  <si>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</si>
  <si>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</si>
  <si>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</si>
  <si>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</si>
  <si>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</si>
  <si>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</si>
  <si>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</si>
  <si>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</si>
  <si>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</si>
  <si>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</si>
  <si>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</si>
  <si>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</si>
  <si>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</si>
  <si>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</si>
  <si>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</si>
  <si>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</si>
  <si>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</si>
  <si>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</si>
  <si>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</si>
  <si>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</si>
  <si>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</si>
  <si>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</si>
  <si>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</si>
  <si>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</si>
  <si>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</si>
  <si>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</si>
  <si>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</si>
  <si>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</si>
  <si>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</si>
  <si>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</si>
  <si>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</si>
  <si>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</si>
  <si>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</si>
  <si>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</si>
  <si>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</si>
  <si>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</si>
  <si>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</si>
  <si>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</si>
  <si>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</si>
  <si>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</si>
  <si>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</si>
  <si>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</si>
  <si>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</si>
  <si>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</si>
  <si>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</si>
  <si>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</si>
  <si>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</si>
  <si>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</si>
  <si>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</si>
  <si>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</si>
  <si>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</si>
  <si>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</si>
  <si>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</si>
  <si>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</si>
  <si>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</si>
  <si>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</si>
  <si>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</si>
  <si>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</si>
  <si>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</si>
  <si>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</si>
  <si>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</si>
  <si>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</si>
  <si>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</si>
  <si>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</si>
  <si>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</si>
  <si>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</si>
  <si>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</si>
  <si>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</si>
  <si>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</si>
  <si>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</si>
  <si>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</si>
  <si>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</si>
  <si>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</si>
  <si>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</si>
  <si>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</si>
  <si>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</si>
  <si>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</si>
  <si>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</si>
  <si>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</si>
  <si>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</si>
  <si>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</si>
  <si>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</si>
  <si>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</si>
  <si>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</si>
  <si>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</si>
  <si>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</si>
  <si>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</si>
  <si>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</si>
  <si>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</si>
  <si>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</si>
  <si>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</si>
  <si>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</si>
  <si>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</si>
  <si>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</si>
  <si>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</si>
  <si>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</si>
  <si>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</si>
  <si>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</si>
  <si>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</si>
  <si>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</si>
  <si>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</si>
  <si>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</si>
  <si>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</si>
  <si>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</si>
  <si>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</si>
  <si>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</si>
  <si>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</si>
  <si>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</si>
  <si>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</si>
  <si>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</si>
  <si>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</si>
  <si>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</si>
  <si>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</si>
  <si>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</si>
  <si>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</si>
  <si>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</si>
  <si>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</si>
  <si>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</si>
  <si>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</si>
  <si>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</si>
  <si>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</si>
  <si>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</si>
  <si>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</si>
  <si>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</si>
  <si>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</si>
  <si>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</si>
  <si>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</si>
  <si>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</si>
  <si>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</si>
  <si>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</si>
  <si>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</si>
  <si>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</si>
  <si>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</si>
  <si>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</si>
  <si>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</si>
  <si>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</si>
  <si>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</si>
  <si>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</si>
  <si>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</si>
  <si>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</si>
  <si>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</si>
  <si>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</si>
  <si>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</si>
  <si>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</si>
  <si>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</si>
  <si>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</si>
  <si>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</si>
  <si>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</si>
  <si>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</si>
  <si>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</si>
  <si>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</si>
  <si>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</si>
  <si>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</si>
  <si>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</si>
  <si>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</si>
  <si>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</si>
  <si>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</si>
  <si>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</si>
  <si>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</si>
  <si>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</si>
  <si>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</si>
  <si>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</si>
  <si>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</si>
  <si>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</si>
  <si>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</si>
  <si>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</si>
  <si>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</si>
  <si>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</si>
  <si>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</si>
  <si>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</si>
  <si>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</si>
  <si>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</si>
  <si>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</si>
  <si>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</si>
  <si>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</si>
  <si>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</si>
  <si>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</si>
  <si>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</si>
  <si>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</si>
  <si>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</si>
  <si>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</si>
  <si>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</si>
  <si>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</si>
  <si>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</si>
  <si>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</si>
  <si>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</si>
  <si>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</si>
  <si>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</si>
  <si>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</si>
  <si>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</si>
  <si>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</si>
  <si>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</si>
  <si>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</si>
  <si>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</si>
  <si>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</si>
  <si>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</si>
  <si>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</si>
  <si>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</si>
  <si>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</si>
  <si>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</si>
  <si>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</si>
  <si>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</si>
  <si>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</si>
  <si>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</si>
  <si>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</si>
  <si>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</si>
  <si>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</si>
  <si>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</si>
  <si>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</si>
  <si>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</si>
  <si>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</si>
  <si>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</si>
  <si>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</si>
  <si>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</si>
  <si>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</si>
  <si>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</si>
  <si>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</si>
  <si>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</si>
  <si>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</si>
  <si>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</si>
  <si>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</si>
  <si>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</si>
  <si>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</si>
  <si>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</si>
  <si>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</si>
  <si>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</si>
  <si>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</si>
  <si>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</si>
  <si>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</si>
  <si>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</si>
  <si>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</si>
  <si>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</si>
  <si>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</si>
  <si>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</si>
  <si>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</si>
  <si>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</si>
  <si>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</si>
  <si>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</si>
  <si>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</si>
  <si>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</si>
  <si>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</si>
  <si>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</si>
  <si>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</si>
  <si>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</si>
  <si>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</si>
  <si>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</si>
  <si>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</si>
  <si>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</si>
  <si>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</si>
  <si>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</si>
  <si>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</si>
  <si>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</si>
  <si>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</si>
  <si>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</si>
  <si>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</si>
  <si>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</si>
  <si>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</si>
  <si>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</si>
  <si>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</si>
  <si>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</si>
  <si>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</si>
  <si>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</si>
  <si>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</si>
  <si>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</si>
  <si>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</si>
  <si>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</si>
  <si>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</si>
  <si>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</si>
  <si>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</si>
  <si>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</si>
  <si>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</si>
  <si>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</si>
  <si>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</si>
  <si>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</si>
  <si>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</si>
  <si>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</si>
  <si>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</si>
  <si>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</si>
  <si>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</si>
  <si>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</si>
  <si>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</si>
  <si>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</si>
  <si>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</si>
  <si>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</si>
  <si>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</si>
  <si>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</si>
  <si>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</si>
  <si>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</si>
  <si>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</si>
  <si>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</si>
  <si>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</si>
  <si>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</si>
  <si>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</si>
  <si>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</si>
  <si>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</si>
  <si>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</si>
  <si>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</si>
  <si>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</si>
  <si>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</si>
  <si>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</si>
  <si>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</si>
  <si>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</si>
  <si>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</si>
  <si>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</si>
  <si>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</si>
  <si>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</si>
  <si>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</si>
  <si>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</si>
  <si>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</si>
  <si>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</si>
  <si>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</si>
  <si>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</si>
  <si>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</si>
  <si>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</si>
  <si>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</si>
  <si>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</si>
  <si>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</si>
  <si>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</si>
  <si>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</si>
  <si>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</si>
  <si>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</si>
  <si>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</si>
  <si>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</si>
  <si>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</si>
  <si>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</si>
  <si>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</si>
  <si>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</si>
  <si>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</si>
  <si>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</si>
  <si>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</si>
  <si>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</si>
  <si>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</si>
  <si>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</si>
  <si>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</si>
  <si>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</si>
  <si>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</si>
  <si>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</si>
  <si>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</si>
  <si>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</si>
  <si>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</si>
  <si>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</si>
  <si>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</si>
  <si>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</si>
  <si>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</si>
  <si>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</si>
  <si>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</si>
  <si>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</si>
  <si>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</si>
  <si>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</si>
  <si>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</si>
  <si>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</si>
  <si>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</si>
  <si>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</si>
  <si>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</si>
  <si>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</si>
  <si>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</si>
  <si>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</si>
  <si>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</si>
  <si>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</si>
  <si>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</si>
  <si>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</si>
  <si>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</si>
  <si>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</si>
  <si>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</si>
  <si>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</si>
  <si>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</si>
  <si>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</si>
  <si>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</si>
  <si>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</si>
  <si>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</si>
  <si>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</si>
  <si>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</si>
  <si>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</si>
  <si>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</si>
  <si>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</si>
  <si>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</si>
  <si>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</si>
  <si>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</si>
  <si>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</si>
  <si>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</si>
  <si>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</si>
  <si>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</si>
  <si>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</si>
  <si>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</si>
  <si>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</si>
  <si>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</si>
  <si>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</si>
  <si>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</si>
  <si>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</si>
  <si>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</si>
  <si>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</si>
  <si>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</si>
  <si>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</si>
  <si>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</si>
  <si>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</si>
  <si>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</si>
  <si>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</si>
  <si>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</si>
  <si>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</si>
  <si>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</si>
  <si>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</si>
  <si>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</si>
  <si>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</si>
  <si>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</si>
  <si>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</si>
  <si>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</si>
  <si>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</si>
  <si>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</si>
  <si>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</si>
  <si>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</si>
  <si>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</si>
  <si>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</si>
  <si>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</si>
  <si>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</si>
  <si>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</si>
  <si>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</si>
  <si>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</si>
  <si>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</si>
  <si>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</si>
  <si>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</si>
  <si>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</si>
  <si>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</si>
  <si>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</si>
  <si>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</si>
  <si>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</si>
  <si>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</si>
  <si>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</si>
  <si>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</si>
  <si>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</si>
  <si>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</si>
  <si>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</si>
  <si>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</si>
  <si>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</si>
  <si>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</si>
  <si>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</si>
  <si>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</si>
  <si>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</si>
  <si>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</si>
  <si>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</si>
  <si>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</si>
  <si>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</si>
  <si>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</si>
  <si>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</si>
  <si>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</si>
  <si>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</si>
  <si>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</si>
  <si>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</si>
  <si>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</si>
  <si>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</si>
  <si>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</si>
  <si>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</si>
  <si>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</si>
  <si>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</si>
  <si>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</si>
  <si>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</si>
  <si>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</si>
  <si>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</si>
  <si>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</si>
  <si>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</si>
  <si>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</si>
  <si>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</si>
  <si>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</si>
  <si>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</si>
  <si>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</si>
  <si>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</si>
  <si>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</si>
  <si>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</si>
  <si>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</si>
  <si>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</si>
  <si>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</si>
  <si>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</si>
  <si>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</si>
  <si>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</si>
  <si>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</si>
  <si>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</si>
  <si>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</si>
  <si>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</si>
  <si>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</si>
  <si>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</si>
  <si>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</si>
  <si>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</si>
  <si>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</si>
  <si>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</si>
  <si>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</si>
  <si>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</si>
  <si>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</si>
  <si>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</si>
  <si>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</si>
  <si>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</si>
  <si>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</si>
  <si>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</si>
  <si>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</si>
  <si>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</si>
  <si>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</si>
  <si>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</si>
  <si>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</si>
  <si>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</si>
  <si>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</si>
  <si>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</si>
  <si>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</si>
  <si>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</si>
  <si>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</si>
  <si>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</si>
  <si>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</si>
  <si>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</si>
  <si>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</si>
  <si>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</si>
  <si>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</si>
  <si>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</si>
  <si>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</si>
  <si>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</si>
  <si>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</si>
  <si>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</si>
  <si>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</si>
  <si>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</si>
  <si>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</si>
  <si>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</si>
  <si>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</si>
  <si>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</si>
  <si>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</si>
  <si>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</si>
  <si>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</si>
  <si>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</si>
  <si>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</si>
  <si>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</si>
  <si>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</si>
  <si>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</si>
  <si>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</si>
  <si>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</si>
  <si>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</si>
  <si>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</si>
  <si>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</si>
  <si>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</si>
  <si>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</si>
  <si>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</si>
  <si>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</si>
  <si>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</si>
  <si>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</si>
  <si>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</si>
  <si>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</si>
  <si>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</si>
  <si>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</si>
  <si>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</si>
  <si>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</si>
  <si>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</si>
  <si>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</si>
  <si>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</si>
  <si>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</si>
  <si>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</si>
  <si>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</si>
  <si>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</si>
  <si>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</si>
  <si>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</si>
  <si>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</si>
  <si>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</si>
  <si>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</si>
  <si>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</si>
  <si>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</si>
  <si>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</si>
  <si>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</si>
  <si>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</si>
  <si>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</si>
  <si>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</si>
  <si>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</si>
  <si>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</si>
  <si>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</si>
  <si>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</si>
  <si>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</si>
  <si>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</si>
  <si>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</si>
  <si>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</si>
  <si>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</si>
  <si>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</si>
  <si>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</si>
  <si>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</si>
  <si>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</si>
  <si>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</si>
  <si>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</si>
  <si>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</si>
  <si>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</si>
  <si>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</si>
  <si>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</si>
  <si>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</si>
  <si>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</si>
  <si>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</si>
  <si>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</si>
  <si>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</si>
  <si>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</si>
  <si>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</si>
  <si>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</si>
  <si>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</si>
  <si>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</si>
  <si>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</si>
  <si>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</si>
  <si>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</si>
  <si>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</si>
  <si>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</si>
  <si>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</si>
  <si>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</si>
  <si>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</si>
  <si>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</si>
  <si>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</si>
  <si>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</si>
  <si>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</si>
  <si>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</si>
  <si>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</si>
  <si>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</si>
  <si>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</si>
  <si>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</si>
  <si>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</si>
  <si>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</si>
  <si>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</si>
  <si>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</si>
  <si>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</si>
  <si>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</si>
  <si>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</si>
  <si>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</si>
  <si>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</si>
  <si>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</si>
  <si>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</si>
  <si>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</si>
  <si>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</si>
  <si>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</si>
  <si>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</si>
  <si>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</si>
  <si>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</si>
  <si>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</si>
  <si>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</si>
  <si>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</si>
  <si>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</si>
  <si>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</si>
  <si>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</si>
  <si>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</si>
  <si>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</si>
  <si>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</si>
  <si>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</si>
  <si>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</si>
  <si>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</si>
  <si>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</si>
  <si>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</si>
  <si>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</si>
  <si>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</si>
  <si>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</si>
  <si>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</si>
  <si>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</si>
  <si>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</si>
  <si>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</si>
  <si>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</si>
  <si>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</si>
  <si>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</si>
  <si>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</si>
  <si>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</si>
  <si>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</si>
  <si>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</si>
  <si>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</si>
  <si>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</si>
  <si>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</si>
  <si>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</si>
  <si>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</si>
  <si>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</si>
  <si>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</si>
  <si>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</si>
  <si>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</si>
  <si>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</si>
  <si>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</si>
  <si>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</si>
  <si>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</si>
  <si>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</si>
  <si>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</si>
  <si>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</si>
  <si>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</si>
  <si>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</si>
  <si>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</si>
  <si>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</si>
  <si>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</si>
  <si>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</si>
  <si>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</si>
  <si>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</si>
  <si>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</si>
  <si>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</si>
  <si>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</si>
  <si>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</si>
  <si>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</si>
  <si>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</si>
  <si>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</si>
  <si>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</si>
  <si>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</si>
  <si>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</si>
  <si>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</si>
  <si>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</si>
  <si>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</si>
  <si>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</si>
  <si>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</si>
  <si>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</si>
  <si>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</si>
  <si>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</si>
  <si>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</si>
  <si>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</si>
  <si>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</si>
  <si>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</si>
  <si>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</si>
  <si>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</si>
  <si>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</si>
  <si>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</si>
  <si>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</si>
  <si>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</si>
  <si>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</si>
  <si>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</si>
  <si>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</si>
  <si>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</si>
  <si>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</si>
  <si>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</si>
  <si>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</si>
  <si>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</si>
  <si>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</si>
  <si>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</si>
  <si>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</si>
  <si>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</si>
  <si>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</si>
  <si>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</si>
  <si>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</si>
  <si>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</si>
  <si>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</si>
  <si>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</si>
  <si>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</si>
  <si>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</si>
  <si>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</si>
  <si>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</si>
  <si>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</si>
  <si>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</si>
  <si>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</si>
  <si>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</si>
  <si>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</si>
  <si>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</si>
  <si>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</si>
  <si>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</si>
  <si>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</si>
  <si>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</si>
  <si>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</si>
  <si>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</si>
  <si>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</si>
  <si>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</si>
  <si>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</si>
  <si>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</si>
  <si>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</si>
  <si>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</si>
  <si>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</si>
  <si>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</si>
  <si>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</si>
  <si>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</si>
  <si>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</si>
  <si>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</si>
  <si>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</si>
  <si>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</si>
  <si>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</si>
  <si>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</si>
  <si>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</si>
  <si>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</si>
  <si>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</si>
  <si>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</si>
  <si>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</si>
  <si>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</si>
  <si>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</si>
  <si>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</si>
  <si>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</si>
  <si>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</si>
  <si>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</si>
  <si>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</si>
  <si>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</si>
  <si>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</si>
  <si>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</si>
  <si>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</si>
  <si>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</si>
  <si>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</si>
  <si>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</si>
  <si>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</si>
  <si>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</si>
  <si>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</si>
  <si>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</si>
  <si>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</si>
  <si>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</si>
  <si>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</si>
  <si>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</si>
  <si>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</si>
  <si>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</si>
  <si>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</si>
  <si>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</si>
  <si>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</si>
  <si>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</si>
  <si>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</si>
  <si>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</si>
  <si>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</si>
  <si>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</si>
  <si>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</si>
  <si>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</si>
  <si>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</si>
  <si>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</si>
  <si>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</si>
  <si>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</si>
  <si>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</si>
  <si>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</si>
  <si>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</si>
  <si>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</si>
  <si>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</si>
  <si>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</si>
  <si>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</si>
  <si>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</si>
  <si>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</si>
  <si>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</si>
  <si>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</si>
  <si>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</si>
  <si>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</si>
  <si>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</si>
  <si>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</si>
  <si>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</si>
  <si>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</si>
  <si>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</si>
  <si>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</si>
  <si>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</si>
  <si>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</si>
  <si>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</si>
  <si>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</si>
  <si>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</si>
  <si>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</si>
  <si>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</si>
  <si>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</si>
  <si>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</si>
  <si>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</si>
  <si>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</si>
  <si>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</si>
  <si>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</si>
  <si>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</si>
  <si>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</si>
  <si>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</si>
  <si>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</si>
  <si>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</si>
  <si>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</si>
  <si>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</si>
  <si>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</si>
  <si>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</si>
  <si>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</si>
  <si>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</si>
  <si>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</si>
  <si>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</si>
  <si>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</si>
  <si>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</si>
  <si>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</si>
  <si>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</si>
  <si>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</si>
  <si>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</si>
  <si>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</si>
  <si>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</si>
  <si>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</si>
  <si>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</si>
  <si>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</si>
  <si>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</si>
  <si>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</si>
  <si>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</si>
  <si>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</si>
  <si>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</si>
  <si>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</si>
  <si>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</si>
  <si>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</si>
  <si>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</si>
  <si>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</si>
  <si>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</si>
  <si>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</si>
  <si>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</si>
  <si>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</si>
  <si>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</si>
  <si>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</si>
  <si>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</si>
  <si>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</si>
  <si>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</si>
  <si>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</si>
  <si>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</si>
  <si>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</si>
  <si>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</si>
  <si>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</si>
  <si>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</si>
  <si>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</si>
  <si>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</si>
  <si>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</si>
  <si>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</si>
  <si>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</si>
  <si>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</si>
  <si>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</si>
  <si>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</si>
  <si>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</si>
  <si>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</si>
  <si>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</si>
  <si>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</si>
  <si>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</si>
  <si>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</si>
  <si>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</si>
  <si>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</si>
  <si>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</si>
  <si>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</si>
  <si>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</si>
  <si>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</si>
  <si>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</si>
  <si>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</si>
  <si>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</si>
  <si>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</si>
  <si>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</si>
  <si>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</si>
  <si>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</si>
  <si>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</si>
  <si>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</si>
  <si>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</si>
  <si>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</si>
  <si>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</si>
  <si>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</si>
  <si>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</si>
  <si>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</si>
  <si>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</si>
  <si>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</si>
  <si>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</si>
  <si>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</si>
  <si>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</si>
  <si>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</si>
  <si>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</si>
  <si>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</si>
  <si>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</si>
  <si>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</si>
  <si>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</si>
  <si>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</si>
  <si>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</si>
  <si>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</si>
  <si>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</si>
  <si>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</si>
  <si>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</si>
  <si>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</si>
  <si>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</si>
  <si>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</si>
  <si>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</si>
  <si>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</si>
  <si>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</si>
  <si>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</si>
  <si>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</si>
  <si>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</si>
  <si>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</si>
  <si>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</si>
  <si>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</si>
  <si>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</si>
  <si>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</si>
  <si>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</si>
  <si>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</si>
  <si>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</si>
  <si>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</si>
  <si>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</si>
  <si>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</si>
  <si>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</si>
  <si>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</si>
  <si>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</si>
  <si>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</si>
  <si>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</si>
  <si>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</si>
  <si>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</si>
  <si>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</si>
  <si>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</si>
  <si>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</si>
  <si>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</si>
  <si>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</si>
  <si>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</si>
  <si>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</si>
  <si>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</si>
  <si>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</si>
  <si>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</si>
  <si>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</si>
  <si>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</si>
  <si>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</si>
  <si>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</si>
  <si>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</si>
  <si>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</si>
  <si>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</si>
  <si>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</si>
  <si>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</si>
  <si>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</si>
  <si>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</si>
  <si>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</si>
  <si>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</si>
  <si>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</si>
  <si>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</si>
  <si>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</si>
  <si>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</si>
  <si>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</si>
  <si>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</si>
  <si>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</si>
  <si>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</si>
  <si>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</si>
  <si>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</si>
  <si>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</si>
  <si>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</si>
  <si>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</si>
  <si>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</si>
  <si>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</si>
  <si>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</si>
  <si>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</si>
  <si>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</si>
  <si>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</si>
  <si>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</si>
  <si>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</si>
  <si>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</si>
  <si>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</si>
  <si>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</si>
  <si>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</si>
  <si>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</si>
  <si>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</si>
  <si>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</si>
  <si>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</si>
  <si>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</si>
  <si>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</si>
  <si>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</si>
  <si>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</si>
  <si>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</si>
  <si>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</si>
  <si>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</si>
  <si>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</si>
  <si>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</si>
  <si>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</si>
  <si>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</si>
  <si>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</si>
  <si>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</si>
  <si>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</si>
  <si>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</si>
  <si>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</si>
  <si>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</si>
  <si>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</si>
  <si>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</si>
  <si>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</si>
  <si>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</si>
  <si>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</si>
  <si>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</si>
  <si>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</si>
  <si>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</si>
  <si>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</si>
  <si>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</si>
  <si>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</si>
  <si>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</si>
  <si>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</si>
  <si>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</si>
  <si>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</si>
  <si>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</si>
  <si>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</si>
  <si>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</si>
  <si>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</si>
  <si>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</si>
  <si>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</si>
  <si>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</si>
  <si>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</si>
  <si>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</si>
  <si>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</si>
  <si>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</si>
  <si>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</si>
  <si>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</si>
  <si>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</si>
  <si>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</si>
  <si>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</si>
  <si>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</si>
  <si>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</si>
  <si>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</si>
  <si>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</si>
  <si>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</si>
  <si>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</si>
  <si>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</si>
  <si>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</si>
  <si>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</si>
  <si>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</si>
  <si>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</si>
  <si>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</si>
  <si>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</si>
  <si>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</si>
  <si>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</si>
  <si>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</si>
  <si>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</si>
  <si>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</si>
  <si>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</si>
  <si>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</si>
  <si>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</si>
  <si>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</si>
  <si>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</si>
  <si>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</si>
  <si>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</si>
  <si>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</si>
  <si>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</si>
  <si>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</si>
  <si>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</si>
  <si>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</si>
  <si>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</si>
  <si>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</si>
  <si>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</si>
  <si>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</si>
  <si>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</si>
  <si>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</si>
  <si>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</si>
  <si>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</si>
  <si>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</si>
  <si>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</si>
  <si>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</si>
  <si>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</si>
  <si>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</si>
  <si>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</si>
  <si>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</si>
  <si>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</si>
  <si>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</si>
  <si>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</si>
  <si>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</si>
  <si>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</si>
  <si>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</si>
  <si>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</si>
  <si>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</si>
  <si>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</si>
  <si>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</si>
  <si>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</si>
  <si>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</si>
  <si>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</si>
  <si>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</si>
  <si>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</si>
  <si>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</si>
  <si>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</si>
  <si>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</si>
  <si>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</si>
  <si>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</si>
  <si>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</si>
  <si>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</si>
  <si>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</si>
  <si>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</si>
  <si>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</si>
  <si>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</si>
  <si>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</si>
  <si>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</si>
  <si>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</si>
  <si>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</si>
  <si>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</si>
  <si>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</si>
  <si>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</si>
  <si>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</si>
  <si>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</si>
  <si>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</si>
  <si>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</si>
  <si>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</si>
  <si>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</si>
  <si>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</si>
  <si>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</si>
  <si>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</si>
  <si>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</si>
  <si>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</si>
  <si>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</si>
  <si>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</si>
  <si>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</si>
  <si>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</si>
  <si>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</si>
  <si>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</si>
  <si>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</si>
  <si>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</si>
  <si>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</si>
  <si>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</si>
  <si>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</si>
  <si>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</si>
  <si>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</si>
  <si>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</si>
  <si>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</si>
  <si>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</si>
  <si>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</si>
  <si>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</si>
  <si>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</si>
  <si>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</si>
  <si>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</si>
  <si>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</si>
  <si>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</si>
  <si>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</si>
  <si>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</si>
  <si>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</si>
  <si>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</si>
  <si>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</si>
  <si>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</si>
  <si>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</si>
  <si>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</si>
  <si>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</si>
  <si>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</si>
  <si>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</si>
  <si>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</si>
  <si>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</si>
  <si>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</si>
  <si>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</si>
  <si>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</si>
  <si>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</si>
  <si>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</si>
  <si>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</si>
  <si>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</si>
  <si>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</si>
  <si>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</si>
  <si>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</si>
  <si>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</si>
  <si>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</si>
  <si>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</si>
  <si>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</si>
  <si>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</si>
  <si>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</si>
  <si>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</si>
  <si>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</si>
  <si>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</si>
  <si>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</si>
  <si>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</si>
  <si>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</si>
  <si>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</si>
  <si>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</si>
  <si>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</si>
  <si>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</si>
  <si>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</si>
  <si>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</si>
  <si>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</si>
  <si>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</si>
  <si>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</si>
  <si>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</si>
  <si>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</si>
  <si>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</si>
  <si>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</si>
  <si>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</si>
  <si>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</si>
  <si>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</si>
  <si>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</si>
  <si>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</si>
  <si>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</si>
  <si>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</si>
  <si>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</si>
  <si>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</si>
  <si>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</si>
  <si>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</si>
  <si>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</si>
  <si>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</si>
  <si>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</si>
  <si>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</si>
  <si>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</si>
  <si>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</si>
  <si>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</si>
  <si>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</si>
  <si>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</si>
  <si>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</si>
  <si>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</si>
  <si>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</si>
  <si>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</si>
  <si>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</si>
  <si>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</si>
  <si>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</si>
  <si>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</si>
  <si>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</si>
  <si>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</si>
  <si>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</si>
  <si>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</si>
  <si>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</si>
  <si>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</si>
  <si>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</si>
  <si>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</si>
  <si>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</si>
  <si>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</si>
  <si>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</si>
  <si>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</si>
  <si>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</si>
  <si>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</si>
  <si>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</si>
  <si>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</si>
  <si>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</si>
  <si>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</si>
  <si>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</si>
  <si>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</si>
  <si>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</si>
  <si>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</si>
  <si>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</si>
  <si>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</si>
  <si>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</si>
  <si>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</si>
  <si>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</si>
  <si>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</si>
  <si>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</si>
  <si>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</si>
  <si>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</si>
  <si>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</si>
  <si>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</si>
  <si>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</si>
  <si>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</si>
  <si>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</si>
  <si>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</si>
  <si>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</si>
  <si>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</si>
  <si>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</si>
  <si>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</si>
  <si>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</si>
  <si>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</si>
  <si>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</si>
  <si>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</si>
  <si>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</si>
  <si>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</si>
  <si>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</si>
  <si>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</si>
  <si>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</si>
  <si>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</si>
  <si>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</si>
  <si>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</si>
  <si>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</si>
  <si>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</si>
  <si>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</si>
  <si>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</si>
  <si>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</si>
  <si>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</si>
  <si>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</si>
  <si>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</si>
  <si>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</si>
  <si>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</si>
  <si>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</si>
  <si>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</si>
  <si>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</si>
  <si>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</si>
  <si>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</si>
  <si>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</si>
  <si>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</si>
  <si>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</si>
  <si>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</si>
  <si>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</si>
  <si>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</si>
  <si>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</si>
  <si>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</si>
  <si>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</si>
  <si>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</si>
  <si>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</si>
  <si>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</si>
  <si>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</si>
  <si>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</si>
  <si>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</si>
  <si>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</si>
  <si>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</si>
  <si>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</si>
  <si>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</si>
  <si>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</si>
  <si>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</si>
  <si>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</si>
  <si>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</si>
  <si>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</si>
  <si>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</si>
  <si>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</si>
  <si>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</si>
  <si>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</si>
  <si>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</si>
  <si>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</si>
  <si>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</si>
  <si>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</si>
  <si>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</si>
  <si>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</si>
  <si>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</si>
  <si>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</si>
  <si>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</si>
  <si>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</si>
  <si>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</si>
  <si>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</si>
  <si>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</si>
  <si>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</si>
  <si>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</si>
  <si>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</si>
  <si>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</si>
  <si>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</si>
  <si>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</si>
  <si>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</si>
  <si>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</si>
  <si>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</si>
  <si>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</si>
  <si>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</si>
  <si>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</si>
  <si>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</si>
  <si>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</si>
  <si>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</si>
  <si>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</si>
  <si>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</si>
  <si>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</si>
  <si>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</si>
  <si>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</si>
  <si>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</si>
  <si>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</si>
  <si>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</si>
  <si>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</si>
  <si>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</si>
  <si>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</si>
  <si>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</si>
  <si>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</si>
  <si>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</si>
  <si>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</si>
  <si>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</si>
  <si>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</si>
  <si>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</si>
  <si>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</si>
  <si>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</si>
  <si>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</si>
  <si>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</si>
  <si>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</si>
  <si>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</si>
  <si>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</si>
  <si>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</si>
  <si>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</si>
  <si>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</si>
  <si>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</si>
  <si>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</si>
  <si>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</si>
  <si>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</si>
  <si>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</si>
  <si>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</si>
  <si>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</si>
  <si>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</si>
  <si>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</si>
  <si>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</si>
  <si>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</si>
  <si>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</si>
  <si>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</si>
  <si>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</si>
  <si>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</si>
  <si>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</si>
  <si>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</si>
  <si>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</si>
  <si>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</si>
  <si>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</si>
  <si>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</si>
  <si>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</si>
  <si>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</si>
  <si>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</si>
  <si>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</si>
  <si>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</si>
  <si>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</si>
  <si>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</si>
  <si>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</si>
  <si>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</si>
  <si>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</si>
  <si>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</si>
  <si>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</si>
  <si>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</si>
  <si>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</si>
  <si>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</si>
  <si>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</si>
  <si>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</si>
  <si>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</si>
  <si>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</si>
  <si>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</si>
  <si>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</si>
  <si>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</si>
  <si>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</si>
  <si>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</si>
  <si>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</si>
  <si>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</si>
  <si>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</si>
  <si>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</si>
  <si>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</si>
  <si>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</si>
  <si>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</si>
  <si>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</si>
  <si>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</si>
  <si>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</si>
  <si>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</si>
  <si>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</si>
  <si>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</si>
  <si>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</si>
  <si>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</si>
  <si>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</si>
  <si>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</si>
  <si>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</si>
  <si>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</si>
  <si>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</si>
  <si>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</si>
  <si>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</si>
  <si>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</si>
  <si>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</si>
  <si>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</si>
  <si>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</si>
  <si>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</si>
  <si>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</si>
  <si>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</si>
  <si>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</si>
  <si>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</si>
  <si>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</si>
  <si>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</si>
  <si>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</si>
  <si>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</si>
  <si>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</si>
  <si>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</si>
  <si>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</si>
  <si>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</si>
  <si>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</si>
  <si>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</si>
  <si>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</si>
  <si>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</si>
  <si>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</si>
  <si>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</si>
  <si>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</si>
  <si>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</si>
  <si>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</si>
  <si>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</si>
  <si>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</si>
  <si>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</si>
  <si>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</si>
  <si>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</si>
  <si>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</si>
  <si>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</si>
  <si>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</si>
  <si>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</si>
  <si>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</si>
  <si>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</si>
  <si>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</si>
  <si>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</si>
  <si>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</si>
  <si>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</si>
  <si>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</si>
  <si>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</si>
  <si>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</si>
  <si>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</si>
  <si>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</si>
  <si>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</si>
  <si>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</si>
  <si>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</si>
  <si>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</si>
  <si>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</si>
  <si>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</si>
  <si>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</si>
  <si>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</si>
  <si>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</si>
  <si>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</si>
  <si>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</si>
  <si>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</si>
  <si>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</si>
  <si>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</si>
  <si>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</si>
  <si>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</si>
  <si>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</si>
  <si>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</si>
  <si>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</si>
  <si>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</si>
  <si>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</si>
  <si>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</si>
  <si>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</si>
  <si>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</si>
  <si>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</si>
  <si>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</si>
  <si>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</si>
  <si>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</si>
  <si>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</si>
  <si>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</si>
  <si>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</si>
  <si>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</si>
  <si>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</si>
  <si>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</si>
  <si>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</si>
  <si>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</si>
  <si>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</si>
  <si>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</si>
  <si>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</si>
  <si>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</si>
  <si>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</si>
  <si>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</si>
  <si>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</si>
  <si>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</si>
  <si>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</si>
  <si>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</si>
  <si>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</si>
  <si>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</si>
  <si>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</si>
  <si>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</si>
  <si>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</si>
  <si>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</si>
  <si>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</si>
  <si>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</si>
  <si>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</si>
  <si>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</si>
  <si>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</si>
  <si>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</si>
  <si>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</si>
  <si>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</si>
  <si>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</si>
  <si>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</si>
  <si>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</si>
  <si>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</si>
  <si>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</si>
  <si>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</si>
  <si>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</si>
  <si>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</si>
  <si>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</si>
  <si>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</si>
  <si>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</si>
  <si>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</si>
  <si>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</si>
  <si>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</si>
  <si>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</si>
  <si>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</si>
  <si>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</si>
  <si>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</si>
  <si>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</si>
  <si>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</si>
  <si>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</si>
  <si>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</si>
  <si>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</si>
  <si>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</si>
  <si>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</si>
  <si>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</si>
  <si>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</si>
  <si>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</si>
  <si>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</si>
  <si>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</si>
  <si>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</si>
  <si>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</si>
  <si>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</si>
  <si>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</si>
  <si>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</si>
  <si>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</si>
  <si>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</si>
  <si>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</si>
  <si>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</si>
  <si>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</si>
  <si>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</si>
  <si>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</si>
  <si>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</si>
  <si>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</si>
  <si>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</si>
  <si>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</si>
  <si>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</si>
  <si>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</si>
  <si>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</si>
  <si>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</si>
  <si>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</si>
  <si>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</si>
  <si>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</si>
  <si>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</si>
  <si>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</si>
  <si>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</si>
  <si>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</si>
  <si>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</si>
  <si>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</si>
  <si>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</si>
  <si>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</si>
  <si>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</si>
  <si>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</si>
  <si>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</si>
  <si>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</si>
  <si>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</si>
  <si>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</si>
  <si>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</si>
  <si>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</si>
  <si>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</si>
  <si>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</si>
  <si>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</si>
  <si>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</si>
  <si>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</si>
  <si>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</si>
  <si>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</si>
  <si>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</si>
  <si>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</si>
  <si>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</si>
  <si>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</si>
  <si>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</si>
  <si>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</si>
  <si>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</si>
  <si>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</si>
  <si>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</si>
  <si>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</si>
  <si>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</si>
  <si>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</si>
  <si>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</si>
  <si>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</si>
  <si>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</si>
  <si>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</si>
  <si>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</si>
  <si>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</si>
  <si>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</si>
  <si>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</si>
  <si>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</si>
  <si>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</si>
  <si>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</si>
  <si>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</si>
  <si>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</si>
  <si>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</si>
  <si>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</si>
  <si>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</si>
  <si>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</si>
  <si>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</si>
  <si>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</si>
  <si>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</si>
  <si>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</si>
  <si>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</si>
  <si>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</si>
  <si>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</si>
  <si>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</si>
  <si>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</si>
  <si>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</si>
  <si>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</si>
  <si>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</si>
  <si>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</si>
  <si>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</si>
  <si>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</si>
  <si>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</si>
  <si>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</si>
  <si>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</si>
  <si>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</si>
  <si>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</si>
  <si>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</si>
  <si>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</si>
  <si>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</si>
  <si>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</si>
  <si>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</si>
  <si>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</si>
  <si>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</si>
  <si>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</si>
  <si>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</si>
  <si>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</si>
  <si>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</si>
  <si>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</si>
  <si>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</si>
  <si>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</si>
  <si>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</si>
  <si>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</si>
  <si>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</si>
  <si>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</si>
  <si>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</si>
  <si>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</si>
  <si>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</si>
  <si>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</si>
  <si>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</si>
  <si>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</si>
  <si>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</si>
  <si>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</si>
  <si>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</si>
  <si>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</si>
  <si>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</si>
  <si>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</si>
  <si>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</si>
  <si>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</si>
  <si>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</si>
  <si>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</si>
  <si>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</si>
  <si>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</si>
  <si>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</si>
  <si>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</si>
  <si>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</si>
  <si>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</si>
  <si>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</si>
  <si>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</si>
  <si>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</si>
  <si>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</si>
  <si>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</si>
  <si>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</si>
  <si>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</si>
  <si>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</si>
  <si>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</si>
  <si>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</si>
  <si>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</si>
  <si>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</si>
  <si>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</si>
  <si>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</si>
  <si>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</si>
  <si>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</si>
  <si>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</si>
  <si>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</si>
  <si>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</si>
  <si>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</si>
  <si>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</si>
  <si>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</si>
  <si>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</si>
  <si>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</si>
  <si>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</si>
  <si>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</si>
  <si>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</si>
  <si>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</si>
  <si>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</si>
  <si>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</si>
  <si>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</si>
  <si>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</si>
  <si>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</si>
  <si>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</si>
  <si>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</si>
  <si>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</si>
  <si>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</si>
  <si>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</si>
  <si>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</si>
  <si>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</si>
  <si>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</si>
  <si>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</si>
  <si>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</si>
  <si>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</si>
  <si>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</si>
  <si>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</si>
  <si>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</si>
  <si>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</si>
  <si>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</si>
  <si>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</si>
  <si>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</si>
  <si>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</si>
  <si>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</si>
  <si>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</si>
  <si>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</si>
  <si>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</si>
  <si>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</si>
  <si>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</si>
  <si>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</si>
  <si>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</si>
  <si>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</si>
  <si>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</si>
  <si>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</si>
  <si>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</si>
  <si>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</si>
  <si>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</si>
  <si>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</si>
  <si>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</si>
  <si>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</si>
  <si>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</si>
  <si>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</si>
  <si>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</si>
  <si>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</si>
  <si>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</si>
  <si>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</si>
  <si>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</si>
  <si>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</si>
  <si>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</si>
  <si>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</si>
  <si>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</si>
  <si>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</si>
  <si>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</si>
  <si>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</si>
  <si>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</si>
  <si>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</si>
  <si>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</si>
  <si>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</si>
  <si>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</si>
  <si>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</si>
  <si>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</si>
  <si>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</si>
  <si>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</si>
  <si>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</si>
  <si>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</si>
  <si>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</si>
  <si>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</si>
  <si>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</si>
  <si>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</si>
  <si>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</si>
  <si>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</si>
  <si>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</si>
  <si>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</si>
  <si>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</si>
  <si>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</si>
  <si>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</si>
  <si>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</si>
  <si>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</si>
  <si>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</si>
  <si>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</si>
  <si>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</si>
  <si>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</si>
  <si>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</si>
  <si>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</si>
  <si>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</si>
  <si>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</si>
  <si>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</si>
  <si>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</si>
  <si>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</si>
  <si>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</si>
  <si>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</si>
  <si>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</si>
  <si>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</si>
  <si>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</si>
  <si>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</si>
  <si>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</si>
  <si>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</si>
  <si>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</si>
  <si>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</si>
  <si>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</si>
  <si>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</si>
  <si>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</si>
  <si>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</si>
  <si>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</si>
  <si>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</si>
  <si>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</si>
  <si>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</si>
  <si>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</si>
  <si>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</si>
  <si>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</si>
  <si>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</si>
  <si>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</si>
  <si>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</si>
  <si>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</si>
  <si>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</si>
  <si>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</si>
  <si>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</si>
  <si>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</si>
  <si>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</si>
  <si>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</si>
  <si>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</si>
  <si>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</si>
  <si>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</si>
  <si>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</si>
  <si>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</si>
  <si>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</si>
  <si>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</si>
  <si>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</si>
  <si>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</si>
  <si>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</si>
  <si>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</si>
  <si>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</si>
  <si>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</si>
  <si>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</si>
  <si>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</si>
  <si>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</si>
  <si>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</si>
  <si>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</si>
  <si>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</si>
  <si>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</si>
  <si>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</si>
  <si>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</si>
  <si>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</si>
  <si>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</si>
  <si>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</si>
  <si>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</si>
  <si>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</si>
  <si>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</si>
  <si>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</si>
  <si>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</si>
  <si>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</si>
  <si>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</si>
  <si>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</si>
  <si>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</si>
  <si>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</si>
  <si>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</si>
  <si>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</si>
  <si>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</si>
  <si>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</si>
  <si>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</si>
  <si>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</si>
  <si>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</si>
  <si>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</si>
  <si>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</si>
  <si>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</si>
  <si>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</si>
  <si>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</si>
  <si>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</si>
  <si>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</si>
  <si>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</si>
  <si>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</si>
  <si>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</si>
  <si>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</si>
  <si>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</si>
  <si>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</si>
  <si>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</si>
  <si>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</si>
  <si>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</si>
  <si>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</si>
  <si>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</si>
  <si>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</si>
  <si>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</si>
  <si>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</si>
  <si>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</si>
  <si>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</si>
  <si>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</si>
  <si>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</si>
  <si>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</si>
  <si>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</si>
  <si>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</si>
  <si>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</si>
  <si>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</si>
  <si>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</si>
  <si>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</si>
  <si>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</si>
  <si>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</si>
  <si>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</si>
  <si>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</si>
  <si>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</si>
  <si>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</si>
  <si>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</si>
  <si>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</si>
  <si>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</si>
  <si>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</si>
  <si>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</si>
  <si>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</si>
  <si>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</si>
  <si>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</si>
  <si>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</si>
  <si>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</si>
  <si>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</si>
  <si>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</si>
  <si>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</si>
  <si>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</si>
  <si>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</si>
  <si>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</si>
  <si>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</si>
  <si>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</si>
  <si>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</si>
  <si>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</si>
  <si>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</si>
  <si>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</si>
  <si>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</si>
  <si>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</si>
  <si>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</si>
  <si>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</si>
  <si>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</si>
  <si>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</si>
  <si>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</si>
  <si>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</si>
  <si>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</si>
  <si>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</si>
  <si>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</si>
  <si>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</si>
  <si>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</si>
  <si>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</si>
  <si>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</si>
  <si>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</si>
  <si>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</si>
  <si>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</si>
  <si>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</si>
  <si>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</si>
  <si>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</si>
  <si>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</si>
  <si>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</si>
  <si>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</si>
  <si>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</si>
  <si>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</si>
  <si>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</si>
  <si>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</si>
  <si>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</si>
  <si>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</si>
  <si>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</si>
  <si>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</si>
  <si>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</si>
  <si>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</si>
  <si>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</si>
  <si>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</si>
  <si>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</si>
  <si>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</si>
  <si>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</si>
  <si>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</si>
  <si>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</si>
  <si>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</si>
  <si>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</si>
  <si>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</si>
  <si>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</si>
  <si>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</si>
  <si>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</si>
  <si>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</si>
  <si>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</si>
  <si>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</si>
  <si>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</si>
  <si>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</si>
  <si>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</si>
  <si>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</si>
  <si>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</si>
  <si>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</si>
  <si>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</si>
  <si>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</si>
  <si>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</si>
  <si>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</si>
  <si>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</si>
  <si>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</si>
  <si>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</si>
  <si>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</si>
  <si>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</si>
  <si>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</si>
  <si>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</si>
  <si>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</si>
  <si>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</si>
  <si>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</si>
  <si>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</si>
  <si>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</si>
  <si>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</si>
  <si>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</si>
  <si>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</si>
  <si>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</si>
  <si>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</si>
  <si>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</si>
  <si>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</si>
  <si>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</si>
  <si>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</si>
  <si>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</si>
  <si>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</si>
  <si>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</si>
  <si>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</si>
  <si>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</si>
  <si>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</si>
  <si>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</si>
  <si>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</si>
  <si>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</si>
  <si>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</si>
  <si>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</si>
  <si>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</si>
  <si>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</si>
  <si>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</si>
  <si>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</si>
  <si>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</si>
  <si>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</si>
  <si>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</si>
  <si>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</si>
  <si>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</si>
  <si>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</si>
  <si>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</si>
  <si>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</si>
  <si>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</si>
  <si>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</si>
  <si>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</si>
  <si>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</si>
  <si>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</si>
  <si>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</si>
  <si>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</si>
  <si>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</si>
  <si>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</si>
  <si>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</si>
  <si>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</si>
  <si>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</si>
  <si>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</si>
  <si>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</si>
  <si>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</si>
  <si>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</si>
  <si>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</si>
  <si>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</si>
  <si>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</si>
  <si>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</si>
  <si>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</si>
  <si>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</si>
  <si>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</si>
  <si>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</si>
  <si>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</si>
  <si>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</si>
  <si>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</si>
  <si>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</si>
  <si>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</si>
  <si>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</si>
  <si>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</si>
  <si>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</si>
  <si>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</si>
  <si>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</si>
  <si>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</si>
  <si>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</si>
  <si>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</si>
  <si>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</si>
  <si>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</si>
  <si>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</si>
  <si>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</si>
  <si>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</si>
  <si>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</si>
  <si>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</si>
  <si>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</si>
  <si>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</si>
  <si>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</si>
  <si>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</si>
  <si>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</si>
  <si>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</si>
  <si>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</si>
  <si>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</si>
  <si>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</si>
  <si>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</si>
  <si>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</si>
  <si>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</si>
  <si>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</si>
  <si>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</si>
  <si>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</si>
  <si>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</si>
  <si>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</si>
  <si>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</si>
  <si>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</si>
  <si>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</si>
  <si>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</si>
  <si>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</si>
  <si>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</si>
  <si>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</si>
  <si>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</si>
  <si>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</si>
  <si>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</si>
  <si>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</si>
  <si>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</si>
  <si>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</si>
  <si>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</si>
  <si>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</si>
  <si>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</si>
  <si>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</si>
  <si>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</si>
  <si>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</si>
  <si>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</si>
  <si>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</si>
  <si>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</si>
  <si>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</si>
  <si>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</si>
  <si>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</si>
  <si>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</si>
  <si>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</si>
  <si>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</si>
  <si>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</si>
  <si>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</si>
  <si>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</si>
  <si>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</si>
  <si>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</si>
  <si>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</si>
  <si>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</si>
  <si>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</si>
  <si>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</si>
  <si>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</si>
  <si>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</si>
  <si>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</si>
  <si>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</si>
  <si>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</si>
  <si>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</si>
  <si>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</si>
  <si>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</si>
  <si>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</si>
  <si>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</si>
  <si>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</si>
  <si>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</si>
  <si>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</si>
  <si>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</si>
  <si>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</si>
  <si>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</si>
  <si>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</si>
  <si>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</si>
  <si>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</si>
  <si>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</si>
  <si>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</si>
  <si>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</si>
  <si>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</si>
  <si>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</si>
  <si>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</si>
  <si>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</si>
  <si>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</si>
  <si>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</si>
  <si>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</si>
  <si>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</si>
  <si>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</si>
  <si>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</si>
  <si>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</si>
  <si>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</si>
  <si>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</si>
  <si>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</si>
  <si>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</si>
  <si>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</si>
  <si>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</si>
  <si>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</si>
  <si>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</si>
  <si>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</si>
  <si>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</si>
  <si>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</si>
  <si>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</si>
  <si>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</si>
  <si>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</si>
  <si>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</si>
  <si>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</si>
  <si>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</si>
  <si>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</si>
  <si>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</si>
  <si>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</si>
  <si>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</si>
  <si>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</si>
  <si>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</si>
  <si>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</si>
  <si>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</si>
  <si>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</si>
  <si>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</si>
  <si>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</si>
  <si>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</si>
  <si>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</si>
  <si>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</si>
  <si>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</si>
  <si>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</si>
  <si>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</si>
  <si>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</si>
  <si>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</si>
  <si>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</si>
  <si>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</si>
  <si>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</si>
  <si>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</si>
  <si>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</si>
  <si>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</si>
  <si>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</si>
  <si>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</si>
  <si>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</si>
  <si>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</si>
  <si>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</si>
  <si>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</si>
  <si>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</si>
  <si>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</si>
  <si>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</si>
  <si>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</si>
  <si>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</si>
  <si>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</si>
  <si>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</si>
  <si>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</si>
  <si>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</si>
  <si>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</si>
  <si>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</si>
  <si>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</si>
  <si>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</si>
  <si>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</si>
  <si>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</si>
  <si>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</si>
  <si>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</si>
  <si>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</si>
  <si>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</si>
  <si>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</si>
  <si>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</si>
  <si>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</si>
  <si>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</si>
  <si>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</si>
  <si>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</si>
  <si>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</si>
  <si>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</si>
  <si>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</si>
  <si>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</si>
  <si>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</si>
  <si>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</si>
  <si>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</si>
  <si>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</si>
  <si>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</si>
  <si>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</si>
  <si>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</si>
  <si>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</si>
  <si>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</si>
  <si>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</si>
  <si>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</si>
  <si>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</si>
  <si>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</si>
  <si>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</si>
  <si>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</si>
  <si>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</si>
  <si>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</si>
  <si>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</si>
  <si>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</si>
  <si>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</si>
  <si>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</si>
  <si>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</si>
  <si>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</si>
  <si>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</si>
  <si>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</si>
  <si>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</si>
  <si>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</si>
  <si>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</si>
  <si>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</si>
  <si>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</si>
  <si>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</si>
  <si>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</si>
  <si>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</si>
  <si>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</si>
  <si>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</si>
  <si>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</si>
  <si>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</si>
  <si>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</si>
  <si>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</si>
  <si>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</si>
  <si>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</si>
  <si>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</si>
  <si>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</si>
  <si>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</si>
  <si>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</si>
  <si>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</si>
  <si>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</si>
  <si>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</si>
  <si>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</si>
  <si>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</si>
  <si>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</si>
  <si>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</si>
  <si>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</si>
  <si>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</si>
  <si>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</si>
  <si>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</si>
  <si>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</si>
  <si>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</si>
  <si>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</si>
  <si>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</si>
  <si>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</si>
  <si>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</si>
  <si>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</si>
  <si>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</si>
  <si>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</si>
  <si>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</si>
  <si>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</si>
  <si>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</si>
  <si>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</si>
  <si>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</si>
  <si>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</si>
  <si>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</si>
  <si>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</si>
  <si>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</si>
  <si>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</si>
  <si>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</si>
  <si>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</si>
  <si>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</si>
  <si>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</si>
  <si>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</si>
  <si>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</si>
  <si>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</si>
  <si>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</si>
  <si>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</si>
  <si>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</si>
  <si>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</si>
  <si>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</si>
  <si>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</si>
  <si>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</si>
  <si>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</si>
  <si>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</si>
  <si>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</si>
  <si>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</si>
  <si>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</si>
  <si>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</si>
  <si>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</si>
  <si>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</si>
  <si>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</si>
  <si>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</si>
  <si>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</si>
  <si>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</si>
  <si>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</si>
  <si>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</si>
  <si>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</si>
  <si>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</si>
  <si>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</si>
  <si>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</si>
  <si>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</si>
  <si>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</si>
  <si>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</si>
  <si>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</si>
  <si>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</si>
  <si>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</si>
  <si>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</si>
  <si>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</si>
  <si>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</si>
  <si>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</si>
  <si>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</si>
  <si>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</si>
  <si>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</si>
  <si>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</si>
  <si>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</si>
  <si>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</si>
  <si>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</si>
  <si>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</si>
  <si>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</si>
  <si>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</si>
  <si>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</si>
  <si>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</si>
  <si>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</si>
  <si>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</si>
  <si>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</si>
  <si>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</si>
  <si>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</si>
  <si>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</si>
  <si>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</si>
  <si>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</si>
  <si>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</si>
  <si>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</si>
  <si>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</si>
  <si>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</si>
  <si>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</si>
  <si>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</si>
  <si>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</si>
  <si>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</si>
  <si>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</si>
  <si>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</si>
  <si>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</si>
  <si>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</si>
  <si>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</si>
  <si>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</si>
  <si>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</si>
  <si>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</si>
  <si>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</si>
  <si>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</si>
  <si>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</si>
  <si>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</si>
  <si>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</si>
  <si>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</si>
  <si>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</si>
  <si>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</si>
  <si>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</si>
  <si>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</si>
  <si>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</si>
  <si>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</si>
  <si>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</si>
  <si>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</si>
  <si>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</si>
  <si>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</si>
  <si>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</si>
  <si>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</si>
  <si>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</si>
  <si>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</si>
  <si>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</si>
  <si>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</si>
  <si>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</si>
  <si>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</si>
  <si>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</si>
  <si>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</si>
  <si>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</si>
  <si>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</si>
  <si>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</si>
  <si>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</si>
  <si>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</si>
  <si>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</si>
  <si>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</si>
  <si>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</si>
  <si>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</si>
  <si>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</si>
  <si>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</si>
  <si>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</si>
  <si>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</si>
  <si>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</si>
  <si>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</si>
  <si>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</si>
  <si>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</si>
  <si>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</si>
  <si>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</si>
  <si>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</si>
  <si>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</si>
  <si>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</si>
  <si>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</si>
  <si>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</si>
  <si>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</si>
  <si>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</si>
  <si>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</si>
  <si>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</si>
  <si>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</si>
  <si>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</si>
  <si>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</si>
  <si>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</si>
  <si>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</si>
  <si>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</si>
  <si>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</si>
  <si>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</si>
  <si>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</si>
  <si>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</si>
  <si>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</si>
  <si>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</si>
  <si>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</si>
  <si>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</si>
  <si>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</si>
  <si>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</si>
  <si>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</si>
  <si>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</si>
  <si>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</si>
  <si>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</si>
  <si>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</si>
  <si>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</si>
  <si>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</si>
  <si>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</si>
  <si>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</si>
  <si>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</si>
  <si>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</si>
  <si>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</si>
  <si>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</si>
  <si>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</si>
  <si>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</si>
  <si>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</si>
  <si>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</si>
  <si>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</si>
  <si>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</si>
  <si>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</si>
  <si>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</si>
  <si>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</si>
  <si>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</si>
  <si>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</si>
  <si>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</si>
  <si>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</si>
  <si>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</si>
  <si>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</si>
  <si>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</si>
  <si>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</si>
  <si>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</si>
  <si>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</si>
  <si>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</si>
  <si>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</si>
  <si>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</si>
  <si>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</si>
  <si>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</si>
  <si>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</si>
  <si>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</si>
  <si>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</si>
  <si>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</si>
  <si>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</si>
  <si>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</si>
  <si>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</si>
  <si>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</si>
  <si>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</si>
  <si>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</si>
  <si>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</si>
  <si>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</si>
  <si>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</si>
  <si>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</si>
  <si>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</si>
  <si>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</si>
  <si>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</si>
  <si>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</si>
  <si>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</si>
  <si>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</si>
  <si>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</si>
  <si>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</si>
  <si>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</si>
  <si>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</si>
  <si>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</si>
  <si>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</si>
  <si>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</si>
  <si>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</si>
  <si>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</si>
  <si>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</si>
  <si>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</si>
  <si>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</si>
  <si>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</si>
  <si>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</si>
  <si>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</si>
  <si>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</si>
  <si>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</si>
  <si>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</si>
  <si>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</si>
  <si>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</si>
  <si>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</si>
  <si>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</si>
  <si>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</si>
  <si>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</si>
  <si>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</si>
  <si>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</si>
  <si>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</si>
  <si>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</si>
  <si>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</si>
  <si>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</si>
  <si>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</si>
  <si>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</si>
  <si>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</si>
  <si>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</si>
  <si>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</si>
  <si>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</si>
  <si>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</si>
  <si>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</si>
  <si>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</si>
  <si>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</si>
  <si>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</si>
  <si>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</si>
  <si>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</si>
  <si>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</si>
  <si>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</si>
  <si>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</si>
  <si>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</si>
  <si>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</si>
  <si>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</si>
  <si>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</si>
  <si>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</si>
  <si>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</si>
  <si>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</si>
  <si>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</si>
  <si>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</si>
  <si>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</si>
  <si>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</si>
  <si>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</si>
  <si>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</si>
  <si>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</si>
  <si>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</si>
  <si>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</si>
  <si>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</si>
  <si>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</si>
  <si>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</si>
  <si>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</si>
  <si>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</si>
  <si>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</si>
  <si>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</si>
  <si>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</si>
  <si>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</si>
  <si>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</si>
  <si>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</si>
  <si>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</si>
  <si>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</si>
  <si>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</si>
  <si>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</si>
  <si>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</si>
  <si>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</si>
  <si>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</si>
  <si>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</si>
  <si>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</si>
  <si>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</si>
  <si>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</si>
  <si>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</si>
  <si>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</si>
  <si>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</si>
  <si>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</si>
  <si>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</si>
  <si>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</si>
  <si>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</si>
  <si>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</si>
  <si>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</si>
  <si>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</si>
  <si>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</si>
  <si>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</si>
  <si>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</si>
  <si>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</si>
  <si>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</si>
  <si>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</si>
  <si>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</si>
  <si>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</si>
  <si>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</si>
  <si>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</si>
  <si>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</si>
  <si>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</si>
  <si>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</si>
  <si>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</si>
  <si>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</si>
  <si>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</si>
  <si>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</si>
  <si>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</si>
  <si>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</si>
  <si>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</si>
  <si>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</si>
  <si>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</si>
  <si>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</si>
  <si>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</si>
  <si>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</si>
  <si>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</si>
  <si>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</si>
  <si>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</si>
  <si>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</si>
  <si>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</si>
  <si>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</si>
  <si>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</si>
  <si>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</si>
  <si>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</si>
  <si>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</si>
  <si>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</si>
  <si>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</si>
  <si>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</si>
  <si>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</si>
  <si>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</si>
  <si>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</si>
  <si>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</si>
  <si>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</si>
  <si>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</si>
  <si>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</si>
  <si>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</si>
  <si>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</si>
  <si>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</si>
  <si>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</si>
  <si>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</si>
  <si>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</si>
  <si>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</si>
  <si>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</si>
  <si>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</si>
  <si>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</si>
  <si>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</si>
  <si>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</si>
  <si>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</si>
  <si>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</si>
  <si>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</si>
  <si>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</si>
  <si>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</si>
  <si>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</si>
  <si>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</si>
  <si>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</si>
  <si>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</si>
  <si>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</si>
  <si>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</si>
  <si>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</si>
  <si>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</si>
  <si>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</si>
  <si>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</si>
  <si>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</si>
  <si>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</si>
  <si>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</si>
  <si>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</si>
  <si>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</si>
  <si>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</si>
  <si>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</si>
  <si>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</si>
  <si>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</si>
  <si>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</si>
  <si>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</si>
  <si>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</si>
  <si>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</si>
  <si>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</si>
  <si>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</si>
  <si>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</si>
  <si>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</si>
  <si>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</si>
  <si>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</si>
  <si>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</si>
  <si>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</si>
  <si>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</si>
  <si>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</si>
  <si>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</si>
  <si>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</si>
  <si>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</si>
  <si>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</si>
  <si>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</si>
  <si>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</si>
  <si>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</si>
  <si>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</si>
  <si>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</si>
  <si>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</si>
  <si>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</si>
  <si>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</si>
  <si>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</si>
  <si>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</si>
  <si>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</si>
  <si>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</si>
  <si>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</si>
  <si>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</si>
  <si>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</si>
  <si>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</si>
  <si>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</si>
  <si>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</si>
  <si>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</si>
  <si>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</si>
  <si>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</si>
  <si>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</si>
  <si>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</si>
  <si>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</si>
  <si>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</si>
  <si>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</si>
  <si>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</si>
  <si>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</si>
  <si>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</si>
  <si>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</si>
  <si>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</si>
  <si>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</si>
  <si>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</si>
  <si>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</si>
  <si>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</si>
  <si>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</si>
  <si>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</si>
  <si>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</si>
  <si>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</si>
  <si>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</si>
  <si>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</si>
  <si>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</si>
  <si>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</si>
  <si>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</si>
  <si>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</si>
  <si>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</si>
  <si>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</si>
  <si>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</si>
  <si>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</si>
  <si>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</si>
  <si>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</si>
  <si>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</si>
  <si>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</si>
  <si>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</si>
  <si>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</si>
  <si>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</si>
  <si>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</si>
  <si>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</si>
  <si>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</si>
  <si>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</si>
  <si>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</si>
  <si>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</si>
  <si>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</si>
  <si>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</si>
  <si>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</si>
  <si>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</si>
  <si>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</si>
  <si>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</si>
  <si>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</si>
  <si>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</si>
  <si>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</si>
  <si>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</si>
  <si>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</si>
  <si>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</si>
  <si>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</si>
  <si>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</si>
  <si>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</si>
  <si>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</si>
  <si>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</si>
  <si>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</si>
  <si>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</si>
  <si>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</si>
  <si>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</si>
  <si>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</si>
  <si>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</si>
  <si>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</si>
  <si>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</si>
  <si>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</si>
  <si>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</si>
  <si>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</si>
  <si>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</si>
  <si>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</si>
  <si>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</si>
  <si>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</si>
  <si>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</si>
  <si>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</si>
  <si>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</si>
  <si>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</si>
  <si>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</si>
  <si>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</si>
  <si>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</si>
  <si>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</si>
  <si>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</si>
  <si>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</si>
  <si>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</si>
  <si>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</si>
  <si>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</si>
  <si>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</si>
  <si>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</si>
  <si>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</si>
  <si>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</si>
  <si>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</si>
  <si>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</si>
  <si>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</si>
  <si>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</si>
  <si>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</si>
  <si>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</si>
  <si>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</si>
  <si>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</si>
  <si>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</si>
  <si>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</si>
  <si>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</si>
  <si>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</si>
  <si>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</si>
  <si>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</si>
  <si>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</si>
  <si>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</si>
  <si>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</si>
  <si>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</si>
  <si>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</si>
  <si>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</si>
  <si>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</si>
  <si>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</si>
  <si>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</si>
  <si>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</si>
  <si>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</si>
  <si>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</si>
  <si>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</si>
  <si>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</si>
  <si>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</si>
  <si>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</si>
  <si>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</si>
  <si>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</si>
  <si>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</si>
  <si>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</si>
  <si>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</si>
  <si>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</si>
  <si>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</si>
  <si>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</si>
  <si>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</si>
  <si>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</si>
  <si>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</si>
  <si>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</si>
  <si>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</si>
  <si>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</si>
  <si>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</si>
  <si>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</si>
  <si>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</si>
  <si>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</si>
  <si>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</si>
  <si>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</si>
  <si>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</si>
  <si>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</si>
  <si>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</si>
  <si>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</si>
  <si>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</si>
  <si>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</si>
  <si>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</si>
  <si>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</si>
  <si>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</si>
  <si>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</si>
  <si>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</si>
  <si>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</si>
  <si>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</si>
  <si>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</si>
  <si>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</si>
  <si>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</si>
  <si>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</si>
  <si>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</si>
  <si>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</si>
  <si>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</si>
  <si>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</si>
  <si>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</si>
  <si>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</si>
  <si>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</si>
  <si>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</si>
  <si>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</si>
  <si>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</si>
  <si>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</si>
  <si>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</si>
  <si>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</si>
  <si>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</si>
  <si>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</si>
  <si>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</si>
  <si>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</si>
  <si>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</si>
  <si>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</si>
  <si>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</si>
  <si>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</si>
  <si>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</si>
  <si>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</si>
  <si>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</si>
  <si>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</si>
  <si>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</si>
  <si>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</si>
  <si>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</si>
  <si>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</si>
  <si>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</si>
  <si>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</si>
  <si>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</si>
  <si>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</si>
  <si>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</si>
  <si>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</si>
  <si>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</si>
  <si>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</si>
  <si>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</si>
  <si>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</si>
  <si>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</si>
  <si>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</si>
  <si>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</si>
  <si>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</si>
  <si>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</si>
  <si>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</si>
  <si>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</si>
  <si>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</si>
  <si>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</si>
  <si>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</si>
  <si>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</si>
  <si>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</si>
  <si>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</si>
  <si>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</si>
  <si>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</si>
  <si>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</si>
  <si>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</si>
  <si>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</si>
  <si>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</si>
  <si>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</si>
  <si>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</si>
  <si>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</si>
  <si>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</si>
  <si>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</si>
  <si>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</si>
  <si>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</si>
  <si>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</si>
  <si>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</si>
  <si>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</si>
  <si>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</si>
  <si>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</si>
  <si>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</si>
  <si>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</si>
  <si>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</si>
  <si>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</si>
  <si>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</si>
  <si>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</si>
  <si>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</si>
  <si>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</si>
  <si>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</si>
  <si>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</si>
  <si>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</si>
  <si>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</si>
  <si>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</si>
  <si>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</si>
  <si>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</si>
  <si>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</si>
  <si>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</si>
  <si>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</si>
  <si>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</si>
  <si>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</si>
  <si>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</si>
  <si>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</si>
  <si>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</si>
  <si>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</si>
  <si>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</si>
  <si>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</si>
  <si>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</si>
  <si>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</si>
  <si>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</si>
  <si>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</si>
  <si>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</si>
  <si>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</si>
  <si>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</si>
  <si>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</si>
  <si>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</si>
  <si>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</si>
  <si>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</si>
  <si>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</si>
  <si>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</si>
  <si>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</si>
  <si>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</si>
  <si>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</si>
  <si>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</si>
  <si>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</si>
  <si>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</si>
  <si>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</si>
  <si>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</si>
  <si>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</si>
  <si>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</si>
  <si>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</si>
  <si>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</si>
  <si>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</si>
  <si>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</si>
  <si>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</si>
  <si>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</si>
  <si>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</si>
  <si>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</si>
  <si>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</si>
  <si>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</si>
  <si>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</si>
  <si>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</si>
  <si>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</si>
  <si>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</si>
  <si>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</si>
  <si>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</si>
  <si>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</si>
  <si>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</si>
  <si>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</si>
  <si>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</si>
  <si>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</si>
  <si>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</si>
  <si>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</si>
  <si>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</si>
  <si>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</si>
  <si>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</si>
  <si>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</si>
  <si>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</si>
  <si>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</si>
  <si>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</si>
  <si>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Table 2 (2030), final: CPAT results with a CBAM carve-out (v0.3, O on FULL). Live for the active bundle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</si>
  <si>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</si>
  <si>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Set the bundle in Settings!B10 (1A, 2A, 2B, 3A, 3B, 3C). Year 2030 = column T of the source sheets. Green = hard input. Reference implementation: egypt+mitigation/Old/AdHocRebuild/make_carveout_v0_3.py; method: EGYPT_Methodology_v1.3 section 5.0.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</si>
  <si>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</si>
  <si>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</si>
  <si>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</si>
  <si>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</si>
  <si>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</si>
  <si>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</si>
  <si>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</si>
  <si>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</si>
  <si>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</si>
  <si>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</si>
  <si>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</si>
  <si>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</si>
  <si>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</si>
  <si>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</si>
  <si>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</si>
  <si>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</si>
  <si>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</si>
  <si>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</si>
  <si>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</si>
  <si>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</si>
  <si>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</si>
  <si>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</si>
  <si>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</si>
  <si>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</si>
  <si>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</si>
  <si>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</si>
  <si>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</si>
  <si>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</si>
  <si>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</si>
  <si>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</si>
  <si>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</si>
  <si>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</si>
  <si>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</si>
  <si>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</si>
  <si>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</si>
  <si>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</si>
  <si>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</si>
  <si>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</si>
  <si>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</si>
  <si>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</si>
  <si>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</si>
  <si>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</si>
  <si>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</si>
  <si>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</si>
  <si>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</si>
  <si>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</si>
  <si>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</si>
  <si>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</si>
  <si>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</si>
  <si>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</si>
  <si>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</si>
  <si>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</si>
  <si>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</si>
  <si>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</si>
  <si>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</si>
  <si>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</si>
  <si>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</si>
  <si>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</si>
  <si>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</si>
  <si>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</si>
  <si>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</si>
  <si>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</si>
  <si>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</si>
  <si>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</si>
  <si>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</si>
  <si>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</si>
  <si>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</si>
  <si>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</si>
  <si>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</si>
  <si>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</si>
  <si>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</si>
  <si>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</si>
  <si>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</si>
  <si>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</si>
  <si>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</si>
  <si>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</si>
  <si>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</si>
  <si>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</si>
  <si>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</si>
  <si>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</si>
  <si>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CPAT dGHG + adj_f + adj_p</t>
  </si>
  <si>
    <t>[L] Cut, % of GHG</t>
  </si>
  <si>
    <t>[N] CBAM intensity, %</t>
  </si>
  <si>
    <t>kernel N + dN</t>
  </si>
  <si>
    <t>[O] CBAM obligations per t, % (FULL)</t>
  </si>
  <si>
    <t>kernel O FULL + credit x dN</t>
  </si>
  <si>
    <t>memo: [O] NOPHASE</t>
  </si>
  <si>
    <t>v0.16 NOPHASE O + credit x dN</t>
  </si>
  <si>
    <t>CPAT receipts + tau x adj_f + process fees - rebate - fund</t>
  </si>
  <si>
    <t>CPAT deaths x (dEnergy + adj_f)/dEnergy</t>
  </si>
  <si>
    <t>CBAM block emissions change, %</t>
  </si>
  <si>
    <t>F. Stored 2030 snapshot, all bundles (make_carveout_v0_3.py; = EGYPT_CarveOut_Table2_v0.3)</t>
  </si>
  <si>
    <t>Onp</t>
  </si>
  <si>
    <t>live - stored (active bundle)</t>
  </si>
  <si>
    <t>Max |live - stored| (&lt; 0.01 expected: kappa 0.537 rounded in the script)</t>
  </si>
  <si>
    <t>Not re-solved: 3B rebate and 3C fund (kernel v0.16 values; block fuel-payment change &lt; $0.05bn). 3B published deaths (345) not traceable. EG3 prices ~54% of industry as CPAT ran it.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</si>
  <si>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</si>
  <si>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</si>
  <si>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</si>
  <si>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</si>
  <si>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CPAT industry kernel - Egypt prototype v0.17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</si>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</sst>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6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0" fontId="0" fillId="0" borderId="0" xfId="0" applyAlignment="1"/>
    <xf numFmtId="0" fontId="17" fillId="0" borderId="0" xfId="0" applyFont="1" applyAlignment="1"/>
    <xf numFmtId="170" fontId="0" fillId="0" borderId="0" xfId="0" applyNumberFormat="1" applyAlignment="1"/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18" zoomScaleNormal="100" workbookViewId="0">
      <selection activeCell="A44" sqref="A44:XFD44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3792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3793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5" t="s">
        <v>1821</v>
      </c>
      <c r="C31" t="s">
        <v>1822</v>
      </c>
    </row>
    <row r="32" spans="1:3" x14ac:dyDescent="0.45">
      <c r="A32" t="s">
        <v>1866</v>
      </c>
      <c r="B32" s="95" t="s">
        <v>1821</v>
      </c>
      <c r="C32" t="s">
        <v>1867</v>
      </c>
    </row>
    <row r="33" spans="1:3" x14ac:dyDescent="0.45">
      <c r="A33" t="s">
        <v>1895</v>
      </c>
      <c r="B33" s="95" t="s">
        <v>1821</v>
      </c>
      <c r="C33" t="s">
        <v>1896</v>
      </c>
    </row>
    <row r="34" spans="1:3" x14ac:dyDescent="0.45">
      <c r="A34" t="s">
        <v>1908</v>
      </c>
      <c r="B34" s="95" t="s">
        <v>1821</v>
      </c>
      <c r="C34" t="s">
        <v>1909</v>
      </c>
    </row>
    <row r="35" spans="1:3" x14ac:dyDescent="0.45">
      <c r="A35" t="s">
        <v>1925</v>
      </c>
      <c r="B35" s="95" t="s">
        <v>1821</v>
      </c>
      <c r="C35" t="s">
        <v>1926</v>
      </c>
    </row>
    <row r="36" spans="1:3" x14ac:dyDescent="0.45">
      <c r="A36" t="s">
        <v>1967</v>
      </c>
      <c r="B36" s="95" t="s">
        <v>1821</v>
      </c>
      <c r="C36" t="s">
        <v>1968</v>
      </c>
    </row>
    <row r="37" spans="1:3" x14ac:dyDescent="0.45">
      <c r="A37" t="s">
        <v>1996</v>
      </c>
      <c r="B37" s="95" t="s">
        <v>1821</v>
      </c>
      <c r="C37" t="s">
        <v>1997</v>
      </c>
    </row>
    <row r="38" spans="1:3" x14ac:dyDescent="0.45">
      <c r="A38" t="s">
        <v>2026</v>
      </c>
      <c r="B38" s="95" t="s">
        <v>1821</v>
      </c>
      <c r="C38" t="s">
        <v>2027</v>
      </c>
    </row>
    <row r="39" spans="1:3" x14ac:dyDescent="0.45">
      <c r="A39" t="s">
        <v>3106</v>
      </c>
      <c r="B39" s="95" t="s">
        <v>1821</v>
      </c>
      <c r="C39" t="s">
        <v>3107</v>
      </c>
    </row>
    <row r="40" spans="1:3" x14ac:dyDescent="0.45">
      <c r="A40" t="s">
        <v>3253</v>
      </c>
      <c r="B40" s="95" t="s">
        <v>1821</v>
      </c>
      <c r="C40" t="s">
        <v>3254</v>
      </c>
    </row>
    <row r="41" spans="1:3" x14ac:dyDescent="0.45">
      <c r="A41" t="s">
        <v>3599</v>
      </c>
      <c r="B41" s="95" t="s">
        <v>1821</v>
      </c>
      <c r="C41" t="s">
        <v>3600</v>
      </c>
    </row>
    <row r="42" spans="1:3" x14ac:dyDescent="0.45">
      <c r="A42" t="s">
        <v>3639</v>
      </c>
      <c r="B42" s="95" t="s">
        <v>1821</v>
      </c>
      <c r="C42" t="s">
        <v>3640</v>
      </c>
    </row>
    <row r="43" spans="1:3" x14ac:dyDescent="0.45">
      <c r="A43" t="s">
        <v>3686</v>
      </c>
      <c r="B43" s="95" t="s">
        <v>1821</v>
      </c>
      <c r="C43" t="s">
        <v>3687</v>
      </c>
    </row>
    <row r="44" spans="1:3" x14ac:dyDescent="0.45">
      <c r="A44" t="s">
        <v>3794</v>
      </c>
      <c r="B44" s="95" t="s">
        <v>1821</v>
      </c>
      <c r="C44" s="174" t="s">
        <v>3795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3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102" t="s">
        <v>1934</v>
      </c>
      <c r="G52" s="102" t="s">
        <v>1935</v>
      </c>
      <c r="H52" s="102" t="s">
        <v>1936</v>
      </c>
      <c r="I52" s="102" t="s">
        <v>1937</v>
      </c>
      <c r="J52" s="102" t="s">
        <v>1938</v>
      </c>
      <c r="K52" s="102" t="s">
        <v>1939</v>
      </c>
      <c r="L52" s="102" t="s">
        <v>1940</v>
      </c>
      <c r="M52" s="102" t="s">
        <v>1941</v>
      </c>
      <c r="N52" s="102" t="s">
        <v>1942</v>
      </c>
      <c r="O52" s="102" t="s">
        <v>1943</v>
      </c>
      <c r="P52" s="102" t="s">
        <v>1944</v>
      </c>
      <c r="Q52" s="102" t="s">
        <v>1945</v>
      </c>
      <c r="R52" s="102" t="s">
        <v>1946</v>
      </c>
      <c r="S52" s="102" t="s">
        <v>1947</v>
      </c>
      <c r="T52" s="107" t="s">
        <v>1948</v>
      </c>
      <c r="U52" s="107" t="s">
        <v>1949</v>
      </c>
      <c r="V52" s="107" t="s">
        <v>1950</v>
      </c>
      <c r="W52" s="107" t="s">
        <v>1951</v>
      </c>
    </row>
    <row r="53" spans="1:31" ht="13.15" x14ac:dyDescent="0.4">
      <c r="D53" s="56" t="s">
        <v>1350</v>
      </c>
      <c r="E53" s="68">
        <v>1</v>
      </c>
      <c r="F53" s="165">
        <v>122</v>
      </c>
      <c r="G53" s="68">
        <v>0.34329999999999999</v>
      </c>
      <c r="H53" s="105">
        <f t="shared" ref="H53:H60" si="7">IF(OR(E53=0,G53=0),0,-LN(1-G53/E53)/F53)</f>
        <v>3.4469507031574592E-3</v>
      </c>
      <c r="I53" s="68">
        <v>0</v>
      </c>
      <c r="J53" s="165">
        <v>122</v>
      </c>
      <c r="K53" s="68">
        <v>0</v>
      </c>
      <c r="L53" s="105">
        <f t="shared" ref="L53:L60" si="8">IF(OR(I53=0,K53=0),0,-LN(1-K53/I53)/J53)</f>
        <v>0</v>
      </c>
      <c r="M53" s="106">
        <f t="shared" ref="M53:M60" si="9">E53*H53</f>
        <v>3.4469507031574592E-3</v>
      </c>
      <c r="N53" s="106">
        <f t="shared" ref="N53:N60" si="10">I53*L53</f>
        <v>0</v>
      </c>
      <c r="O53" s="103">
        <f t="shared" ref="O53:O60" si="11">E53*(1-EXP(-H53*20))</f>
        <v>6.6616398384136577E-2</v>
      </c>
      <c r="P53" s="103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8">
        <f>IF($E$50="ADHOC",$E$40,H53)</f>
        <v>3.4469507031574592E-3</v>
      </c>
      <c r="U53" s="109">
        <f t="shared" ref="U53:U60" si="13">IF($E$50="ADHOC",1,E53)</f>
        <v>1</v>
      </c>
      <c r="V53" s="108">
        <f>IF($E$50="ADHOC",$E$40,L53)</f>
        <v>0</v>
      </c>
      <c r="W53" s="109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5">
        <v>122</v>
      </c>
      <c r="G54" s="68">
        <v>0.18099999999999999</v>
      </c>
      <c r="H54" s="105">
        <f t="shared" si="7"/>
        <v>1.6366491404021942E-3</v>
      </c>
      <c r="I54" s="68">
        <v>0</v>
      </c>
      <c r="J54" s="165">
        <v>122</v>
      </c>
      <c r="K54" s="68">
        <v>0</v>
      </c>
      <c r="L54" s="105">
        <f t="shared" si="8"/>
        <v>0</v>
      </c>
      <c r="M54" s="106">
        <f t="shared" si="9"/>
        <v>1.6366491404021942E-3</v>
      </c>
      <c r="N54" s="106">
        <f t="shared" si="10"/>
        <v>0</v>
      </c>
      <c r="O54" s="103">
        <f t="shared" si="11"/>
        <v>3.2203056486737491E-2</v>
      </c>
      <c r="P54" s="103">
        <f t="shared" si="12"/>
        <v>0</v>
      </c>
      <c r="Q54" s="62" t="s">
        <v>3642</v>
      </c>
      <c r="R54" s="62" t="s">
        <v>3618</v>
      </c>
      <c r="S54" s="62" t="s">
        <v>3620</v>
      </c>
      <c r="T54" s="108">
        <f>IF($E$50="ADHOC",$E$41,H54)</f>
        <v>1.6366491404021942E-3</v>
      </c>
      <c r="U54" s="109">
        <f t="shared" si="13"/>
        <v>1</v>
      </c>
      <c r="V54" s="108">
        <f>IF($E$50="ADHOC",$E$41,L54)</f>
        <v>0</v>
      </c>
      <c r="W54" s="109">
        <f t="shared" si="14"/>
        <v>0</v>
      </c>
    </row>
    <row r="55" spans="1:31" ht="13.15" x14ac:dyDescent="0.4">
      <c r="D55" s="56" t="s">
        <v>1359</v>
      </c>
      <c r="E55" s="68">
        <v>1</v>
      </c>
      <c r="F55" s="165">
        <v>122</v>
      </c>
      <c r="G55" s="68">
        <v>0.28029999999999999</v>
      </c>
      <c r="H55" s="105">
        <f t="shared" si="7"/>
        <v>2.6960722989211347E-3</v>
      </c>
      <c r="I55" s="68">
        <v>0</v>
      </c>
      <c r="J55" s="165">
        <v>122</v>
      </c>
      <c r="K55" s="68">
        <v>0</v>
      </c>
      <c r="L55" s="105">
        <f t="shared" si="8"/>
        <v>0</v>
      </c>
      <c r="M55" s="106">
        <f t="shared" si="9"/>
        <v>2.6960722989211347E-3</v>
      </c>
      <c r="N55" s="106">
        <f t="shared" si="10"/>
        <v>0</v>
      </c>
      <c r="O55" s="103">
        <f t="shared" si="11"/>
        <v>5.2493465972812126E-2</v>
      </c>
      <c r="P55" s="103">
        <f t="shared" si="12"/>
        <v>0</v>
      </c>
      <c r="Q55" s="62" t="s">
        <v>3643</v>
      </c>
      <c r="R55" s="62" t="s">
        <v>3618</v>
      </c>
      <c r="S55" s="62" t="s">
        <v>3619</v>
      </c>
      <c r="T55" s="108">
        <f>IF($E$50="ADHOC",$E$42,H55)</f>
        <v>2.6960722989211347E-3</v>
      </c>
      <c r="U55" s="109">
        <f t="shared" si="13"/>
        <v>1</v>
      </c>
      <c r="V55" s="108">
        <f>IF($E$50="ADHOC",$E$42,L55)</f>
        <v>0</v>
      </c>
      <c r="W55" s="109">
        <f t="shared" si="14"/>
        <v>0</v>
      </c>
    </row>
    <row r="56" spans="1:31" ht="13.15" x14ac:dyDescent="0.4">
      <c r="D56" s="56" t="s">
        <v>1363</v>
      </c>
      <c r="E56" s="68">
        <v>1</v>
      </c>
      <c r="F56" s="165">
        <v>122</v>
      </c>
      <c r="G56" s="68">
        <v>0.3352</v>
      </c>
      <c r="H56" s="105">
        <f t="shared" si="7"/>
        <v>3.3464675036139224E-3</v>
      </c>
      <c r="I56" s="68">
        <v>0</v>
      </c>
      <c r="J56" s="165">
        <v>122</v>
      </c>
      <c r="K56" s="68">
        <v>0</v>
      </c>
      <c r="L56" s="105">
        <f t="shared" si="8"/>
        <v>0</v>
      </c>
      <c r="M56" s="106">
        <f t="shared" si="9"/>
        <v>3.3464675036139224E-3</v>
      </c>
      <c r="N56" s="106">
        <f t="shared" si="10"/>
        <v>0</v>
      </c>
      <c r="O56" s="103">
        <f t="shared" si="11"/>
        <v>6.473872485581611E-2</v>
      </c>
      <c r="P56" s="103">
        <f t="shared" si="12"/>
        <v>0</v>
      </c>
      <c r="Q56" s="62" t="s">
        <v>3644</v>
      </c>
      <c r="R56" s="62" t="s">
        <v>3618</v>
      </c>
      <c r="S56" s="62" t="s">
        <v>3619</v>
      </c>
      <c r="T56" s="108">
        <f>IF($E$50="ADHOC",$E$43,H56)</f>
        <v>3.3464675036139224E-3</v>
      </c>
      <c r="U56" s="109">
        <f t="shared" si="13"/>
        <v>1</v>
      </c>
      <c r="V56" s="108">
        <f>IF($E$50="ADHOC",$E$43,L56)</f>
        <v>0</v>
      </c>
      <c r="W56" s="109">
        <f t="shared" si="14"/>
        <v>0</v>
      </c>
    </row>
    <row r="57" spans="1:31" ht="13.15" x14ac:dyDescent="0.4">
      <c r="D57" s="56" t="s">
        <v>1368</v>
      </c>
      <c r="E57" s="68">
        <v>0</v>
      </c>
      <c r="F57" s="165">
        <v>122</v>
      </c>
      <c r="G57" s="68">
        <v>0</v>
      </c>
      <c r="H57" s="105">
        <f t="shared" si="7"/>
        <v>0</v>
      </c>
      <c r="I57" s="68">
        <v>0</v>
      </c>
      <c r="J57" s="165">
        <v>122</v>
      </c>
      <c r="K57" s="68">
        <v>0</v>
      </c>
      <c r="L57" s="105">
        <f t="shared" si="8"/>
        <v>0</v>
      </c>
      <c r="M57" s="106">
        <f t="shared" si="9"/>
        <v>0</v>
      </c>
      <c r="N57" s="106">
        <f t="shared" si="10"/>
        <v>0</v>
      </c>
      <c r="O57" s="103">
        <f t="shared" si="11"/>
        <v>0</v>
      </c>
      <c r="P57" s="103">
        <f t="shared" si="12"/>
        <v>0</v>
      </c>
      <c r="Q57" s="62" t="s">
        <v>3621</v>
      </c>
      <c r="R57" s="62" t="s">
        <v>3618</v>
      </c>
      <c r="S57" s="62" t="s">
        <v>3620</v>
      </c>
      <c r="T57" s="108">
        <f>IF($E$50="ADHOC",$E$44,H57)</f>
        <v>0</v>
      </c>
      <c r="U57" s="109">
        <f t="shared" si="13"/>
        <v>0</v>
      </c>
      <c r="V57" s="108">
        <f>IF($E$50="ADHOC",$E$44,L57)</f>
        <v>0</v>
      </c>
      <c r="W57" s="109">
        <f t="shared" si="14"/>
        <v>0</v>
      </c>
    </row>
    <row r="58" spans="1:31" ht="13.15" x14ac:dyDescent="0.4">
      <c r="D58" s="56" t="s">
        <v>1373</v>
      </c>
      <c r="E58" s="68">
        <v>0</v>
      </c>
      <c r="F58" s="165">
        <v>122</v>
      </c>
      <c r="G58" s="68">
        <v>0</v>
      </c>
      <c r="H58" s="105">
        <f t="shared" si="7"/>
        <v>0</v>
      </c>
      <c r="I58" s="68">
        <v>0</v>
      </c>
      <c r="J58" s="165">
        <v>122</v>
      </c>
      <c r="K58" s="68">
        <v>0</v>
      </c>
      <c r="L58" s="105">
        <f t="shared" si="8"/>
        <v>0</v>
      </c>
      <c r="M58" s="106">
        <f t="shared" si="9"/>
        <v>0</v>
      </c>
      <c r="N58" s="106">
        <f t="shared" si="10"/>
        <v>0</v>
      </c>
      <c r="O58" s="103">
        <f t="shared" si="11"/>
        <v>0</v>
      </c>
      <c r="P58" s="103">
        <f t="shared" si="12"/>
        <v>0</v>
      </c>
      <c r="Q58" s="62" t="s">
        <v>3622</v>
      </c>
      <c r="R58" s="62" t="s">
        <v>3618</v>
      </c>
      <c r="S58" s="62" t="s">
        <v>3620</v>
      </c>
      <c r="T58" s="108">
        <f>IF($E$50="ADHOC",$E$45,H58)</f>
        <v>0</v>
      </c>
      <c r="U58" s="109">
        <f t="shared" si="13"/>
        <v>0</v>
      </c>
      <c r="V58" s="108">
        <f>IF($E$50="ADHOC",$E$45,L58)</f>
        <v>0</v>
      </c>
      <c r="W58" s="109">
        <f t="shared" si="14"/>
        <v>0</v>
      </c>
    </row>
    <row r="59" spans="1:31" ht="13.15" x14ac:dyDescent="0.4">
      <c r="D59" s="56" t="s">
        <v>1378</v>
      </c>
      <c r="E59" s="68">
        <v>0</v>
      </c>
      <c r="F59" s="165">
        <v>122</v>
      </c>
      <c r="G59" s="68">
        <v>0</v>
      </c>
      <c r="H59" s="105">
        <f t="shared" si="7"/>
        <v>0</v>
      </c>
      <c r="I59" s="68">
        <v>1</v>
      </c>
      <c r="J59" s="165">
        <v>122</v>
      </c>
      <c r="K59" s="68">
        <v>0.6179</v>
      </c>
      <c r="L59" s="105">
        <f t="shared" si="8"/>
        <v>7.8858436436826454E-3</v>
      </c>
      <c r="M59" s="106">
        <f t="shared" si="9"/>
        <v>0</v>
      </c>
      <c r="N59" s="106">
        <f t="shared" si="10"/>
        <v>7.8858436436826454E-3</v>
      </c>
      <c r="O59" s="103">
        <f t="shared" si="11"/>
        <v>0</v>
      </c>
      <c r="P59" s="103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8">
        <f>IF($E$50="ADHOC",$E$46,H59)</f>
        <v>0</v>
      </c>
      <c r="U59" s="109">
        <f t="shared" si="13"/>
        <v>0</v>
      </c>
      <c r="V59" s="108">
        <f>IF($E$50="ADHOC",$E$46,L59)</f>
        <v>7.8858436436826454E-3</v>
      </c>
      <c r="W59" s="109">
        <f t="shared" si="14"/>
        <v>1</v>
      </c>
    </row>
    <row r="60" spans="1:31" ht="13.15" x14ac:dyDescent="0.4">
      <c r="D60" s="56" t="s">
        <v>1383</v>
      </c>
      <c r="E60" s="68">
        <v>1</v>
      </c>
      <c r="F60" s="165">
        <v>122</v>
      </c>
      <c r="G60" s="68">
        <v>0.21640000000000001</v>
      </c>
      <c r="H60" s="105">
        <f t="shared" si="7"/>
        <v>1.9988245320635362E-3</v>
      </c>
      <c r="I60" s="68">
        <v>1</v>
      </c>
      <c r="J60" s="165">
        <v>122</v>
      </c>
      <c r="K60" s="68">
        <v>0.21640000000000001</v>
      </c>
      <c r="L60" s="105">
        <f t="shared" si="8"/>
        <v>1.9988245320635362E-3</v>
      </c>
      <c r="M60" s="106">
        <f t="shared" si="9"/>
        <v>1.9988245320635362E-3</v>
      </c>
      <c r="N60" s="106">
        <f t="shared" si="10"/>
        <v>1.9988245320635362E-3</v>
      </c>
      <c r="O60" s="103">
        <f t="shared" si="11"/>
        <v>3.9187973038577018E-2</v>
      </c>
      <c r="P60" s="103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8">
        <f>IF($E$50="ADHOC",$E$47,H60)</f>
        <v>1.9988245320635362E-3</v>
      </c>
      <c r="U60" s="109">
        <f t="shared" si="13"/>
        <v>1</v>
      </c>
      <c r="V60" s="108">
        <f>IF($E$50="ADHOC",$E$47,L60)</f>
        <v>1.9988245320635362E-3</v>
      </c>
      <c r="W60" s="109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3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102" t="s">
        <v>1975</v>
      </c>
      <c r="G65" s="102" t="s">
        <v>1947</v>
      </c>
      <c r="H65" s="102"/>
      <c r="I65" s="102"/>
      <c r="J65" s="102"/>
      <c r="K65" s="107" t="s">
        <v>1976</v>
      </c>
    </row>
    <row r="66" spans="1:31" ht="13.15" x14ac:dyDescent="0.4">
      <c r="D66" s="56" t="s">
        <v>1350</v>
      </c>
      <c r="E66" s="110">
        <v>-0.5</v>
      </c>
      <c r="F66" s="103" t="s">
        <v>1977</v>
      </c>
      <c r="G66" s="53" t="s">
        <v>1952</v>
      </c>
      <c r="K66" s="111">
        <f>IF(AND($E$63="ON",Settings!$B$10&lt;&gt;"LEGACY"),E66,0)</f>
        <v>0</v>
      </c>
    </row>
    <row r="67" spans="1:31" ht="13.15" x14ac:dyDescent="0.4">
      <c r="D67" s="56" t="s">
        <v>1355</v>
      </c>
      <c r="E67" s="110">
        <v>-0.5</v>
      </c>
      <c r="F67" s="103" t="s">
        <v>1977</v>
      </c>
      <c r="G67" s="53" t="s">
        <v>1952</v>
      </c>
      <c r="K67" s="111">
        <f>IF(AND($E$63="ON",Settings!$B$10&lt;&gt;"LEGACY"),E67,0)</f>
        <v>0</v>
      </c>
    </row>
    <row r="68" spans="1:31" ht="13.15" x14ac:dyDescent="0.4">
      <c r="D68" s="56" t="s">
        <v>1359</v>
      </c>
      <c r="E68" s="110">
        <v>-0.5</v>
      </c>
      <c r="F68" s="103" t="s">
        <v>1977</v>
      </c>
      <c r="G68" s="53" t="s">
        <v>1952</v>
      </c>
      <c r="K68" s="111">
        <f>IF(AND($E$63="ON",Settings!$B$10&lt;&gt;"LEGACY"),E68,0)</f>
        <v>0</v>
      </c>
    </row>
    <row r="69" spans="1:31" ht="13.15" x14ac:dyDescent="0.4">
      <c r="D69" s="56" t="s">
        <v>1363</v>
      </c>
      <c r="E69" s="110">
        <v>-0.5</v>
      </c>
      <c r="F69" s="103" t="s">
        <v>1977</v>
      </c>
      <c r="G69" s="53" t="s">
        <v>1952</v>
      </c>
      <c r="K69" s="111">
        <f>IF(AND($E$63="ON",Settings!$B$10&lt;&gt;"LEGACY"),E69,0)</f>
        <v>0</v>
      </c>
    </row>
    <row r="70" spans="1:31" ht="13.15" x14ac:dyDescent="0.4">
      <c r="D70" s="56" t="s">
        <v>1368</v>
      </c>
      <c r="E70" s="110">
        <v>-0.5</v>
      </c>
      <c r="F70" s="103" t="s">
        <v>1977</v>
      </c>
      <c r="G70" s="53" t="s">
        <v>1952</v>
      </c>
      <c r="K70" s="111">
        <f>IF(AND($E$63="ON",Settings!$B$10&lt;&gt;"LEGACY"),E70,0)</f>
        <v>0</v>
      </c>
    </row>
    <row r="71" spans="1:31" ht="13.15" x14ac:dyDescent="0.4">
      <c r="D71" s="56" t="s">
        <v>1373</v>
      </c>
      <c r="E71" s="110">
        <v>-0.5</v>
      </c>
      <c r="F71" s="103" t="s">
        <v>1977</v>
      </c>
      <c r="G71" s="53" t="s">
        <v>1952</v>
      </c>
      <c r="K71" s="111">
        <f>IF(AND($E$63="ON",Settings!$B$10&lt;&gt;"LEGACY"),E71,0)</f>
        <v>0</v>
      </c>
    </row>
    <row r="72" spans="1:31" ht="13.15" x14ac:dyDescent="0.4">
      <c r="D72" s="56" t="s">
        <v>1378</v>
      </c>
      <c r="E72" s="110">
        <v>-0.5</v>
      </c>
      <c r="F72" s="103" t="s">
        <v>1977</v>
      </c>
      <c r="G72" s="53" t="s">
        <v>1952</v>
      </c>
      <c r="K72" s="111">
        <f>IF(AND($E$63="ON",Settings!$B$10&lt;&gt;"LEGACY"),E72,0)</f>
        <v>0</v>
      </c>
    </row>
    <row r="73" spans="1:31" ht="13.15" x14ac:dyDescent="0.4">
      <c r="D73" s="56" t="s">
        <v>1383</v>
      </c>
      <c r="E73" s="110">
        <v>-0.5</v>
      </c>
      <c r="F73" s="103" t="s">
        <v>1977</v>
      </c>
      <c r="G73" s="53" t="s">
        <v>1952</v>
      </c>
      <c r="K73" s="111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3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7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3" t="s">
        <v>2004</v>
      </c>
      <c r="F79" s="103" t="s">
        <v>2005</v>
      </c>
      <c r="K79" s="113"/>
      <c r="L79" s="104">
        <v>100</v>
      </c>
      <c r="M79" s="104">
        <v>100</v>
      </c>
      <c r="N79" s="104">
        <v>100</v>
      </c>
      <c r="O79" s="104">
        <v>100</v>
      </c>
      <c r="P79" s="104">
        <v>100</v>
      </c>
      <c r="Q79" s="104">
        <v>100</v>
      </c>
      <c r="R79" s="104">
        <v>100</v>
      </c>
      <c r="S79" s="104">
        <v>100</v>
      </c>
      <c r="T79" s="104">
        <v>100</v>
      </c>
      <c r="U79" s="104">
        <v>100</v>
      </c>
      <c r="V79" s="104">
        <v>100</v>
      </c>
      <c r="W79" s="104">
        <v>100</v>
      </c>
      <c r="X79" s="104">
        <v>100</v>
      </c>
      <c r="Y79" s="104">
        <v>100</v>
      </c>
      <c r="Z79" s="104">
        <v>100</v>
      </c>
      <c r="AA79" s="104">
        <v>100</v>
      </c>
      <c r="AB79" s="104">
        <v>100</v>
      </c>
      <c r="AC79" s="104">
        <v>100</v>
      </c>
      <c r="AD79" s="104">
        <v>100</v>
      </c>
      <c r="AE79" s="104">
        <v>100</v>
      </c>
    </row>
    <row r="80" spans="1:31" ht="13.15" x14ac:dyDescent="0.4">
      <c r="D80" s="56" t="s">
        <v>2006</v>
      </c>
      <c r="E80" s="113" t="s">
        <v>79</v>
      </c>
      <c r="F80" s="103" t="s">
        <v>2007</v>
      </c>
      <c r="K80" s="113"/>
      <c r="L80" s="114">
        <v>0</v>
      </c>
      <c r="M80" s="114">
        <v>0</v>
      </c>
      <c r="N80" s="114">
        <v>0</v>
      </c>
      <c r="O80" s="114">
        <v>0</v>
      </c>
      <c r="P80" s="114">
        <v>2.5000000000000001E-2</v>
      </c>
      <c r="Q80" s="114">
        <v>0.05</v>
      </c>
      <c r="R80" s="114">
        <v>0.1</v>
      </c>
      <c r="S80" s="114">
        <v>0.22500000000000001</v>
      </c>
      <c r="T80" s="114">
        <v>0.48499999999999999</v>
      </c>
      <c r="U80" s="114">
        <v>0.61</v>
      </c>
      <c r="V80" s="114">
        <v>0.73499999999999999</v>
      </c>
      <c r="W80" s="114">
        <v>0.86</v>
      </c>
      <c r="X80" s="114">
        <v>1</v>
      </c>
      <c r="Y80" s="114">
        <v>1</v>
      </c>
      <c r="Z80" s="114">
        <v>1</v>
      </c>
      <c r="AA80" s="114">
        <v>1</v>
      </c>
      <c r="AB80" s="114">
        <v>1</v>
      </c>
      <c r="AC80" s="114">
        <v>1</v>
      </c>
      <c r="AD80" s="114">
        <v>1</v>
      </c>
      <c r="AE80" s="114">
        <v>1</v>
      </c>
    </row>
    <row r="81" spans="1:31" ht="13.15" x14ac:dyDescent="0.4">
      <c r="D81" s="56" t="s">
        <v>2008</v>
      </c>
      <c r="E81" s="113" t="s">
        <v>79</v>
      </c>
      <c r="F81" s="103" t="s">
        <v>2009</v>
      </c>
      <c r="K81" s="113"/>
      <c r="L81" s="114">
        <f t="shared" ref="L81:AE81" si="15">IF($E$76="NOPHASE",1,L80)</f>
        <v>0</v>
      </c>
      <c r="M81" s="114">
        <f t="shared" si="15"/>
        <v>0</v>
      </c>
      <c r="N81" s="114">
        <f t="shared" si="15"/>
        <v>0</v>
      </c>
      <c r="O81" s="114">
        <f t="shared" si="15"/>
        <v>0</v>
      </c>
      <c r="P81" s="114">
        <f t="shared" si="15"/>
        <v>2.5000000000000001E-2</v>
      </c>
      <c r="Q81" s="114">
        <f t="shared" si="15"/>
        <v>0.05</v>
      </c>
      <c r="R81" s="114">
        <f t="shared" si="15"/>
        <v>0.1</v>
      </c>
      <c r="S81" s="114">
        <f t="shared" si="15"/>
        <v>0.22500000000000001</v>
      </c>
      <c r="T81" s="114">
        <f t="shared" si="15"/>
        <v>0.48499999999999999</v>
      </c>
      <c r="U81" s="114">
        <f t="shared" si="15"/>
        <v>0.61</v>
      </c>
      <c r="V81" s="114">
        <f t="shared" si="15"/>
        <v>0.73499999999999999</v>
      </c>
      <c r="W81" s="114">
        <f t="shared" si="15"/>
        <v>0.86</v>
      </c>
      <c r="X81" s="114">
        <f t="shared" si="15"/>
        <v>1</v>
      </c>
      <c r="Y81" s="114">
        <f t="shared" si="15"/>
        <v>1</v>
      </c>
      <c r="Z81" s="114">
        <f t="shared" si="15"/>
        <v>1</v>
      </c>
      <c r="AA81" s="114">
        <f t="shared" si="15"/>
        <v>1</v>
      </c>
      <c r="AB81" s="114">
        <f t="shared" si="15"/>
        <v>1</v>
      </c>
      <c r="AC81" s="114">
        <f t="shared" si="15"/>
        <v>1</v>
      </c>
      <c r="AD81" s="114">
        <f t="shared" si="15"/>
        <v>1</v>
      </c>
      <c r="AE81" s="114">
        <f t="shared" si="15"/>
        <v>1</v>
      </c>
    </row>
    <row r="82" spans="1:31" ht="13.15" x14ac:dyDescent="0.4">
      <c r="D82" s="56" t="s">
        <v>2010</v>
      </c>
      <c r="E82" s="113" t="s">
        <v>79</v>
      </c>
      <c r="F82" s="103" t="s">
        <v>2011</v>
      </c>
      <c r="K82" s="113"/>
      <c r="L82" s="114">
        <f t="shared" ref="L82:AE82" si="16">IF($E$76="SCALED",L81,1)</f>
        <v>1</v>
      </c>
      <c r="M82" s="114">
        <f t="shared" si="16"/>
        <v>1</v>
      </c>
      <c r="N82" s="114">
        <f t="shared" si="16"/>
        <v>1</v>
      </c>
      <c r="O82" s="114">
        <f t="shared" si="16"/>
        <v>1</v>
      </c>
      <c r="P82" s="114">
        <f t="shared" si="16"/>
        <v>1</v>
      </c>
      <c r="Q82" s="114">
        <f t="shared" si="16"/>
        <v>1</v>
      </c>
      <c r="R82" s="114">
        <f t="shared" si="16"/>
        <v>1</v>
      </c>
      <c r="S82" s="114">
        <f t="shared" si="16"/>
        <v>1</v>
      </c>
      <c r="T82" s="114">
        <f t="shared" si="16"/>
        <v>1</v>
      </c>
      <c r="U82" s="114">
        <f t="shared" si="16"/>
        <v>1</v>
      </c>
      <c r="V82" s="114">
        <f t="shared" si="16"/>
        <v>1</v>
      </c>
      <c r="W82" s="114">
        <f t="shared" si="16"/>
        <v>1</v>
      </c>
      <c r="X82" s="114">
        <f t="shared" si="16"/>
        <v>1</v>
      </c>
      <c r="Y82" s="114">
        <f t="shared" si="16"/>
        <v>1</v>
      </c>
      <c r="Z82" s="114">
        <f t="shared" si="16"/>
        <v>1</v>
      </c>
      <c r="AA82" s="114">
        <f t="shared" si="16"/>
        <v>1</v>
      </c>
      <c r="AB82" s="114">
        <f t="shared" si="16"/>
        <v>1</v>
      </c>
      <c r="AC82" s="114">
        <f t="shared" si="16"/>
        <v>1</v>
      </c>
      <c r="AD82" s="114">
        <f t="shared" si="16"/>
        <v>1</v>
      </c>
      <c r="AE82" s="114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3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102" t="s">
        <v>1975</v>
      </c>
      <c r="G87" s="102" t="s">
        <v>1947</v>
      </c>
      <c r="H87" s="102" t="s">
        <v>929</v>
      </c>
      <c r="I87" s="102"/>
      <c r="J87" s="102"/>
      <c r="K87" s="107"/>
    </row>
    <row r="88" spans="1:31" ht="13.15" x14ac:dyDescent="0.4">
      <c r="D88" s="56" t="s">
        <v>1350</v>
      </c>
      <c r="E88" s="111">
        <v>0</v>
      </c>
      <c r="F88" s="103" t="s">
        <v>3114</v>
      </c>
      <c r="G88" s="53" t="s">
        <v>3115</v>
      </c>
      <c r="H88" s="94" t="s">
        <v>3116</v>
      </c>
      <c r="K88" s="111"/>
    </row>
    <row r="89" spans="1:31" ht="13.15" x14ac:dyDescent="0.4">
      <c r="D89" s="56" t="s">
        <v>1355</v>
      </c>
      <c r="E89" s="111">
        <v>0</v>
      </c>
      <c r="F89" s="103" t="s">
        <v>3117</v>
      </c>
      <c r="G89" s="53" t="s">
        <v>3115</v>
      </c>
      <c r="H89" s="94" t="s">
        <v>3118</v>
      </c>
      <c r="K89" s="111"/>
    </row>
    <row r="90" spans="1:31" ht="13.15" x14ac:dyDescent="0.4">
      <c r="D90" s="56" t="s">
        <v>1359</v>
      </c>
      <c r="E90" s="111">
        <v>0</v>
      </c>
      <c r="F90" s="103" t="s">
        <v>3119</v>
      </c>
      <c r="G90" s="53" t="s">
        <v>3115</v>
      </c>
      <c r="H90" s="94" t="s">
        <v>3120</v>
      </c>
      <c r="K90" s="111"/>
    </row>
    <row r="91" spans="1:31" ht="13.15" x14ac:dyDescent="0.4">
      <c r="D91" s="56" t="s">
        <v>1363</v>
      </c>
      <c r="E91" s="111">
        <v>0</v>
      </c>
      <c r="F91" s="103" t="s">
        <v>3117</v>
      </c>
      <c r="G91" s="53" t="s">
        <v>3115</v>
      </c>
      <c r="H91" s="94" t="s">
        <v>3121</v>
      </c>
      <c r="K91" s="111"/>
    </row>
    <row r="92" spans="1:31" ht="13.15" x14ac:dyDescent="0.4">
      <c r="D92" s="56" t="s">
        <v>1368</v>
      </c>
      <c r="E92" s="111">
        <v>1</v>
      </c>
      <c r="F92" s="103" t="s">
        <v>3122</v>
      </c>
      <c r="G92" s="53" t="s">
        <v>3115</v>
      </c>
      <c r="H92" s="94" t="s">
        <v>3123</v>
      </c>
      <c r="K92" s="111"/>
    </row>
    <row r="93" spans="1:31" ht="13.15" x14ac:dyDescent="0.4">
      <c r="D93" s="56" t="s">
        <v>1373</v>
      </c>
      <c r="E93" s="111">
        <v>0</v>
      </c>
      <c r="F93" s="103" t="s">
        <v>3117</v>
      </c>
      <c r="G93" s="53" t="s">
        <v>3115</v>
      </c>
      <c r="H93" s="94" t="s">
        <v>3124</v>
      </c>
      <c r="K93" s="111"/>
    </row>
    <row r="94" spans="1:31" ht="13.15" x14ac:dyDescent="0.4">
      <c r="D94" s="56" t="s">
        <v>1378</v>
      </c>
      <c r="E94" s="111">
        <v>0</v>
      </c>
      <c r="F94" s="103" t="s">
        <v>3117</v>
      </c>
      <c r="G94" s="53" t="s">
        <v>3115</v>
      </c>
      <c r="H94" s="94" t="s">
        <v>3125</v>
      </c>
      <c r="K94" s="111"/>
    </row>
    <row r="95" spans="1:31" ht="13.15" x14ac:dyDescent="0.4">
      <c r="D95" s="56" t="s">
        <v>1383</v>
      </c>
      <c r="E95" s="111">
        <v>0</v>
      </c>
      <c r="F95" s="103" t="s">
        <v>3117</v>
      </c>
      <c r="G95" s="53" t="s">
        <v>3115</v>
      </c>
      <c r="H95" s="94" t="s">
        <v>3126</v>
      </c>
      <c r="K95" s="111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4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4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4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4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4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4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4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4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4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4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4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4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4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4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4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4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4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2884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2883</v>
      </c>
      <c r="J250" s="70"/>
      <c r="K250" s="70"/>
      <c r="L250" s="112">
        <f>Fund_Industry!L$122</f>
        <v>0</v>
      </c>
      <c r="M250" s="112">
        <f>Fund_Industry!M$122</f>
        <v>0</v>
      </c>
      <c r="N250" s="112">
        <f>Fund_Industry!N$122</f>
        <v>0</v>
      </c>
      <c r="O250" s="112">
        <f>Fund_Industry!O$122</f>
        <v>0</v>
      </c>
      <c r="P250" s="112">
        <f>Fund_Industry!P$122</f>
        <v>0</v>
      </c>
      <c r="Q250" s="112">
        <f>Fund_Industry!Q$122</f>
        <v>0</v>
      </c>
      <c r="R250" s="112">
        <f>Fund_Industry!R$122</f>
        <v>0</v>
      </c>
      <c r="S250" s="112">
        <f>Fund_Industry!S$122</f>
        <v>0</v>
      </c>
      <c r="T250" s="112">
        <f>Fund_Industry!T$122</f>
        <v>0</v>
      </c>
      <c r="U250" s="112">
        <f>Fund_Industry!U$122</f>
        <v>0</v>
      </c>
      <c r="V250" s="112">
        <f>Fund_Industry!V$122</f>
        <v>0</v>
      </c>
      <c r="W250" s="112">
        <f>Fund_Industry!W$122</f>
        <v>0</v>
      </c>
      <c r="X250" s="112">
        <f>Fund_Industry!X$122</f>
        <v>0</v>
      </c>
      <c r="Y250" s="112">
        <f>Fund_Industry!Y$122</f>
        <v>0</v>
      </c>
      <c r="Z250" s="112">
        <f>Fund_Industry!Z$122</f>
        <v>0</v>
      </c>
      <c r="AA250" s="112">
        <f>Fund_Industry!AA$122</f>
        <v>0</v>
      </c>
      <c r="AB250" s="112">
        <f>Fund_Industry!AB$122</f>
        <v>0</v>
      </c>
      <c r="AC250" s="112">
        <f>Fund_Industry!AC$122</f>
        <v>0</v>
      </c>
      <c r="AD250" s="112">
        <f>Fund_Industry!AD$122</f>
        <v>0</v>
      </c>
      <c r="AE250" s="112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7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88">
        <v>5100</v>
      </c>
      <c r="G276" s="89">
        <v>4.3999999999999997E-2</v>
      </c>
      <c r="H276" s="80"/>
      <c r="I276" s="88">
        <v>580</v>
      </c>
      <c r="J276" s="112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88">
        <v>4800</v>
      </c>
      <c r="G277" s="89">
        <v>4.3999999999999997E-2</v>
      </c>
      <c r="H277" s="80"/>
      <c r="I277" s="88">
        <v>300</v>
      </c>
      <c r="J277" s="112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88">
        <v>0</v>
      </c>
      <c r="G278" s="89">
        <v>0</v>
      </c>
      <c r="H278" s="80"/>
      <c r="I278" s="88">
        <v>0</v>
      </c>
      <c r="J278" s="112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88">
        <v>50000</v>
      </c>
      <c r="G279" s="89">
        <v>3.3000000000000002E-2</v>
      </c>
      <c r="H279" s="80"/>
      <c r="I279" s="88">
        <v>800</v>
      </c>
      <c r="J279" s="112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88">
        <v>1785</v>
      </c>
      <c r="G280" s="89">
        <v>2.1999999999999999E-2</v>
      </c>
      <c r="H280" s="80"/>
      <c r="I280" s="88">
        <v>120</v>
      </c>
      <c r="J280" s="112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88">
        <v>2800</v>
      </c>
      <c r="G281" s="89">
        <v>2.1999999999999999E-2</v>
      </c>
      <c r="H281" s="80"/>
      <c r="I281" s="88">
        <v>1600</v>
      </c>
      <c r="J281" s="112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88">
        <v>600</v>
      </c>
      <c r="G282" s="89">
        <v>2.1999999999999999E-2</v>
      </c>
      <c r="H282" s="80"/>
      <c r="I282" s="88">
        <v>80</v>
      </c>
      <c r="J282" s="112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88">
        <v>300</v>
      </c>
      <c r="G283" s="89">
        <v>5.5E-2</v>
      </c>
      <c r="H283" s="80"/>
      <c r="I283" s="88">
        <v>167</v>
      </c>
      <c r="J283" s="112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0</v>
      </c>
      <c r="N286" s="101">
        <f t="shared" si="44"/>
        <v>0</v>
      </c>
      <c r="O286" s="101">
        <f t="shared" si="44"/>
        <v>0</v>
      </c>
      <c r="P286" s="101">
        <f t="shared" si="44"/>
        <v>-1.1102230246251565E-16</v>
      </c>
      <c r="Q286" s="101">
        <f t="shared" si="44"/>
        <v>0</v>
      </c>
      <c r="R286" s="101">
        <f t="shared" si="44"/>
        <v>2.2204460492503131E-16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0</v>
      </c>
      <c r="X286" s="101">
        <f t="shared" si="44"/>
        <v>0</v>
      </c>
      <c r="Y286" s="101">
        <f t="shared" si="44"/>
        <v>0</v>
      </c>
      <c r="Z286" s="101">
        <f t="shared" si="44"/>
        <v>0</v>
      </c>
      <c r="AA286" s="101">
        <f t="shared" si="44"/>
        <v>0</v>
      </c>
      <c r="AB286" s="101">
        <f t="shared" si="44"/>
        <v>2.2204460492503131E-16</v>
      </c>
      <c r="AC286" s="101">
        <f t="shared" si="44"/>
        <v>0</v>
      </c>
      <c r="AD286" s="101">
        <f t="shared" si="44"/>
        <v>2.2204460492503131E-16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7" t="s">
        <v>1434</v>
      </c>
      <c r="F288" s="70" t="s">
        <v>1435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7" t="s">
        <v>1437</v>
      </c>
      <c r="F289" s="70" t="s">
        <v>1438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7" t="s">
        <v>1440</v>
      </c>
      <c r="F290" s="70" t="s">
        <v>1441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7" t="s">
        <v>1443</v>
      </c>
      <c r="F291" s="70" t="s">
        <v>1444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7" t="s">
        <v>1446</v>
      </c>
      <c r="F292" s="70" t="s">
        <v>1447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7" t="s">
        <v>1449</v>
      </c>
      <c r="F293" s="70" t="s">
        <v>1450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7" t="s">
        <v>1452</v>
      </c>
      <c r="F294" s="70" t="s">
        <v>1453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7" t="s">
        <v>1455</v>
      </c>
      <c r="F295" s="70" t="s">
        <v>1456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0</v>
      </c>
      <c r="R361" s="101">
        <f t="shared" si="133"/>
        <v>2.2204460492503131E-16</v>
      </c>
      <c r="S361" s="101">
        <f t="shared" si="133"/>
        <v>2.2204460492503131E-16</v>
      </c>
      <c r="T361" s="101">
        <f t="shared" si="133"/>
        <v>2.2204460492503131E-16</v>
      </c>
      <c r="U361" s="101">
        <f t="shared" si="133"/>
        <v>0</v>
      </c>
      <c r="V361" s="101">
        <f t="shared" si="133"/>
        <v>2.2204460492503131E-16</v>
      </c>
      <c r="W361" s="101">
        <f t="shared" si="133"/>
        <v>-1.1102230246251565E-16</v>
      </c>
      <c r="X361" s="101">
        <f t="shared" si="133"/>
        <v>2.2204460492503131E-16</v>
      </c>
      <c r="Y361" s="101">
        <f t="shared" si="133"/>
        <v>0</v>
      </c>
      <c r="Z361" s="101">
        <f t="shared" si="133"/>
        <v>2.2204460492503131E-16</v>
      </c>
      <c r="AA361" s="101">
        <f t="shared" si="133"/>
        <v>0</v>
      </c>
      <c r="AB361" s="101">
        <f t="shared" si="133"/>
        <v>2.2204460492503131E-16</v>
      </c>
      <c r="AC361" s="101">
        <f t="shared" si="133"/>
        <v>0</v>
      </c>
      <c r="AD361" s="101">
        <f t="shared" si="133"/>
        <v>0</v>
      </c>
      <c r="AE361" s="101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2888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2887</v>
      </c>
      <c r="J649" s="70"/>
      <c r="K649" s="70"/>
      <c r="L649" s="112">
        <f>Fund_Industry!L$329</f>
        <v>0</v>
      </c>
      <c r="M649" s="112">
        <f>Fund_Industry!M$329</f>
        <v>0</v>
      </c>
      <c r="N649" s="112">
        <f>Fund_Industry!N$329</f>
        <v>0</v>
      </c>
      <c r="O649" s="112">
        <f>Fund_Industry!O$329</f>
        <v>0</v>
      </c>
      <c r="P649" s="112">
        <f>Fund_Industry!P$329</f>
        <v>0</v>
      </c>
      <c r="Q649" s="112">
        <f>Fund_Industry!Q$329</f>
        <v>0</v>
      </c>
      <c r="R649" s="112">
        <f>Fund_Industry!R$329</f>
        <v>0</v>
      </c>
      <c r="S649" s="112">
        <f>Fund_Industry!S$329</f>
        <v>0</v>
      </c>
      <c r="T649" s="112">
        <f>Fund_Industry!T$329</f>
        <v>0</v>
      </c>
      <c r="U649" s="112">
        <f>Fund_Industry!U$329</f>
        <v>0</v>
      </c>
      <c r="V649" s="112">
        <f>Fund_Industry!V$329</f>
        <v>0</v>
      </c>
      <c r="W649" s="112">
        <f>Fund_Industry!W$329</f>
        <v>0</v>
      </c>
      <c r="X649" s="112">
        <f>Fund_Industry!X$329</f>
        <v>0</v>
      </c>
      <c r="Y649" s="112">
        <f>Fund_Industry!Y$329</f>
        <v>0</v>
      </c>
      <c r="Z649" s="112">
        <f>Fund_Industry!Z$329</f>
        <v>0</v>
      </c>
      <c r="AA649" s="112">
        <f>Fund_Industry!AA$329</f>
        <v>0</v>
      </c>
      <c r="AB649" s="112">
        <f>Fund_Industry!AB$329</f>
        <v>0</v>
      </c>
      <c r="AC649" s="112">
        <f>Fund_Industry!AC$329</f>
        <v>0</v>
      </c>
      <c r="AD649" s="112">
        <f>Fund_Industry!AD$329</f>
        <v>0</v>
      </c>
      <c r="AE649" s="112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7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88">
        <v>5100</v>
      </c>
      <c r="G675" s="89">
        <v>4.3999999999999997E-2</v>
      </c>
      <c r="H675" s="80"/>
      <c r="I675" s="88">
        <v>580</v>
      </c>
      <c r="J675" s="112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88">
        <v>4800</v>
      </c>
      <c r="G676" s="89">
        <v>4.3999999999999997E-2</v>
      </c>
      <c r="H676" s="80"/>
      <c r="I676" s="88">
        <v>300</v>
      </c>
      <c r="J676" s="112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88">
        <v>0</v>
      </c>
      <c r="G677" s="89">
        <v>0</v>
      </c>
      <c r="H677" s="80"/>
      <c r="I677" s="88">
        <v>0</v>
      </c>
      <c r="J677" s="112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88">
        <v>50000</v>
      </c>
      <c r="G678" s="89">
        <v>3.3000000000000002E-2</v>
      </c>
      <c r="H678" s="80"/>
      <c r="I678" s="88">
        <v>800</v>
      </c>
      <c r="J678" s="112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88">
        <v>1785</v>
      </c>
      <c r="G679" s="89">
        <v>2.1999999999999999E-2</v>
      </c>
      <c r="H679" s="80"/>
      <c r="I679" s="88">
        <v>120</v>
      </c>
      <c r="J679" s="112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88">
        <v>2800</v>
      </c>
      <c r="G680" s="89">
        <v>2.1999999999999999E-2</v>
      </c>
      <c r="H680" s="80"/>
      <c r="I680" s="88">
        <v>1600</v>
      </c>
      <c r="J680" s="112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88">
        <v>600</v>
      </c>
      <c r="G681" s="89">
        <v>2.1999999999999999E-2</v>
      </c>
      <c r="H681" s="80"/>
      <c r="I681" s="88">
        <v>80</v>
      </c>
      <c r="J681" s="112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88">
        <v>300</v>
      </c>
      <c r="G682" s="89">
        <v>5.5E-2</v>
      </c>
      <c r="H682" s="80"/>
      <c r="I682" s="88">
        <v>167</v>
      </c>
      <c r="J682" s="112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101">
        <f t="shared" si="210"/>
        <v>0.44347645385531964</v>
      </c>
      <c r="N683" s="101">
        <f t="shared" si="210"/>
        <v>0.4432752933168122</v>
      </c>
      <c r="O683" s="101">
        <f t="shared" si="210"/>
        <v>0.44307927265114361</v>
      </c>
      <c r="P683" s="101">
        <f t="shared" si="210"/>
        <v>0.44288834045823561</v>
      </c>
      <c r="Q683" s="101">
        <f t="shared" si="210"/>
        <v>0.44270244440986661</v>
      </c>
      <c r="R683" s="101">
        <f t="shared" si="210"/>
        <v>0.44252153123593246</v>
      </c>
      <c r="S683" s="101">
        <f t="shared" si="210"/>
        <v>0.44234554671045312</v>
      </c>
      <c r="T683" s="101">
        <f t="shared" si="210"/>
        <v>0.44217443563732917</v>
      </c>
      <c r="U683" s="101">
        <f t="shared" si="210"/>
        <v>0.44200814183585402</v>
      </c>
      <c r="V683" s="101">
        <f t="shared" si="210"/>
        <v>0.44184660812598775</v>
      </c>
      <c r="W683" s="101">
        <f t="shared" si="210"/>
        <v>0.44168977631339978</v>
      </c>
      <c r="X683" s="101">
        <f t="shared" si="210"/>
        <v>0.4415375871742872</v>
      </c>
      <c r="Y683" s="101">
        <f t="shared" si="210"/>
        <v>0.44138998043997363</v>
      </c>
      <c r="Z683" s="101">
        <f t="shared" si="210"/>
        <v>0.4412468947813008</v>
      </c>
      <c r="AA683" s="101">
        <f t="shared" si="210"/>
        <v>0.44110826779281626</v>
      </c>
      <c r="AB683" s="101">
        <f t="shared" si="210"/>
        <v>0.44097403597677043</v>
      </c>
      <c r="AC683" s="101">
        <f t="shared" si="210"/>
        <v>0.44084413472692868</v>
      </c>
      <c r="AD683" s="101">
        <f t="shared" si="210"/>
        <v>0.44071849831220911</v>
      </c>
      <c r="AE683" s="101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0</v>
      </c>
      <c r="N685" s="101">
        <f t="shared" si="212"/>
        <v>0</v>
      </c>
      <c r="O685" s="101">
        <f t="shared" si="212"/>
        <v>0</v>
      </c>
      <c r="P685" s="101">
        <f t="shared" si="212"/>
        <v>-1.1102230246251565E-16</v>
      </c>
      <c r="Q685" s="101">
        <f t="shared" si="212"/>
        <v>0</v>
      </c>
      <c r="R685" s="101">
        <f t="shared" si="212"/>
        <v>2.2204460492503131E-16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0</v>
      </c>
      <c r="X685" s="101">
        <f t="shared" si="212"/>
        <v>0</v>
      </c>
      <c r="Y685" s="101">
        <f t="shared" si="212"/>
        <v>0</v>
      </c>
      <c r="Z685" s="101">
        <f t="shared" si="212"/>
        <v>0</v>
      </c>
      <c r="AA685" s="101">
        <f t="shared" si="212"/>
        <v>0</v>
      </c>
      <c r="AB685" s="101">
        <f t="shared" si="212"/>
        <v>2.2204460492503131E-16</v>
      </c>
      <c r="AC685" s="101">
        <f t="shared" si="212"/>
        <v>0</v>
      </c>
      <c r="AD685" s="101">
        <f t="shared" si="212"/>
        <v>2.2204460492503131E-16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7" t="s">
        <v>1434</v>
      </c>
      <c r="F687" s="70" t="s">
        <v>1435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7" t="s">
        <v>1437</v>
      </c>
      <c r="F688" s="70" t="s">
        <v>1438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7" t="s">
        <v>1440</v>
      </c>
      <c r="F689" s="70" t="s">
        <v>1441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7" t="s">
        <v>1443</v>
      </c>
      <c r="F690" s="70" t="s">
        <v>1444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7" t="s">
        <v>1446</v>
      </c>
      <c r="F691" s="70" t="s">
        <v>1447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7" t="s">
        <v>1449</v>
      </c>
      <c r="F692" s="70" t="s">
        <v>1450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7" t="s">
        <v>1452</v>
      </c>
      <c r="F693" s="70" t="s">
        <v>1453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7" t="s">
        <v>1455</v>
      </c>
      <c r="F694" s="70" t="s">
        <v>1456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101">
        <f t="shared" si="235"/>
        <v>0.52437567936948137</v>
      </c>
      <c r="N696" s="101">
        <f t="shared" si="235"/>
        <v>0.52437567936948148</v>
      </c>
      <c r="O696" s="101">
        <f t="shared" si="235"/>
        <v>0.52437567936948137</v>
      </c>
      <c r="P696" s="101">
        <f t="shared" si="235"/>
        <v>0.52437567936948148</v>
      </c>
      <c r="Q696" s="101">
        <f t="shared" si="235"/>
        <v>0.52437567936948148</v>
      </c>
      <c r="R696" s="101">
        <f t="shared" si="235"/>
        <v>0.52437567936948148</v>
      </c>
      <c r="S696" s="101">
        <f t="shared" si="235"/>
        <v>0.52437567936948148</v>
      </c>
      <c r="T696" s="101">
        <f t="shared" si="235"/>
        <v>0.52437567936948148</v>
      </c>
      <c r="U696" s="101">
        <f t="shared" si="235"/>
        <v>0.52437567936948148</v>
      </c>
      <c r="V696" s="101">
        <f t="shared" si="235"/>
        <v>0.52437567936948148</v>
      </c>
      <c r="W696" s="101">
        <f t="shared" si="235"/>
        <v>0.52437567936948148</v>
      </c>
      <c r="X696" s="101">
        <f t="shared" si="235"/>
        <v>0.52437567936948148</v>
      </c>
      <c r="Y696" s="101">
        <f t="shared" si="235"/>
        <v>0.52437567936948148</v>
      </c>
      <c r="Z696" s="101">
        <f t="shared" si="235"/>
        <v>0.52437567936948137</v>
      </c>
      <c r="AA696" s="101">
        <f t="shared" si="235"/>
        <v>0.52437567936948137</v>
      </c>
      <c r="AB696" s="101">
        <f t="shared" si="235"/>
        <v>0.52437567936948137</v>
      </c>
      <c r="AC696" s="101">
        <f t="shared" si="235"/>
        <v>0.52437567936948148</v>
      </c>
      <c r="AD696" s="101">
        <f t="shared" si="235"/>
        <v>0.52437567936948148</v>
      </c>
      <c r="AE696" s="101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-0.74582270893582747</v>
      </c>
      <c r="R760" s="101">
        <f t="shared" si="301"/>
        <v>-0.74308051817722065</v>
      </c>
      <c r="S760" s="101">
        <f t="shared" si="301"/>
        <v>-0.6220949750125041</v>
      </c>
      <c r="T760" s="101">
        <f t="shared" si="301"/>
        <v>-0.52077890793261994</v>
      </c>
      <c r="U760" s="101">
        <f t="shared" si="301"/>
        <v>-0.51649278062993798</v>
      </c>
      <c r="V760" s="101">
        <f t="shared" si="301"/>
        <v>-0.51287910395548386</v>
      </c>
      <c r="W760" s="101">
        <f t="shared" si="301"/>
        <v>-0.50964066462213453</v>
      </c>
      <c r="X760" s="101">
        <f t="shared" si="301"/>
        <v>-0.5017352252479943</v>
      </c>
      <c r="Y760" s="101">
        <f t="shared" si="301"/>
        <v>-0.52921946725414593</v>
      </c>
      <c r="Z760" s="101">
        <f t="shared" si="301"/>
        <v>-0.54480830047037254</v>
      </c>
      <c r="AA760" s="101">
        <f t="shared" si="301"/>
        <v>-0.56026843164968532</v>
      </c>
      <c r="AB760" s="101">
        <f t="shared" si="301"/>
        <v>-0.57559586373392413</v>
      </c>
      <c r="AC760" s="101">
        <f t="shared" si="301"/>
        <v>-0.59078670449813253</v>
      </c>
      <c r="AD760" s="101">
        <f t="shared" si="301"/>
        <v>-0.60583717004461479</v>
      </c>
      <c r="AE760" s="101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8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9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8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9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8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9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8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9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8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9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8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9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8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9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8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9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8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9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30">
        <f t="shared" ref="L15:AE15" si="1">SUM(L6:L14)</f>
        <v>4.5303835184019645</v>
      </c>
      <c r="M15" s="130">
        <f t="shared" si="1"/>
        <v>3.8469033618625206</v>
      </c>
      <c r="N15" s="130">
        <f t="shared" si="1"/>
        <v>4.3290746208215198</v>
      </c>
      <c r="O15" s="130">
        <f t="shared" si="1"/>
        <v>4.5451606543512009</v>
      </c>
      <c r="P15" s="130">
        <f t="shared" si="1"/>
        <v>4.6606527233890995</v>
      </c>
      <c r="Q15" s="130">
        <f t="shared" si="1"/>
        <v>4.8330795942744347</v>
      </c>
      <c r="R15" s="130">
        <f t="shared" si="1"/>
        <v>5.0529306123252606</v>
      </c>
      <c r="S15" s="130">
        <f t="shared" si="1"/>
        <v>5.2667916999615381</v>
      </c>
      <c r="T15" s="130">
        <f t="shared" si="1"/>
        <v>5.4699790897750464</v>
      </c>
      <c r="U15" s="130">
        <f t="shared" si="1"/>
        <v>5.6771103604276671</v>
      </c>
      <c r="V15" s="130">
        <f t="shared" si="1"/>
        <v>5.8842858461533165</v>
      </c>
      <c r="W15" s="130">
        <f t="shared" si="1"/>
        <v>6.0960674143926461</v>
      </c>
      <c r="X15" s="130">
        <f t="shared" si="1"/>
        <v>6.3124466882788575</v>
      </c>
      <c r="Y15" s="130">
        <f t="shared" si="1"/>
        <v>6.5334118787127196</v>
      </c>
      <c r="Z15" s="130">
        <f t="shared" si="1"/>
        <v>6.7589477212745512</v>
      </c>
      <c r="AA15" s="130">
        <f t="shared" si="1"/>
        <v>6.9890354050403589</v>
      </c>
      <c r="AB15" s="130">
        <f t="shared" si="1"/>
        <v>7.2236524927720804</v>
      </c>
      <c r="AC15" s="130">
        <f t="shared" si="1"/>
        <v>7.4627728319721847</v>
      </c>
      <c r="AD15" s="130">
        <f t="shared" si="1"/>
        <v>7.7063664563130869</v>
      </c>
      <c r="AE15" s="130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8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9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8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9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8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9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8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9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8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9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8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9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8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9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8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9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8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9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30">
        <f t="shared" ref="L27:AE27" si="3">SUM(L18:L26)</f>
        <v>9.4893574461323063</v>
      </c>
      <c r="M27" s="130">
        <f t="shared" si="3"/>
        <v>7.892397868173477</v>
      </c>
      <c r="N27" s="130">
        <f t="shared" si="3"/>
        <v>8.974049898041585</v>
      </c>
      <c r="O27" s="130">
        <f t="shared" si="3"/>
        <v>9.6117389440758174</v>
      </c>
      <c r="P27" s="130">
        <f t="shared" si="3"/>
        <v>9.6255920185944621</v>
      </c>
      <c r="Q27" s="130">
        <f t="shared" si="3"/>
        <v>9.8610476555574511</v>
      </c>
      <c r="R27" s="130">
        <f t="shared" si="3"/>
        <v>10.224041222352259</v>
      </c>
      <c r="S27" s="130">
        <f t="shared" si="3"/>
        <v>10.577278178288619</v>
      </c>
      <c r="T27" s="130">
        <f t="shared" si="3"/>
        <v>10.913917324515168</v>
      </c>
      <c r="U27" s="130">
        <f t="shared" si="3"/>
        <v>11.254980886600027</v>
      </c>
      <c r="V27" s="130">
        <f t="shared" si="3"/>
        <v>11.572436051134584</v>
      </c>
      <c r="W27" s="130">
        <f t="shared" si="3"/>
        <v>11.894967219383652</v>
      </c>
      <c r="X27" s="130">
        <f t="shared" si="3"/>
        <v>12.222536887315171</v>
      </c>
      <c r="Y27" s="130">
        <f t="shared" si="3"/>
        <v>12.55510423174249</v>
      </c>
      <c r="Z27" s="130">
        <f t="shared" si="3"/>
        <v>12.892625020155874</v>
      </c>
      <c r="AA27" s="130">
        <f t="shared" si="3"/>
        <v>13.235051509488891</v>
      </c>
      <c r="AB27" s="130">
        <f t="shared" si="3"/>
        <v>13.582332333397812</v>
      </c>
      <c r="AC27" s="130">
        <f t="shared" si="3"/>
        <v>13.934412377644653</v>
      </c>
      <c r="AD27" s="130">
        <f t="shared" si="3"/>
        <v>14.291232643187328</v>
      </c>
      <c r="AE27" s="130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8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9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8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9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8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9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8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9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8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9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8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9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8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9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8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9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8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9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30">
        <f t="shared" ref="L39:AE39" si="5">SUM(L30:L38)</f>
        <v>0</v>
      </c>
      <c r="M39" s="130">
        <f t="shared" si="5"/>
        <v>0</v>
      </c>
      <c r="N39" s="130">
        <f t="shared" si="5"/>
        <v>0</v>
      </c>
      <c r="O39" s="130">
        <f t="shared" si="5"/>
        <v>0</v>
      </c>
      <c r="P39" s="130">
        <f t="shared" si="5"/>
        <v>0</v>
      </c>
      <c r="Q39" s="130">
        <f t="shared" si="5"/>
        <v>0</v>
      </c>
      <c r="R39" s="130">
        <f t="shared" si="5"/>
        <v>0</v>
      </c>
      <c r="S39" s="130">
        <f t="shared" si="5"/>
        <v>0</v>
      </c>
      <c r="T39" s="130">
        <f t="shared" si="5"/>
        <v>0</v>
      </c>
      <c r="U39" s="130">
        <f t="shared" si="5"/>
        <v>0</v>
      </c>
      <c r="V39" s="130">
        <f t="shared" si="5"/>
        <v>0</v>
      </c>
      <c r="W39" s="130">
        <f t="shared" si="5"/>
        <v>0</v>
      </c>
      <c r="X39" s="130">
        <f t="shared" si="5"/>
        <v>0</v>
      </c>
      <c r="Y39" s="130">
        <f t="shared" si="5"/>
        <v>0</v>
      </c>
      <c r="Z39" s="130">
        <f t="shared" si="5"/>
        <v>0</v>
      </c>
      <c r="AA39" s="130">
        <f t="shared" si="5"/>
        <v>0</v>
      </c>
      <c r="AB39" s="130">
        <f t="shared" si="5"/>
        <v>0</v>
      </c>
      <c r="AC39" s="130">
        <f t="shared" si="5"/>
        <v>0</v>
      </c>
      <c r="AD39" s="130">
        <f t="shared" si="5"/>
        <v>0</v>
      </c>
      <c r="AE39" s="130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8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9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8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9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8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9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8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9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8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9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8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9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8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9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8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9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8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9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30">
        <f t="shared" ref="L51:AE51" si="7">SUM(L42:L50)</f>
        <v>0</v>
      </c>
      <c r="M51" s="130">
        <f t="shared" si="7"/>
        <v>0</v>
      </c>
      <c r="N51" s="130">
        <f t="shared" si="7"/>
        <v>0</v>
      </c>
      <c r="O51" s="130">
        <f t="shared" si="7"/>
        <v>0</v>
      </c>
      <c r="P51" s="130">
        <f t="shared" si="7"/>
        <v>0</v>
      </c>
      <c r="Q51" s="130">
        <f t="shared" si="7"/>
        <v>0</v>
      </c>
      <c r="R51" s="130">
        <f t="shared" si="7"/>
        <v>0</v>
      </c>
      <c r="S51" s="130">
        <f t="shared" si="7"/>
        <v>0</v>
      </c>
      <c r="T51" s="130">
        <f t="shared" si="7"/>
        <v>0</v>
      </c>
      <c r="U51" s="130">
        <f t="shared" si="7"/>
        <v>0</v>
      </c>
      <c r="V51" s="130">
        <f t="shared" si="7"/>
        <v>0</v>
      </c>
      <c r="W51" s="130">
        <f t="shared" si="7"/>
        <v>0</v>
      </c>
      <c r="X51" s="130">
        <f t="shared" si="7"/>
        <v>0</v>
      </c>
      <c r="Y51" s="130">
        <f t="shared" si="7"/>
        <v>0</v>
      </c>
      <c r="Z51" s="130">
        <f t="shared" si="7"/>
        <v>0</v>
      </c>
      <c r="AA51" s="130">
        <f t="shared" si="7"/>
        <v>0</v>
      </c>
      <c r="AB51" s="130">
        <f t="shared" si="7"/>
        <v>0</v>
      </c>
      <c r="AC51" s="130">
        <f t="shared" si="7"/>
        <v>0</v>
      </c>
      <c r="AD51" s="130">
        <f t="shared" si="7"/>
        <v>0</v>
      </c>
      <c r="AE51" s="130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8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9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8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9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8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9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8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9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8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9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8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9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8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9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8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9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8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9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30">
        <f t="shared" ref="L66:AE66" si="9">SUM(L57:L65)</f>
        <v>4.5303835184019645</v>
      </c>
      <c r="M66" s="130">
        <f t="shared" si="9"/>
        <v>3.8469033618625206</v>
      </c>
      <c r="N66" s="130">
        <f t="shared" si="9"/>
        <v>4.3290746208215198</v>
      </c>
      <c r="O66" s="130">
        <f t="shared" si="9"/>
        <v>4.5451606543512009</v>
      </c>
      <c r="P66" s="130">
        <f t="shared" si="9"/>
        <v>4.6606527233890995</v>
      </c>
      <c r="Q66" s="130">
        <f t="shared" si="9"/>
        <v>4.4078296144020142</v>
      </c>
      <c r="R66" s="130">
        <f t="shared" si="9"/>
        <v>4.246993475594202</v>
      </c>
      <c r="S66" s="130">
        <f t="shared" si="9"/>
        <v>4.1117536252780678</v>
      </c>
      <c r="T66" s="130">
        <f t="shared" si="9"/>
        <v>3.9924395556502268</v>
      </c>
      <c r="U66" s="130">
        <f t="shared" si="9"/>
        <v>3.8941902155876629</v>
      </c>
      <c r="V66" s="130">
        <f t="shared" si="9"/>
        <v>3.8124028190221151</v>
      </c>
      <c r="W66" s="130">
        <f t="shared" si="9"/>
        <v>3.7471168511266315</v>
      </c>
      <c r="X66" s="130">
        <f t="shared" si="9"/>
        <v>3.6964075936068812</v>
      </c>
      <c r="Y66" s="130">
        <f t="shared" si="9"/>
        <v>3.6591659054499268</v>
      </c>
      <c r="Z66" s="130">
        <f t="shared" si="9"/>
        <v>3.6352380271397982</v>
      </c>
      <c r="AA66" s="130">
        <f t="shared" si="9"/>
        <v>3.623938569338653</v>
      </c>
      <c r="AB66" s="130">
        <f t="shared" si="9"/>
        <v>3.6245334840846737</v>
      </c>
      <c r="AC66" s="130">
        <f t="shared" si="9"/>
        <v>3.6357614325971319</v>
      </c>
      <c r="AD66" s="130">
        <f t="shared" si="9"/>
        <v>3.656572990259491</v>
      </c>
      <c r="AE66" s="130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8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9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8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9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8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9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8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9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8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9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8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9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8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9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8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9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8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9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30">
        <f t="shared" ref="L78:AE78" si="11">SUM(L69:L77)</f>
        <v>9.4893574461323063</v>
      </c>
      <c r="M78" s="130">
        <f t="shared" si="11"/>
        <v>7.892397868173477</v>
      </c>
      <c r="N78" s="130">
        <f t="shared" si="11"/>
        <v>8.974049898041585</v>
      </c>
      <c r="O78" s="130">
        <f t="shared" si="11"/>
        <v>9.6117389440758174</v>
      </c>
      <c r="P78" s="130">
        <f t="shared" si="11"/>
        <v>9.6255920185944621</v>
      </c>
      <c r="Q78" s="130">
        <f t="shared" si="11"/>
        <v>9.0746501749675428</v>
      </c>
      <c r="R78" s="130">
        <f t="shared" si="11"/>
        <v>8.7362574382654046</v>
      </c>
      <c r="S78" s="130">
        <f t="shared" si="11"/>
        <v>8.4490397368747985</v>
      </c>
      <c r="T78" s="130">
        <f t="shared" si="11"/>
        <v>8.1955178569750267</v>
      </c>
      <c r="U78" s="130">
        <f t="shared" si="11"/>
        <v>7.9814424709644749</v>
      </c>
      <c r="V78" s="130">
        <f t="shared" si="11"/>
        <v>7.7902867807190201</v>
      </c>
      <c r="W78" s="130">
        <f t="shared" si="11"/>
        <v>7.6314031195294163</v>
      </c>
      <c r="X78" s="130">
        <f t="shared" si="11"/>
        <v>7.5006570964300785</v>
      </c>
      <c r="Y78" s="130">
        <f t="shared" si="11"/>
        <v>7.3954239718464407</v>
      </c>
      <c r="Z78" s="130">
        <f t="shared" si="11"/>
        <v>7.3147393259951752</v>
      </c>
      <c r="AA78" s="130">
        <f t="shared" si="11"/>
        <v>7.2568985784252265</v>
      </c>
      <c r="AB78" s="130">
        <f t="shared" si="11"/>
        <v>7.2202035238785385</v>
      </c>
      <c r="AC78" s="130">
        <f t="shared" si="11"/>
        <v>7.2022011866219096</v>
      </c>
      <c r="AD78" s="130">
        <f t="shared" si="11"/>
        <v>7.2008394296116975</v>
      </c>
      <c r="AE78" s="130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8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9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8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9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8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9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8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9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8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9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8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9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8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9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8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9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8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9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30">
        <f t="shared" ref="L90:AE90" si="13">SUM(L81:L89)</f>
        <v>0</v>
      </c>
      <c r="M90" s="130">
        <f t="shared" si="13"/>
        <v>0</v>
      </c>
      <c r="N90" s="130">
        <f t="shared" si="13"/>
        <v>0</v>
      </c>
      <c r="O90" s="130">
        <f t="shared" si="13"/>
        <v>0</v>
      </c>
      <c r="P90" s="130">
        <f t="shared" si="13"/>
        <v>0</v>
      </c>
      <c r="Q90" s="130">
        <f t="shared" si="13"/>
        <v>0</v>
      </c>
      <c r="R90" s="130">
        <f t="shared" si="13"/>
        <v>0</v>
      </c>
      <c r="S90" s="130">
        <f t="shared" si="13"/>
        <v>0</v>
      </c>
      <c r="T90" s="130">
        <f t="shared" si="13"/>
        <v>0</v>
      </c>
      <c r="U90" s="130">
        <f t="shared" si="13"/>
        <v>0</v>
      </c>
      <c r="V90" s="130">
        <f t="shared" si="13"/>
        <v>0</v>
      </c>
      <c r="W90" s="130">
        <f t="shared" si="13"/>
        <v>0</v>
      </c>
      <c r="X90" s="130">
        <f t="shared" si="13"/>
        <v>0</v>
      </c>
      <c r="Y90" s="130">
        <f t="shared" si="13"/>
        <v>0</v>
      </c>
      <c r="Z90" s="130">
        <f t="shared" si="13"/>
        <v>0</v>
      </c>
      <c r="AA90" s="130">
        <f t="shared" si="13"/>
        <v>0</v>
      </c>
      <c r="AB90" s="130">
        <f t="shared" si="13"/>
        <v>0</v>
      </c>
      <c r="AC90" s="130">
        <f t="shared" si="13"/>
        <v>0</v>
      </c>
      <c r="AD90" s="130">
        <f t="shared" si="13"/>
        <v>0</v>
      </c>
      <c r="AE90" s="130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8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9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8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9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8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9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8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9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8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9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8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9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8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9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8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9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8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9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30">
        <f t="shared" ref="L102:AE102" si="15">SUM(L93:L101)</f>
        <v>0</v>
      </c>
      <c r="M102" s="130">
        <f t="shared" si="15"/>
        <v>0</v>
      </c>
      <c r="N102" s="130">
        <f t="shared" si="15"/>
        <v>0</v>
      </c>
      <c r="O102" s="130">
        <f t="shared" si="15"/>
        <v>0</v>
      </c>
      <c r="P102" s="130">
        <f t="shared" si="15"/>
        <v>0</v>
      </c>
      <c r="Q102" s="130">
        <f t="shared" si="15"/>
        <v>0</v>
      </c>
      <c r="R102" s="130">
        <f t="shared" si="15"/>
        <v>0</v>
      </c>
      <c r="S102" s="130">
        <f t="shared" si="15"/>
        <v>0</v>
      </c>
      <c r="T102" s="130">
        <f t="shared" si="15"/>
        <v>0</v>
      </c>
      <c r="U102" s="130">
        <f t="shared" si="15"/>
        <v>0</v>
      </c>
      <c r="V102" s="130">
        <f t="shared" si="15"/>
        <v>0</v>
      </c>
      <c r="W102" s="130">
        <f t="shared" si="15"/>
        <v>0</v>
      </c>
      <c r="X102" s="130">
        <f t="shared" si="15"/>
        <v>0</v>
      </c>
      <c r="Y102" s="130">
        <f t="shared" si="15"/>
        <v>0</v>
      </c>
      <c r="Z102" s="130">
        <f t="shared" si="15"/>
        <v>0</v>
      </c>
      <c r="AA102" s="130">
        <f t="shared" si="15"/>
        <v>0</v>
      </c>
      <c r="AB102" s="130">
        <f t="shared" si="15"/>
        <v>0</v>
      </c>
      <c r="AC102" s="130">
        <f t="shared" si="15"/>
        <v>0</v>
      </c>
      <c r="AD102" s="130">
        <f t="shared" si="15"/>
        <v>0</v>
      </c>
      <c r="AE102" s="13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0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55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8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8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8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8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8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8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8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8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8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8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8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8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8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8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8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8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8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8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8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8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8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8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8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8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8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8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8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8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8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8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8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8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8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8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8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8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8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8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8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8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8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8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8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8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8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8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8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8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8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8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8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8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8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8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8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8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8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8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8" t="str">
        <f>Settings!$B$3&amp;".mit.obr.cbam.tot.1"</f>
        <v>egy.mit.obr.cbam.tot.1</v>
      </c>
      <c r="L78" s="130">
        <f t="shared" ref="L78:AE78" si="24">SUM(L70:L77)</f>
        <v>0</v>
      </c>
      <c r="M78" s="130">
        <f t="shared" si="24"/>
        <v>0</v>
      </c>
      <c r="N78" s="130">
        <f t="shared" si="24"/>
        <v>0</v>
      </c>
      <c r="O78" s="130">
        <f t="shared" si="24"/>
        <v>0</v>
      </c>
      <c r="P78" s="130">
        <f t="shared" si="24"/>
        <v>0</v>
      </c>
      <c r="Q78" s="130">
        <f t="shared" si="24"/>
        <v>0</v>
      </c>
      <c r="R78" s="130">
        <f t="shared" si="24"/>
        <v>0</v>
      </c>
      <c r="S78" s="130">
        <f t="shared" si="24"/>
        <v>0</v>
      </c>
      <c r="T78" s="130">
        <f t="shared" si="24"/>
        <v>0</v>
      </c>
      <c r="U78" s="130">
        <f t="shared" si="24"/>
        <v>0</v>
      </c>
      <c r="V78" s="130">
        <f t="shared" si="24"/>
        <v>0</v>
      </c>
      <c r="W78" s="130">
        <f t="shared" si="24"/>
        <v>0</v>
      </c>
      <c r="X78" s="130">
        <f t="shared" si="24"/>
        <v>0</v>
      </c>
      <c r="Y78" s="130">
        <f t="shared" si="24"/>
        <v>0</v>
      </c>
      <c r="Z78" s="130">
        <f t="shared" si="24"/>
        <v>0</v>
      </c>
      <c r="AA78" s="130">
        <f t="shared" si="24"/>
        <v>0</v>
      </c>
      <c r="AB78" s="130">
        <f t="shared" si="24"/>
        <v>0</v>
      </c>
      <c r="AC78" s="130">
        <f t="shared" si="24"/>
        <v>0</v>
      </c>
      <c r="AD78" s="130">
        <f t="shared" si="24"/>
        <v>0</v>
      </c>
      <c r="AE78" s="130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8" t="str">
        <f>Settings!$B$3&amp;".mit.obr.ind.irn.1"</f>
        <v>egy.mit.obr.ind.irn.1</v>
      </c>
      <c r="I81" t="s">
        <v>2254</v>
      </c>
      <c r="L81" s="130">
        <f t="shared" ref="L81:AE81" si="25">L$70+L$71+L$72</f>
        <v>0</v>
      </c>
      <c r="M81" s="130">
        <f t="shared" si="25"/>
        <v>0</v>
      </c>
      <c r="N81" s="130">
        <f t="shared" si="25"/>
        <v>0</v>
      </c>
      <c r="O81" s="130">
        <f t="shared" si="25"/>
        <v>0</v>
      </c>
      <c r="P81" s="130">
        <f t="shared" si="25"/>
        <v>0</v>
      </c>
      <c r="Q81" s="130">
        <f t="shared" si="25"/>
        <v>0</v>
      </c>
      <c r="R81" s="130">
        <f t="shared" si="25"/>
        <v>0</v>
      </c>
      <c r="S81" s="130">
        <f t="shared" si="25"/>
        <v>0</v>
      </c>
      <c r="T81" s="130">
        <f t="shared" si="25"/>
        <v>0</v>
      </c>
      <c r="U81" s="130">
        <f t="shared" si="25"/>
        <v>0</v>
      </c>
      <c r="V81" s="130">
        <f t="shared" si="25"/>
        <v>0</v>
      </c>
      <c r="W81" s="130">
        <f t="shared" si="25"/>
        <v>0</v>
      </c>
      <c r="X81" s="130">
        <f t="shared" si="25"/>
        <v>0</v>
      </c>
      <c r="Y81" s="130">
        <f t="shared" si="25"/>
        <v>0</v>
      </c>
      <c r="Z81" s="130">
        <f t="shared" si="25"/>
        <v>0</v>
      </c>
      <c r="AA81" s="130">
        <f t="shared" si="25"/>
        <v>0</v>
      </c>
      <c r="AB81" s="130">
        <f t="shared" si="25"/>
        <v>0</v>
      </c>
      <c r="AC81" s="130">
        <f t="shared" si="25"/>
        <v>0</v>
      </c>
      <c r="AD81" s="130">
        <f t="shared" si="25"/>
        <v>0</v>
      </c>
      <c r="AE81" s="130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8" t="str">
        <f>Settings!$B$3&amp;".mit.ccf.ind.irn.1"</f>
        <v>egy.mit.ccf.ind.irn.1</v>
      </c>
      <c r="L82" s="130">
        <f>L$20*Mitigation_Industry!L$276/1000+L$21*Mitigation_Industry!L$277/1000+L$22*Mitigation_Industry!L$278/1000</f>
        <v>0</v>
      </c>
      <c r="M82" s="130">
        <f>M$20*Mitigation_Industry!M$276/1000+M$21*Mitigation_Industry!M$277/1000+M$22*Mitigation_Industry!M$278/1000</f>
        <v>0</v>
      </c>
      <c r="N82" s="130">
        <f>N$20*Mitigation_Industry!N$276/1000+N$21*Mitigation_Industry!N$277/1000+N$22*Mitigation_Industry!N$278/1000</f>
        <v>0</v>
      </c>
      <c r="O82" s="130">
        <f>O$20*Mitigation_Industry!O$276/1000+O$21*Mitigation_Industry!O$277/1000+O$22*Mitigation_Industry!O$278/1000</f>
        <v>0</v>
      </c>
      <c r="P82" s="130">
        <f>P$20*Mitigation_Industry!P$276/1000+P$21*Mitigation_Industry!P$277/1000+P$22*Mitigation_Industry!P$278/1000</f>
        <v>0</v>
      </c>
      <c r="Q82" s="130">
        <f>Q$20*Mitigation_Industry!Q$276/1000+Q$21*Mitigation_Industry!Q$277/1000+Q$22*Mitigation_Industry!Q$278/1000</f>
        <v>0</v>
      </c>
      <c r="R82" s="130">
        <f>R$20*Mitigation_Industry!R$276/1000+R$21*Mitigation_Industry!R$277/1000+R$22*Mitigation_Industry!R$278/1000</f>
        <v>0</v>
      </c>
      <c r="S82" s="130">
        <f>S$20*Mitigation_Industry!S$276/1000+S$21*Mitigation_Industry!S$277/1000+S$22*Mitigation_Industry!S$278/1000</f>
        <v>0</v>
      </c>
      <c r="T82" s="130">
        <f>T$20*Mitigation_Industry!T$276/1000+T$21*Mitigation_Industry!T$277/1000+T$22*Mitigation_Industry!T$278/1000</f>
        <v>0</v>
      </c>
      <c r="U82" s="130">
        <f>U$20*Mitigation_Industry!U$276/1000+U$21*Mitigation_Industry!U$277/1000+U$22*Mitigation_Industry!U$278/1000</f>
        <v>0</v>
      </c>
      <c r="V82" s="130">
        <f>V$20*Mitigation_Industry!V$276/1000+V$21*Mitigation_Industry!V$277/1000+V$22*Mitigation_Industry!V$278/1000</f>
        <v>0</v>
      </c>
      <c r="W82" s="130">
        <f>W$20*Mitigation_Industry!W$276/1000+W$21*Mitigation_Industry!W$277/1000+W$22*Mitigation_Industry!W$278/1000</f>
        <v>0</v>
      </c>
      <c r="X82" s="130">
        <f>X$20*Mitigation_Industry!X$276/1000+X$21*Mitigation_Industry!X$277/1000+X$22*Mitigation_Industry!X$278/1000</f>
        <v>0</v>
      </c>
      <c r="Y82" s="130">
        <f>Y$20*Mitigation_Industry!Y$276/1000+Y$21*Mitigation_Industry!Y$277/1000+Y$22*Mitigation_Industry!Y$278/1000</f>
        <v>0</v>
      </c>
      <c r="Z82" s="130">
        <f>Z$20*Mitigation_Industry!Z$276/1000+Z$21*Mitigation_Industry!Z$277/1000+Z$22*Mitigation_Industry!Z$278/1000</f>
        <v>0</v>
      </c>
      <c r="AA82" s="130">
        <f>AA$20*Mitigation_Industry!AA$276/1000+AA$21*Mitigation_Industry!AA$277/1000+AA$22*Mitigation_Industry!AA$278/1000</f>
        <v>0</v>
      </c>
      <c r="AB82" s="130">
        <f>AB$20*Mitigation_Industry!AB$276/1000+AB$21*Mitigation_Industry!AB$277/1000+AB$22*Mitigation_Industry!AB$278/1000</f>
        <v>0</v>
      </c>
      <c r="AC82" s="130">
        <f>AC$20*Mitigation_Industry!AC$276/1000+AC$21*Mitigation_Industry!AC$277/1000+AC$22*Mitigation_Industry!AC$278/1000</f>
        <v>0</v>
      </c>
      <c r="AD82" s="130">
        <f>AD$20*Mitigation_Industry!AD$276/1000+AD$21*Mitigation_Industry!AD$277/1000+AD$22*Mitigation_Industry!AD$278/1000</f>
        <v>0</v>
      </c>
      <c r="AE82" s="130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8" t="str">
        <f>Settings!$B$3&amp;".mit.rsh.ind.irn.1"</f>
        <v>egy.mit.rsh.ind.irn.1</v>
      </c>
      <c r="I83" t="s">
        <v>2259</v>
      </c>
      <c r="L83" s="130">
        <f t="shared" ref="L83:AE83" si="26">IF(L$82&lt;=0,0,MIN(1,L$81/L$82))</f>
        <v>0</v>
      </c>
      <c r="M83" s="130">
        <f t="shared" si="26"/>
        <v>0</v>
      </c>
      <c r="N83" s="130">
        <f t="shared" si="26"/>
        <v>0</v>
      </c>
      <c r="O83" s="130">
        <f t="shared" si="26"/>
        <v>0</v>
      </c>
      <c r="P83" s="130">
        <f t="shared" si="26"/>
        <v>0</v>
      </c>
      <c r="Q83" s="130">
        <f t="shared" si="26"/>
        <v>0</v>
      </c>
      <c r="R83" s="130">
        <f t="shared" si="26"/>
        <v>0</v>
      </c>
      <c r="S83" s="130">
        <f t="shared" si="26"/>
        <v>0</v>
      </c>
      <c r="T83" s="130">
        <f t="shared" si="26"/>
        <v>0</v>
      </c>
      <c r="U83" s="130">
        <f t="shared" si="26"/>
        <v>0</v>
      </c>
      <c r="V83" s="130">
        <f t="shared" si="26"/>
        <v>0</v>
      </c>
      <c r="W83" s="130">
        <f t="shared" si="26"/>
        <v>0</v>
      </c>
      <c r="X83" s="130">
        <f t="shared" si="26"/>
        <v>0</v>
      </c>
      <c r="Y83" s="130">
        <f t="shared" si="26"/>
        <v>0</v>
      </c>
      <c r="Z83" s="130">
        <f t="shared" si="26"/>
        <v>0</v>
      </c>
      <c r="AA83" s="130">
        <f t="shared" si="26"/>
        <v>0</v>
      </c>
      <c r="AB83" s="130">
        <f t="shared" si="26"/>
        <v>0</v>
      </c>
      <c r="AC83" s="130">
        <f t="shared" si="26"/>
        <v>0</v>
      </c>
      <c r="AD83" s="130">
        <f t="shared" si="26"/>
        <v>0</v>
      </c>
      <c r="AE83" s="130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8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8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8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8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8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8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8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8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8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8" t="str">
        <f>Settings!$B$3&amp;".mit.obr.ind.cem.1"</f>
        <v>egy.mit.obr.ind.cem.1</v>
      </c>
      <c r="I95" t="s">
        <v>2279</v>
      </c>
      <c r="L95" s="130">
        <f t="shared" ref="L95:AE95" si="27">L$73</f>
        <v>0</v>
      </c>
      <c r="M95" s="130">
        <f t="shared" si="27"/>
        <v>0</v>
      </c>
      <c r="N95" s="130">
        <f t="shared" si="27"/>
        <v>0</v>
      </c>
      <c r="O95" s="130">
        <f t="shared" si="27"/>
        <v>0</v>
      </c>
      <c r="P95" s="130">
        <f t="shared" si="27"/>
        <v>0</v>
      </c>
      <c r="Q95" s="130">
        <f t="shared" si="27"/>
        <v>0</v>
      </c>
      <c r="R95" s="130">
        <f t="shared" si="27"/>
        <v>0</v>
      </c>
      <c r="S95" s="130">
        <f t="shared" si="27"/>
        <v>0</v>
      </c>
      <c r="T95" s="130">
        <f t="shared" si="27"/>
        <v>0</v>
      </c>
      <c r="U95" s="130">
        <f t="shared" si="27"/>
        <v>0</v>
      </c>
      <c r="V95" s="130">
        <f t="shared" si="27"/>
        <v>0</v>
      </c>
      <c r="W95" s="130">
        <f t="shared" si="27"/>
        <v>0</v>
      </c>
      <c r="X95" s="130">
        <f t="shared" si="27"/>
        <v>0</v>
      </c>
      <c r="Y95" s="130">
        <f t="shared" si="27"/>
        <v>0</v>
      </c>
      <c r="Z95" s="130">
        <f t="shared" si="27"/>
        <v>0</v>
      </c>
      <c r="AA95" s="130">
        <f t="shared" si="27"/>
        <v>0</v>
      </c>
      <c r="AB95" s="130">
        <f t="shared" si="27"/>
        <v>0</v>
      </c>
      <c r="AC95" s="130">
        <f t="shared" si="27"/>
        <v>0</v>
      </c>
      <c r="AD95" s="130">
        <f t="shared" si="27"/>
        <v>0</v>
      </c>
      <c r="AE95" s="130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8" t="str">
        <f>Settings!$B$3&amp;".mit.ccf.ind.cem.1"</f>
        <v>egy.mit.ccf.ind.cem.1</v>
      </c>
      <c r="L96" s="130">
        <f>L$23*Mitigation_Industry!L$279/1000</f>
        <v>0</v>
      </c>
      <c r="M96" s="130">
        <f>M$23*Mitigation_Industry!M$279/1000</f>
        <v>0</v>
      </c>
      <c r="N96" s="130">
        <f>N$23*Mitigation_Industry!N$279/1000</f>
        <v>0</v>
      </c>
      <c r="O96" s="130">
        <f>O$23*Mitigation_Industry!O$279/1000</f>
        <v>0</v>
      </c>
      <c r="P96" s="130">
        <f>P$23*Mitigation_Industry!P$279/1000</f>
        <v>0</v>
      </c>
      <c r="Q96" s="130">
        <f>Q$23*Mitigation_Industry!Q$279/1000</f>
        <v>0</v>
      </c>
      <c r="R96" s="130">
        <f>R$23*Mitigation_Industry!R$279/1000</f>
        <v>0</v>
      </c>
      <c r="S96" s="130">
        <f>S$23*Mitigation_Industry!S$279/1000</f>
        <v>0</v>
      </c>
      <c r="T96" s="130">
        <f>T$23*Mitigation_Industry!T$279/1000</f>
        <v>0</v>
      </c>
      <c r="U96" s="130">
        <f>U$23*Mitigation_Industry!U$279/1000</f>
        <v>0</v>
      </c>
      <c r="V96" s="130">
        <f>V$23*Mitigation_Industry!V$279/1000</f>
        <v>0</v>
      </c>
      <c r="W96" s="130">
        <f>W$23*Mitigation_Industry!W$279/1000</f>
        <v>0</v>
      </c>
      <c r="X96" s="130">
        <f>X$23*Mitigation_Industry!X$279/1000</f>
        <v>0</v>
      </c>
      <c r="Y96" s="130">
        <f>Y$23*Mitigation_Industry!Y$279/1000</f>
        <v>0</v>
      </c>
      <c r="Z96" s="130">
        <f>Z$23*Mitigation_Industry!Z$279/1000</f>
        <v>0</v>
      </c>
      <c r="AA96" s="130">
        <f>AA$23*Mitigation_Industry!AA$279/1000</f>
        <v>0</v>
      </c>
      <c r="AB96" s="130">
        <f>AB$23*Mitigation_Industry!AB$279/1000</f>
        <v>0</v>
      </c>
      <c r="AC96" s="130">
        <f>AC$23*Mitigation_Industry!AC$279/1000</f>
        <v>0</v>
      </c>
      <c r="AD96" s="130">
        <f>AD$23*Mitigation_Industry!AD$279/1000</f>
        <v>0</v>
      </c>
      <c r="AE96" s="130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8" t="str">
        <f>Settings!$B$3&amp;".mit.rsh.ind.cem.1"</f>
        <v>egy.mit.rsh.ind.cem.1</v>
      </c>
      <c r="I97" t="s">
        <v>2259</v>
      </c>
      <c r="L97" s="130">
        <f t="shared" ref="L97:AE97" si="28">IF(L$96&lt;=0,0,MIN(1,L$95/L$96))</f>
        <v>0</v>
      </c>
      <c r="M97" s="130">
        <f t="shared" si="28"/>
        <v>0</v>
      </c>
      <c r="N97" s="130">
        <f t="shared" si="28"/>
        <v>0</v>
      </c>
      <c r="O97" s="130">
        <f t="shared" si="28"/>
        <v>0</v>
      </c>
      <c r="P97" s="130">
        <f t="shared" si="28"/>
        <v>0</v>
      </c>
      <c r="Q97" s="130">
        <f t="shared" si="28"/>
        <v>0</v>
      </c>
      <c r="R97" s="130">
        <f t="shared" si="28"/>
        <v>0</v>
      </c>
      <c r="S97" s="130">
        <f t="shared" si="28"/>
        <v>0</v>
      </c>
      <c r="T97" s="130">
        <f t="shared" si="28"/>
        <v>0</v>
      </c>
      <c r="U97" s="130">
        <f t="shared" si="28"/>
        <v>0</v>
      </c>
      <c r="V97" s="130">
        <f t="shared" si="28"/>
        <v>0</v>
      </c>
      <c r="W97" s="130">
        <f t="shared" si="28"/>
        <v>0</v>
      </c>
      <c r="X97" s="130">
        <f t="shared" si="28"/>
        <v>0</v>
      </c>
      <c r="Y97" s="130">
        <f t="shared" si="28"/>
        <v>0</v>
      </c>
      <c r="Z97" s="130">
        <f t="shared" si="28"/>
        <v>0</v>
      </c>
      <c r="AA97" s="130">
        <f t="shared" si="28"/>
        <v>0</v>
      </c>
      <c r="AB97" s="130">
        <f t="shared" si="28"/>
        <v>0</v>
      </c>
      <c r="AC97" s="130">
        <f t="shared" si="28"/>
        <v>0</v>
      </c>
      <c r="AD97" s="130">
        <f t="shared" si="28"/>
        <v>0</v>
      </c>
      <c r="AE97" s="130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8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8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8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8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8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8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8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8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8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8" t="str">
        <f>Settings!$B$3&amp;".mit.obr.ind.nfm.1"</f>
        <v>egy.mit.obr.ind.nfm.1</v>
      </c>
      <c r="I109" t="s">
        <v>2289</v>
      </c>
      <c r="L109" s="130">
        <f t="shared" ref="L109:AE109" si="29">L$77</f>
        <v>0</v>
      </c>
      <c r="M109" s="130">
        <f t="shared" si="29"/>
        <v>0</v>
      </c>
      <c r="N109" s="130">
        <f t="shared" si="29"/>
        <v>0</v>
      </c>
      <c r="O109" s="130">
        <f t="shared" si="29"/>
        <v>0</v>
      </c>
      <c r="P109" s="130">
        <f t="shared" si="29"/>
        <v>0</v>
      </c>
      <c r="Q109" s="130">
        <f t="shared" si="29"/>
        <v>0</v>
      </c>
      <c r="R109" s="130">
        <f t="shared" si="29"/>
        <v>0</v>
      </c>
      <c r="S109" s="130">
        <f t="shared" si="29"/>
        <v>0</v>
      </c>
      <c r="T109" s="130">
        <f t="shared" si="29"/>
        <v>0</v>
      </c>
      <c r="U109" s="130">
        <f t="shared" si="29"/>
        <v>0</v>
      </c>
      <c r="V109" s="130">
        <f t="shared" si="29"/>
        <v>0</v>
      </c>
      <c r="W109" s="130">
        <f t="shared" si="29"/>
        <v>0</v>
      </c>
      <c r="X109" s="130">
        <f t="shared" si="29"/>
        <v>0</v>
      </c>
      <c r="Y109" s="130">
        <f t="shared" si="29"/>
        <v>0</v>
      </c>
      <c r="Z109" s="130">
        <f t="shared" si="29"/>
        <v>0</v>
      </c>
      <c r="AA109" s="130">
        <f t="shared" si="29"/>
        <v>0</v>
      </c>
      <c r="AB109" s="130">
        <f t="shared" si="29"/>
        <v>0</v>
      </c>
      <c r="AC109" s="130">
        <f t="shared" si="29"/>
        <v>0</v>
      </c>
      <c r="AD109" s="130">
        <f t="shared" si="29"/>
        <v>0</v>
      </c>
      <c r="AE109" s="130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8" t="str">
        <f>Settings!$B$3&amp;".mit.ccf.ind.nfm.1"</f>
        <v>egy.mit.ccf.ind.nfm.1</v>
      </c>
      <c r="L110" s="130">
        <f>L$27*Mitigation_Industry!L$283/1000</f>
        <v>0</v>
      </c>
      <c r="M110" s="130">
        <f>M$27*Mitigation_Industry!M$283/1000</f>
        <v>0</v>
      </c>
      <c r="N110" s="130">
        <f>N$27*Mitigation_Industry!N$283/1000</f>
        <v>0</v>
      </c>
      <c r="O110" s="130">
        <f>O$27*Mitigation_Industry!O$283/1000</f>
        <v>0</v>
      </c>
      <c r="P110" s="130">
        <f>P$27*Mitigation_Industry!P$283/1000</f>
        <v>0</v>
      </c>
      <c r="Q110" s="130">
        <f>Q$27*Mitigation_Industry!Q$283/1000</f>
        <v>0</v>
      </c>
      <c r="R110" s="130">
        <f>R$27*Mitigation_Industry!R$283/1000</f>
        <v>0</v>
      </c>
      <c r="S110" s="130">
        <f>S$27*Mitigation_Industry!S$283/1000</f>
        <v>0</v>
      </c>
      <c r="T110" s="130">
        <f>T$27*Mitigation_Industry!T$283/1000</f>
        <v>0</v>
      </c>
      <c r="U110" s="130">
        <f>U$27*Mitigation_Industry!U$283/1000</f>
        <v>0</v>
      </c>
      <c r="V110" s="130">
        <f>V$27*Mitigation_Industry!V$283/1000</f>
        <v>0</v>
      </c>
      <c r="W110" s="130">
        <f>W$27*Mitigation_Industry!W$283/1000</f>
        <v>0</v>
      </c>
      <c r="X110" s="130">
        <f>X$27*Mitigation_Industry!X$283/1000</f>
        <v>0</v>
      </c>
      <c r="Y110" s="130">
        <f>Y$27*Mitigation_Industry!Y$283/1000</f>
        <v>0</v>
      </c>
      <c r="Z110" s="130">
        <f>Z$27*Mitigation_Industry!Z$283/1000</f>
        <v>0</v>
      </c>
      <c r="AA110" s="130">
        <f>AA$27*Mitigation_Industry!AA$283/1000</f>
        <v>0</v>
      </c>
      <c r="AB110" s="130">
        <f>AB$27*Mitigation_Industry!AB$283/1000</f>
        <v>0</v>
      </c>
      <c r="AC110" s="130">
        <f>AC$27*Mitigation_Industry!AC$283/1000</f>
        <v>0</v>
      </c>
      <c r="AD110" s="130">
        <f>AD$27*Mitigation_Industry!AD$283/1000</f>
        <v>0</v>
      </c>
      <c r="AE110" s="130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8" t="str">
        <f>Settings!$B$3&amp;".mit.rsh.ind.nfm.1"</f>
        <v>egy.mit.rsh.ind.nfm.1</v>
      </c>
      <c r="I111" t="s">
        <v>2259</v>
      </c>
      <c r="L111" s="130">
        <f t="shared" ref="L111:AE111" si="30">IF(L$110&lt;=0,0,MIN(1,L$109/L$110))</f>
        <v>0</v>
      </c>
      <c r="M111" s="130">
        <f t="shared" si="30"/>
        <v>0</v>
      </c>
      <c r="N111" s="130">
        <f t="shared" si="30"/>
        <v>0</v>
      </c>
      <c r="O111" s="130">
        <f t="shared" si="30"/>
        <v>0</v>
      </c>
      <c r="P111" s="130">
        <f t="shared" si="30"/>
        <v>0</v>
      </c>
      <c r="Q111" s="130">
        <f t="shared" si="30"/>
        <v>0</v>
      </c>
      <c r="R111" s="130">
        <f t="shared" si="30"/>
        <v>0</v>
      </c>
      <c r="S111" s="130">
        <f t="shared" si="30"/>
        <v>0</v>
      </c>
      <c r="T111" s="130">
        <f t="shared" si="30"/>
        <v>0</v>
      </c>
      <c r="U111" s="130">
        <f t="shared" si="30"/>
        <v>0</v>
      </c>
      <c r="V111" s="130">
        <f t="shared" si="30"/>
        <v>0</v>
      </c>
      <c r="W111" s="130">
        <f t="shared" si="30"/>
        <v>0</v>
      </c>
      <c r="X111" s="130">
        <f t="shared" si="30"/>
        <v>0</v>
      </c>
      <c r="Y111" s="130">
        <f t="shared" si="30"/>
        <v>0</v>
      </c>
      <c r="Z111" s="130">
        <f t="shared" si="30"/>
        <v>0</v>
      </c>
      <c r="AA111" s="130">
        <f t="shared" si="30"/>
        <v>0</v>
      </c>
      <c r="AB111" s="130">
        <f t="shared" si="30"/>
        <v>0</v>
      </c>
      <c r="AC111" s="130">
        <f t="shared" si="30"/>
        <v>0</v>
      </c>
      <c r="AD111" s="130">
        <f t="shared" si="30"/>
        <v>0</v>
      </c>
      <c r="AE111" s="130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8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8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8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8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8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8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8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8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8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8" t="str">
        <f>Settings!$B$3&amp;".mit.obr.ind.mch.1"</f>
        <v>egy.mit.obr.ind.mch.1</v>
      </c>
      <c r="I123" t="s">
        <v>2299</v>
      </c>
      <c r="L123" s="130">
        <f t="shared" ref="L123:AE123" si="31">L$74+L$75+L$76</f>
        <v>0</v>
      </c>
      <c r="M123" s="130">
        <f t="shared" si="31"/>
        <v>0</v>
      </c>
      <c r="N123" s="130">
        <f t="shared" si="31"/>
        <v>0</v>
      </c>
      <c r="O123" s="130">
        <f t="shared" si="31"/>
        <v>0</v>
      </c>
      <c r="P123" s="130">
        <f t="shared" si="31"/>
        <v>0</v>
      </c>
      <c r="Q123" s="130">
        <f t="shared" si="31"/>
        <v>0</v>
      </c>
      <c r="R123" s="130">
        <f t="shared" si="31"/>
        <v>0</v>
      </c>
      <c r="S123" s="130">
        <f t="shared" si="31"/>
        <v>0</v>
      </c>
      <c r="T123" s="130">
        <f t="shared" si="31"/>
        <v>0</v>
      </c>
      <c r="U123" s="130">
        <f t="shared" si="31"/>
        <v>0</v>
      </c>
      <c r="V123" s="130">
        <f t="shared" si="31"/>
        <v>0</v>
      </c>
      <c r="W123" s="130">
        <f t="shared" si="31"/>
        <v>0</v>
      </c>
      <c r="X123" s="130">
        <f t="shared" si="31"/>
        <v>0</v>
      </c>
      <c r="Y123" s="130">
        <f t="shared" si="31"/>
        <v>0</v>
      </c>
      <c r="Z123" s="130">
        <f t="shared" si="31"/>
        <v>0</v>
      </c>
      <c r="AA123" s="130">
        <f t="shared" si="31"/>
        <v>0</v>
      </c>
      <c r="AB123" s="130">
        <f t="shared" si="31"/>
        <v>0</v>
      </c>
      <c r="AC123" s="130">
        <f t="shared" si="31"/>
        <v>0</v>
      </c>
      <c r="AD123" s="130">
        <f t="shared" si="31"/>
        <v>0</v>
      </c>
      <c r="AE123" s="130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8" t="str">
        <f>Settings!$B$3&amp;".mit.ccf.ind.mch.1"</f>
        <v>egy.mit.ccf.ind.mch.1</v>
      </c>
      <c r="L124" s="130">
        <f>L$24*Mitigation_Industry!L$280/1000+L$25*Mitigation_Industry!L$281/1000+L$26*Mitigation_Industry!L$282/1000</f>
        <v>0</v>
      </c>
      <c r="M124" s="130">
        <f>M$24*Mitigation_Industry!M$280/1000+M$25*Mitigation_Industry!M$281/1000+M$26*Mitigation_Industry!M$282/1000</f>
        <v>0</v>
      </c>
      <c r="N124" s="130">
        <f>N$24*Mitigation_Industry!N$280/1000+N$25*Mitigation_Industry!N$281/1000+N$26*Mitigation_Industry!N$282/1000</f>
        <v>0</v>
      </c>
      <c r="O124" s="130">
        <f>O$24*Mitigation_Industry!O$280/1000+O$25*Mitigation_Industry!O$281/1000+O$26*Mitigation_Industry!O$282/1000</f>
        <v>0</v>
      </c>
      <c r="P124" s="130">
        <f>P$24*Mitigation_Industry!P$280/1000+P$25*Mitigation_Industry!P$281/1000+P$26*Mitigation_Industry!P$282/1000</f>
        <v>0</v>
      </c>
      <c r="Q124" s="130">
        <f>Q$24*Mitigation_Industry!Q$280/1000+Q$25*Mitigation_Industry!Q$281/1000+Q$26*Mitigation_Industry!Q$282/1000</f>
        <v>0</v>
      </c>
      <c r="R124" s="130">
        <f>R$24*Mitigation_Industry!R$280/1000+R$25*Mitigation_Industry!R$281/1000+R$26*Mitigation_Industry!R$282/1000</f>
        <v>0</v>
      </c>
      <c r="S124" s="130">
        <f>S$24*Mitigation_Industry!S$280/1000+S$25*Mitigation_Industry!S$281/1000+S$26*Mitigation_Industry!S$282/1000</f>
        <v>0</v>
      </c>
      <c r="T124" s="130">
        <f>T$24*Mitigation_Industry!T$280/1000+T$25*Mitigation_Industry!T$281/1000+T$26*Mitigation_Industry!T$282/1000</f>
        <v>0</v>
      </c>
      <c r="U124" s="130">
        <f>U$24*Mitigation_Industry!U$280/1000+U$25*Mitigation_Industry!U$281/1000+U$26*Mitigation_Industry!U$282/1000</f>
        <v>0</v>
      </c>
      <c r="V124" s="130">
        <f>V$24*Mitigation_Industry!V$280/1000+V$25*Mitigation_Industry!V$281/1000+V$26*Mitigation_Industry!V$282/1000</f>
        <v>0</v>
      </c>
      <c r="W124" s="130">
        <f>W$24*Mitigation_Industry!W$280/1000+W$25*Mitigation_Industry!W$281/1000+W$26*Mitigation_Industry!W$282/1000</f>
        <v>0</v>
      </c>
      <c r="X124" s="130">
        <f>X$24*Mitigation_Industry!X$280/1000+X$25*Mitigation_Industry!X$281/1000+X$26*Mitigation_Industry!X$282/1000</f>
        <v>0</v>
      </c>
      <c r="Y124" s="130">
        <f>Y$24*Mitigation_Industry!Y$280/1000+Y$25*Mitigation_Industry!Y$281/1000+Y$26*Mitigation_Industry!Y$282/1000</f>
        <v>0</v>
      </c>
      <c r="Z124" s="130">
        <f>Z$24*Mitigation_Industry!Z$280/1000+Z$25*Mitigation_Industry!Z$281/1000+Z$26*Mitigation_Industry!Z$282/1000</f>
        <v>0</v>
      </c>
      <c r="AA124" s="130">
        <f>AA$24*Mitigation_Industry!AA$280/1000+AA$25*Mitigation_Industry!AA$281/1000+AA$26*Mitigation_Industry!AA$282/1000</f>
        <v>0</v>
      </c>
      <c r="AB124" s="130">
        <f>AB$24*Mitigation_Industry!AB$280/1000+AB$25*Mitigation_Industry!AB$281/1000+AB$26*Mitigation_Industry!AB$282/1000</f>
        <v>0</v>
      </c>
      <c r="AC124" s="130">
        <f>AC$24*Mitigation_Industry!AC$280/1000+AC$25*Mitigation_Industry!AC$281/1000+AC$26*Mitigation_Industry!AC$282/1000</f>
        <v>0</v>
      </c>
      <c r="AD124" s="130">
        <f>AD$24*Mitigation_Industry!AD$280/1000+AD$25*Mitigation_Industry!AD$281/1000+AD$26*Mitigation_Industry!AD$282/1000</f>
        <v>0</v>
      </c>
      <c r="AE124" s="130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8" t="str">
        <f>Settings!$B$3&amp;".mit.rsh.ind.mch.1"</f>
        <v>egy.mit.rsh.ind.mch.1</v>
      </c>
      <c r="I125" t="s">
        <v>2259</v>
      </c>
      <c r="L125" s="130">
        <f t="shared" ref="L125:AE125" si="32">IF(L$124&lt;=0,0,MIN(1,L$123/L$124))</f>
        <v>0</v>
      </c>
      <c r="M125" s="130">
        <f t="shared" si="32"/>
        <v>0</v>
      </c>
      <c r="N125" s="130">
        <f t="shared" si="32"/>
        <v>0</v>
      </c>
      <c r="O125" s="130">
        <f t="shared" si="32"/>
        <v>0</v>
      </c>
      <c r="P125" s="130">
        <f t="shared" si="32"/>
        <v>0</v>
      </c>
      <c r="Q125" s="130">
        <f t="shared" si="32"/>
        <v>0</v>
      </c>
      <c r="R125" s="130">
        <f t="shared" si="32"/>
        <v>0</v>
      </c>
      <c r="S125" s="130">
        <f t="shared" si="32"/>
        <v>0</v>
      </c>
      <c r="T125" s="130">
        <f t="shared" si="32"/>
        <v>0</v>
      </c>
      <c r="U125" s="130">
        <f t="shared" si="32"/>
        <v>0</v>
      </c>
      <c r="V125" s="130">
        <f t="shared" si="32"/>
        <v>0</v>
      </c>
      <c r="W125" s="130">
        <f t="shared" si="32"/>
        <v>0</v>
      </c>
      <c r="X125" s="130">
        <f t="shared" si="32"/>
        <v>0</v>
      </c>
      <c r="Y125" s="130">
        <f t="shared" si="32"/>
        <v>0</v>
      </c>
      <c r="Z125" s="130">
        <f t="shared" si="32"/>
        <v>0</v>
      </c>
      <c r="AA125" s="130">
        <f t="shared" si="32"/>
        <v>0</v>
      </c>
      <c r="AB125" s="130">
        <f t="shared" si="32"/>
        <v>0</v>
      </c>
      <c r="AC125" s="130">
        <f t="shared" si="32"/>
        <v>0</v>
      </c>
      <c r="AD125" s="130">
        <f t="shared" si="32"/>
        <v>0</v>
      </c>
      <c r="AE125" s="130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8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8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8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8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8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8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8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8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8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30">
        <f>Mitigation_Industry!L$400</f>
        <v>0</v>
      </c>
      <c r="M137" s="130">
        <f>Mitigation_Industry!M$400</f>
        <v>0</v>
      </c>
      <c r="N137" s="130">
        <f>Mitigation_Industry!N$400</f>
        <v>0</v>
      </c>
      <c r="O137" s="130">
        <f>Mitigation_Industry!O$400</f>
        <v>0</v>
      </c>
      <c r="P137" s="130">
        <f>Mitigation_Industry!P$400</f>
        <v>0</v>
      </c>
      <c r="Q137" s="130">
        <f>Mitigation_Industry!Q$400</f>
        <v>0</v>
      </c>
      <c r="R137" s="130">
        <f>Mitigation_Industry!R$400</f>
        <v>0</v>
      </c>
      <c r="S137" s="130">
        <f>Mitigation_Industry!S$400</f>
        <v>0</v>
      </c>
      <c r="T137" s="130">
        <f>Mitigation_Industry!T$400</f>
        <v>0</v>
      </c>
      <c r="U137" s="130">
        <f>Mitigation_Industry!U$400</f>
        <v>0</v>
      </c>
      <c r="V137" s="130">
        <f>Mitigation_Industry!V$400</f>
        <v>0</v>
      </c>
      <c r="W137" s="130">
        <f>Mitigation_Industry!W$400</f>
        <v>0</v>
      </c>
      <c r="X137" s="130">
        <f>Mitigation_Industry!X$400</f>
        <v>0</v>
      </c>
      <c r="Y137" s="130">
        <f>Mitigation_Industry!Y$400</f>
        <v>0</v>
      </c>
      <c r="Z137" s="130">
        <f>Mitigation_Industry!Z$400</f>
        <v>0</v>
      </c>
      <c r="AA137" s="130">
        <f>Mitigation_Industry!AA$400</f>
        <v>0</v>
      </c>
      <c r="AB137" s="130">
        <f>Mitigation_Industry!AB$400</f>
        <v>0</v>
      </c>
      <c r="AC137" s="130">
        <f>Mitigation_Industry!AC$400</f>
        <v>0</v>
      </c>
      <c r="AD137" s="130">
        <f>Mitigation_Industry!AD$400</f>
        <v>0</v>
      </c>
      <c r="AE137" s="130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30">
        <f t="shared" ref="L138:AE138" si="33">L$78</f>
        <v>0</v>
      </c>
      <c r="M138" s="130">
        <f t="shared" si="33"/>
        <v>0</v>
      </c>
      <c r="N138" s="130">
        <f t="shared" si="33"/>
        <v>0</v>
      </c>
      <c r="O138" s="130">
        <f t="shared" si="33"/>
        <v>0</v>
      </c>
      <c r="P138" s="130">
        <f t="shared" si="33"/>
        <v>0</v>
      </c>
      <c r="Q138" s="130">
        <f t="shared" si="33"/>
        <v>0</v>
      </c>
      <c r="R138" s="130">
        <f t="shared" si="33"/>
        <v>0</v>
      </c>
      <c r="S138" s="130">
        <f t="shared" si="33"/>
        <v>0</v>
      </c>
      <c r="T138" s="130">
        <f t="shared" si="33"/>
        <v>0</v>
      </c>
      <c r="U138" s="130">
        <f t="shared" si="33"/>
        <v>0</v>
      </c>
      <c r="V138" s="130">
        <f t="shared" si="33"/>
        <v>0</v>
      </c>
      <c r="W138" s="130">
        <f t="shared" si="33"/>
        <v>0</v>
      </c>
      <c r="X138" s="130">
        <f t="shared" si="33"/>
        <v>0</v>
      </c>
      <c r="Y138" s="130">
        <f t="shared" si="33"/>
        <v>0</v>
      </c>
      <c r="Z138" s="130">
        <f t="shared" si="33"/>
        <v>0</v>
      </c>
      <c r="AA138" s="130">
        <f t="shared" si="33"/>
        <v>0</v>
      </c>
      <c r="AB138" s="130">
        <f t="shared" si="33"/>
        <v>0</v>
      </c>
      <c r="AC138" s="130">
        <f t="shared" si="33"/>
        <v>0</v>
      </c>
      <c r="AD138" s="130">
        <f t="shared" si="33"/>
        <v>0</v>
      </c>
      <c r="AE138" s="130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8" t="str">
        <f>Settings!$B$3&amp;".mit.revnet.cbam.tot.1"</f>
        <v>egy.mit.revnet.cbam.tot.1</v>
      </c>
      <c r="L139" s="130">
        <f t="shared" ref="L139:AE139" si="34">L137-L138</f>
        <v>0</v>
      </c>
      <c r="M139" s="130">
        <f t="shared" si="34"/>
        <v>0</v>
      </c>
      <c r="N139" s="130">
        <f t="shared" si="34"/>
        <v>0</v>
      </c>
      <c r="O139" s="130">
        <f t="shared" si="34"/>
        <v>0</v>
      </c>
      <c r="P139" s="130">
        <f t="shared" si="34"/>
        <v>0</v>
      </c>
      <c r="Q139" s="130">
        <f t="shared" si="34"/>
        <v>0</v>
      </c>
      <c r="R139" s="130">
        <f t="shared" si="34"/>
        <v>0</v>
      </c>
      <c r="S139" s="130">
        <f t="shared" si="34"/>
        <v>0</v>
      </c>
      <c r="T139" s="130">
        <f t="shared" si="34"/>
        <v>0</v>
      </c>
      <c r="U139" s="130">
        <f t="shared" si="34"/>
        <v>0</v>
      </c>
      <c r="V139" s="130">
        <f t="shared" si="34"/>
        <v>0</v>
      </c>
      <c r="W139" s="130">
        <f t="shared" si="34"/>
        <v>0</v>
      </c>
      <c r="X139" s="130">
        <f t="shared" si="34"/>
        <v>0</v>
      </c>
      <c r="Y139" s="130">
        <f t="shared" si="34"/>
        <v>0</v>
      </c>
      <c r="Z139" s="130">
        <f t="shared" si="34"/>
        <v>0</v>
      </c>
      <c r="AA139" s="130">
        <f t="shared" si="34"/>
        <v>0</v>
      </c>
      <c r="AB139" s="130">
        <f t="shared" si="34"/>
        <v>0</v>
      </c>
      <c r="AC139" s="130">
        <f t="shared" si="34"/>
        <v>0</v>
      </c>
      <c r="AD139" s="130">
        <f t="shared" si="34"/>
        <v>0</v>
      </c>
      <c r="AE139" s="130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8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8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8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8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8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8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8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8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8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8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8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8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8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8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8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8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8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8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8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8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8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8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8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8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8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8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8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8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8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8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8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8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8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8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8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8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8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8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8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8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8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8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8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8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8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8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8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8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8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8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8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8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8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8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8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8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8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8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8" t="str">
        <f>Settings!$B$3&amp;".mit.obr.cbam.tot.2"</f>
        <v>egy.mit.obr.cbam.tot.2</v>
      </c>
      <c r="L217" s="130">
        <f t="shared" ref="L217:AE217" si="59">SUM(L209:L216)</f>
        <v>0</v>
      </c>
      <c r="M217" s="130">
        <f t="shared" si="59"/>
        <v>0</v>
      </c>
      <c r="N217" s="130">
        <f t="shared" si="59"/>
        <v>0</v>
      </c>
      <c r="O217" s="130">
        <f t="shared" si="59"/>
        <v>0</v>
      </c>
      <c r="P217" s="130">
        <f t="shared" si="59"/>
        <v>0</v>
      </c>
      <c r="Q217" s="130">
        <f t="shared" si="59"/>
        <v>0</v>
      </c>
      <c r="R217" s="130">
        <f t="shared" si="59"/>
        <v>0</v>
      </c>
      <c r="S217" s="130">
        <f t="shared" si="59"/>
        <v>0</v>
      </c>
      <c r="T217" s="130">
        <f t="shared" si="59"/>
        <v>0</v>
      </c>
      <c r="U217" s="130">
        <f t="shared" si="59"/>
        <v>0</v>
      </c>
      <c r="V217" s="130">
        <f t="shared" si="59"/>
        <v>0</v>
      </c>
      <c r="W217" s="130">
        <f t="shared" si="59"/>
        <v>0</v>
      </c>
      <c r="X217" s="130">
        <f t="shared" si="59"/>
        <v>0</v>
      </c>
      <c r="Y217" s="130">
        <f t="shared" si="59"/>
        <v>0</v>
      </c>
      <c r="Z217" s="130">
        <f t="shared" si="59"/>
        <v>0</v>
      </c>
      <c r="AA217" s="130">
        <f t="shared" si="59"/>
        <v>0</v>
      </c>
      <c r="AB217" s="130">
        <f t="shared" si="59"/>
        <v>0</v>
      </c>
      <c r="AC217" s="130">
        <f t="shared" si="59"/>
        <v>0</v>
      </c>
      <c r="AD217" s="130">
        <f t="shared" si="59"/>
        <v>0</v>
      </c>
      <c r="AE217" s="130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8" t="str">
        <f>Settings!$B$3&amp;".mit.obr.ind.irn.2"</f>
        <v>egy.mit.obr.ind.irn.2</v>
      </c>
      <c r="I220" t="s">
        <v>2254</v>
      </c>
      <c r="L220" s="130">
        <f t="shared" ref="L220:AE220" si="60">L$209+L$210+L$211</f>
        <v>0</v>
      </c>
      <c r="M220" s="130">
        <f t="shared" si="60"/>
        <v>0</v>
      </c>
      <c r="N220" s="130">
        <f t="shared" si="60"/>
        <v>0</v>
      </c>
      <c r="O220" s="130">
        <f t="shared" si="60"/>
        <v>0</v>
      </c>
      <c r="P220" s="130">
        <f t="shared" si="60"/>
        <v>0</v>
      </c>
      <c r="Q220" s="130">
        <f t="shared" si="60"/>
        <v>0</v>
      </c>
      <c r="R220" s="130">
        <f t="shared" si="60"/>
        <v>0</v>
      </c>
      <c r="S220" s="130">
        <f t="shared" si="60"/>
        <v>0</v>
      </c>
      <c r="T220" s="130">
        <f t="shared" si="60"/>
        <v>0</v>
      </c>
      <c r="U220" s="130">
        <f t="shared" si="60"/>
        <v>0</v>
      </c>
      <c r="V220" s="130">
        <f t="shared" si="60"/>
        <v>0</v>
      </c>
      <c r="W220" s="130">
        <f t="shared" si="60"/>
        <v>0</v>
      </c>
      <c r="X220" s="130">
        <f t="shared" si="60"/>
        <v>0</v>
      </c>
      <c r="Y220" s="130">
        <f t="shared" si="60"/>
        <v>0</v>
      </c>
      <c r="Z220" s="130">
        <f t="shared" si="60"/>
        <v>0</v>
      </c>
      <c r="AA220" s="130">
        <f t="shared" si="60"/>
        <v>0</v>
      </c>
      <c r="AB220" s="130">
        <f t="shared" si="60"/>
        <v>0</v>
      </c>
      <c r="AC220" s="130">
        <f t="shared" si="60"/>
        <v>0</v>
      </c>
      <c r="AD220" s="130">
        <f t="shared" si="60"/>
        <v>0</v>
      </c>
      <c r="AE220" s="130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8" t="str">
        <f>Settings!$B$3&amp;".mit.ccf.ind.irn.2"</f>
        <v>egy.mit.ccf.ind.irn.2</v>
      </c>
      <c r="L221" s="130">
        <f>L$159*Mitigation_Industry!L$675/1000+L$160*Mitigation_Industry!L$676/1000+L$161*Mitigation_Industry!L$677/1000</f>
        <v>0</v>
      </c>
      <c r="M221" s="130">
        <f>M$159*Mitigation_Industry!M$675/1000+M$160*Mitigation_Industry!M$676/1000+M$161*Mitigation_Industry!M$677/1000</f>
        <v>0</v>
      </c>
      <c r="N221" s="130">
        <f>N$159*Mitigation_Industry!N$675/1000+N$160*Mitigation_Industry!N$676/1000+N$161*Mitigation_Industry!N$677/1000</f>
        <v>0</v>
      </c>
      <c r="O221" s="130">
        <f>O$159*Mitigation_Industry!O$675/1000+O$160*Mitigation_Industry!O$676/1000+O$161*Mitigation_Industry!O$677/1000</f>
        <v>0</v>
      </c>
      <c r="P221" s="130">
        <f>P$159*Mitigation_Industry!P$675/1000+P$160*Mitigation_Industry!P$676/1000+P$161*Mitigation_Industry!P$677/1000</f>
        <v>0</v>
      </c>
      <c r="Q221" s="130">
        <f>Q$159*Mitigation_Industry!Q$675/1000+Q$160*Mitigation_Industry!Q$676/1000+Q$161*Mitigation_Industry!Q$677/1000</f>
        <v>44.484183479382082</v>
      </c>
      <c r="R221" s="130">
        <f>R$159*Mitigation_Industry!R$675/1000+R$160*Mitigation_Industry!R$676/1000+R$161*Mitigation_Industry!R$677/1000</f>
        <v>92.882975104949779</v>
      </c>
      <c r="S221" s="130">
        <f>S$159*Mitigation_Industry!S$675/1000+S$160*Mitigation_Industry!S$676/1000+S$161*Mitigation_Industry!S$677/1000</f>
        <v>145.45473901435133</v>
      </c>
      <c r="T221" s="130">
        <f>T$159*Mitigation_Industry!T$675/1000+T$160*Mitigation_Industry!T$676/1000+T$161*Mitigation_Industry!T$677/1000</f>
        <v>202.4729967079771</v>
      </c>
      <c r="U221" s="130">
        <f>U$159*Mitigation_Industry!U$675/1000+U$160*Mitigation_Industry!U$676/1000+U$161*Mitigation_Industry!U$677/1000</f>
        <v>264.22726070391013</v>
      </c>
      <c r="V221" s="130">
        <f>V$159*Mitigation_Industry!V$675/1000+V$160*Mitigation_Industry!V$676/1000+V$161*Mitigation_Industry!V$677/1000</f>
        <v>331.02391220985851</v>
      </c>
      <c r="W221" s="130">
        <f>W$159*Mitigation_Industry!W$675/1000+W$160*Mitigation_Industry!W$676/1000+W$161*Mitigation_Industry!W$677/1000</f>
        <v>403.18712507160774</v>
      </c>
      <c r="X221" s="130">
        <f>X$159*Mitigation_Industry!X$675/1000+X$160*Mitigation_Industry!X$676/1000+X$161*Mitigation_Industry!X$677/1000</f>
        <v>481.05983837115264</v>
      </c>
      <c r="Y221" s="130">
        <f>Y$159*Mitigation_Industry!Y$675/1000+Y$160*Mitigation_Industry!Y$676/1000+Y$161*Mitigation_Industry!Y$677/1000</f>
        <v>565.00478016691886</v>
      </c>
      <c r="Z221" s="130">
        <f>Z$159*Mitigation_Industry!Z$675/1000+Z$160*Mitigation_Industry!Z$676/1000+Z$161*Mitigation_Industry!Z$677/1000</f>
        <v>655.40554499362565</v>
      </c>
      <c r="AA221" s="130">
        <f>AA$159*Mitigation_Industry!AA$675/1000+AA$160*Mitigation_Industry!AA$676/1000+AA$161*Mitigation_Industry!AA$677/1000</f>
        <v>752.66772787067964</v>
      </c>
      <c r="AB221" s="130">
        <f>AB$159*Mitigation_Industry!AB$675/1000+AB$160*Mitigation_Industry!AB$676/1000+AB$161*Mitigation_Industry!AB$677/1000</f>
        <v>857.22011770580696</v>
      </c>
      <c r="AC221" s="130">
        <f>AC$159*Mitigation_Industry!AC$675/1000+AC$160*Mitigation_Industry!AC$676/1000+AC$161*Mitigation_Industry!AC$677/1000</f>
        <v>969.51595312526786</v>
      </c>
      <c r="AD221" s="130">
        <f>AD$159*Mitigation_Industry!AD$675/1000+AD$160*Mitigation_Industry!AD$676/1000+AD$161*Mitigation_Industry!AD$677/1000</f>
        <v>1090.0342439137623</v>
      </c>
      <c r="AE221" s="130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8" t="str">
        <f>Settings!$B$3&amp;".mit.rsh.ind.irn.2"</f>
        <v>egy.mit.rsh.ind.irn.2</v>
      </c>
      <c r="I222" t="s">
        <v>2259</v>
      </c>
      <c r="L222" s="130">
        <f t="shared" ref="L222:AE222" si="61">IF(L$221&lt;=0,0,MIN(1,L$220/L$221))</f>
        <v>0</v>
      </c>
      <c r="M222" s="130">
        <f t="shared" si="61"/>
        <v>0</v>
      </c>
      <c r="N222" s="130">
        <f t="shared" si="61"/>
        <v>0</v>
      </c>
      <c r="O222" s="130">
        <f t="shared" si="61"/>
        <v>0</v>
      </c>
      <c r="P222" s="130">
        <f t="shared" si="61"/>
        <v>0</v>
      </c>
      <c r="Q222" s="130">
        <f t="shared" si="61"/>
        <v>0</v>
      </c>
      <c r="R222" s="130">
        <f t="shared" si="61"/>
        <v>0</v>
      </c>
      <c r="S222" s="130">
        <f t="shared" si="61"/>
        <v>0</v>
      </c>
      <c r="T222" s="130">
        <f t="shared" si="61"/>
        <v>0</v>
      </c>
      <c r="U222" s="130">
        <f t="shared" si="61"/>
        <v>0</v>
      </c>
      <c r="V222" s="130">
        <f t="shared" si="61"/>
        <v>0</v>
      </c>
      <c r="W222" s="130">
        <f t="shared" si="61"/>
        <v>0</v>
      </c>
      <c r="X222" s="130">
        <f t="shared" si="61"/>
        <v>0</v>
      </c>
      <c r="Y222" s="130">
        <f t="shared" si="61"/>
        <v>0</v>
      </c>
      <c r="Z222" s="130">
        <f t="shared" si="61"/>
        <v>0</v>
      </c>
      <c r="AA222" s="130">
        <f t="shared" si="61"/>
        <v>0</v>
      </c>
      <c r="AB222" s="130">
        <f t="shared" si="61"/>
        <v>0</v>
      </c>
      <c r="AC222" s="130">
        <f t="shared" si="61"/>
        <v>0</v>
      </c>
      <c r="AD222" s="130">
        <f t="shared" si="61"/>
        <v>0</v>
      </c>
      <c r="AE222" s="130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8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8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8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8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8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8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8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8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8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8" t="str">
        <f>Settings!$B$3&amp;".mit.obr.ind.cem.2"</f>
        <v>egy.mit.obr.ind.cem.2</v>
      </c>
      <c r="I234" t="s">
        <v>2279</v>
      </c>
      <c r="L234" s="130">
        <f t="shared" ref="L234:AE234" si="62">L$212</f>
        <v>0</v>
      </c>
      <c r="M234" s="130">
        <f t="shared" si="62"/>
        <v>0</v>
      </c>
      <c r="N234" s="130">
        <f t="shared" si="62"/>
        <v>0</v>
      </c>
      <c r="O234" s="130">
        <f t="shared" si="62"/>
        <v>0</v>
      </c>
      <c r="P234" s="130">
        <f t="shared" si="62"/>
        <v>0</v>
      </c>
      <c r="Q234" s="130">
        <f t="shared" si="62"/>
        <v>0</v>
      </c>
      <c r="R234" s="130">
        <f t="shared" si="62"/>
        <v>0</v>
      </c>
      <c r="S234" s="130">
        <f t="shared" si="62"/>
        <v>0</v>
      </c>
      <c r="T234" s="130">
        <f t="shared" si="62"/>
        <v>0</v>
      </c>
      <c r="U234" s="130">
        <f t="shared" si="62"/>
        <v>0</v>
      </c>
      <c r="V234" s="130">
        <f t="shared" si="62"/>
        <v>0</v>
      </c>
      <c r="W234" s="130">
        <f t="shared" si="62"/>
        <v>0</v>
      </c>
      <c r="X234" s="130">
        <f t="shared" si="62"/>
        <v>0</v>
      </c>
      <c r="Y234" s="130">
        <f t="shared" si="62"/>
        <v>0</v>
      </c>
      <c r="Z234" s="130">
        <f t="shared" si="62"/>
        <v>0</v>
      </c>
      <c r="AA234" s="130">
        <f t="shared" si="62"/>
        <v>0</v>
      </c>
      <c r="AB234" s="130">
        <f t="shared" si="62"/>
        <v>0</v>
      </c>
      <c r="AC234" s="130">
        <f t="shared" si="62"/>
        <v>0</v>
      </c>
      <c r="AD234" s="130">
        <f t="shared" si="62"/>
        <v>0</v>
      </c>
      <c r="AE234" s="130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8" t="str">
        <f>Settings!$B$3&amp;".mit.ccf.ind.cem.2"</f>
        <v>egy.mit.ccf.ind.cem.2</v>
      </c>
      <c r="L235" s="130">
        <f>L$162*Mitigation_Industry!L$678/1000</f>
        <v>0</v>
      </c>
      <c r="M235" s="130">
        <f>M$162*Mitigation_Industry!M$678/1000</f>
        <v>0</v>
      </c>
      <c r="N235" s="130">
        <f>N$162*Mitigation_Industry!N$678/1000</f>
        <v>0</v>
      </c>
      <c r="O235" s="130">
        <f>O$162*Mitigation_Industry!O$678/1000</f>
        <v>0</v>
      </c>
      <c r="P235" s="130">
        <f>P$162*Mitigation_Industry!P$678/1000</f>
        <v>0</v>
      </c>
      <c r="Q235" s="130">
        <f>Q$162*Mitigation_Industry!Q$678/1000</f>
        <v>216.02967406292771</v>
      </c>
      <c r="R235" s="130">
        <f>R$162*Mitigation_Industry!R$678/1000</f>
        <v>446.31730661400866</v>
      </c>
      <c r="S235" s="130">
        <f>S$162*Mitigation_Industry!S$678/1000</f>
        <v>691.56866659840637</v>
      </c>
      <c r="T235" s="130">
        <f>T$162*Mitigation_Industry!T$678/1000</f>
        <v>952.52057679487154</v>
      </c>
      <c r="U235" s="130">
        <f>U$162*Mitigation_Industry!U$678/1000</f>
        <v>1229.9421947863777</v>
      </c>
      <c r="V235" s="130">
        <f>V$162*Mitigation_Industry!V$678/1000</f>
        <v>1524.6363446571936</v>
      </c>
      <c r="W235" s="130">
        <f>W$162*Mitigation_Industry!W$678/1000</f>
        <v>1837.440901369361</v>
      </c>
      <c r="X235" s="130">
        <f>X$162*Mitigation_Industry!X$678/1000</f>
        <v>2169.2302298451991</v>
      </c>
      <c r="Y235" s="130">
        <f>Y$162*Mitigation_Industry!Y$678/1000</f>
        <v>2520.9166808588525</v>
      </c>
      <c r="Z235" s="130">
        <f>Z$162*Mitigation_Industry!Z$678/1000</f>
        <v>2893.4521459191046</v>
      </c>
      <c r="AA235" s="130">
        <f>AA$162*Mitigation_Industry!AA$678/1000</f>
        <v>3287.8296734078785</v>
      </c>
      <c r="AB235" s="130">
        <f>AB$162*Mitigation_Industry!AB$678/1000</f>
        <v>3705.0851483240049</v>
      </c>
      <c r="AC235" s="130">
        <f>AC$162*Mitigation_Industry!AC$678/1000</f>
        <v>4146.299038070254</v>
      </c>
      <c r="AD235" s="130">
        <f>AD$162*Mitigation_Industry!AD$678/1000</f>
        <v>4612.5982068132316</v>
      </c>
      <c r="AE235" s="130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8" t="str">
        <f>Settings!$B$3&amp;".mit.rsh.ind.cem.2"</f>
        <v>egy.mit.rsh.ind.cem.2</v>
      </c>
      <c r="I236" t="s">
        <v>2259</v>
      </c>
      <c r="L236" s="130">
        <f t="shared" ref="L236:AE236" si="63">IF(L$235&lt;=0,0,MIN(1,L$234/L$235))</f>
        <v>0</v>
      </c>
      <c r="M236" s="130">
        <f t="shared" si="63"/>
        <v>0</v>
      </c>
      <c r="N236" s="130">
        <f t="shared" si="63"/>
        <v>0</v>
      </c>
      <c r="O236" s="130">
        <f t="shared" si="63"/>
        <v>0</v>
      </c>
      <c r="P236" s="130">
        <f t="shared" si="63"/>
        <v>0</v>
      </c>
      <c r="Q236" s="130">
        <f t="shared" si="63"/>
        <v>0</v>
      </c>
      <c r="R236" s="130">
        <f t="shared" si="63"/>
        <v>0</v>
      </c>
      <c r="S236" s="130">
        <f t="shared" si="63"/>
        <v>0</v>
      </c>
      <c r="T236" s="130">
        <f t="shared" si="63"/>
        <v>0</v>
      </c>
      <c r="U236" s="130">
        <f t="shared" si="63"/>
        <v>0</v>
      </c>
      <c r="V236" s="130">
        <f t="shared" si="63"/>
        <v>0</v>
      </c>
      <c r="W236" s="130">
        <f t="shared" si="63"/>
        <v>0</v>
      </c>
      <c r="X236" s="130">
        <f t="shared" si="63"/>
        <v>0</v>
      </c>
      <c r="Y236" s="130">
        <f t="shared" si="63"/>
        <v>0</v>
      </c>
      <c r="Z236" s="130">
        <f t="shared" si="63"/>
        <v>0</v>
      </c>
      <c r="AA236" s="130">
        <f t="shared" si="63"/>
        <v>0</v>
      </c>
      <c r="AB236" s="130">
        <f t="shared" si="63"/>
        <v>0</v>
      </c>
      <c r="AC236" s="130">
        <f t="shared" si="63"/>
        <v>0</v>
      </c>
      <c r="AD236" s="130">
        <f t="shared" si="63"/>
        <v>0</v>
      </c>
      <c r="AE236" s="130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8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8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8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8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8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8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8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8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8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8" t="str">
        <f>Settings!$B$3&amp;".mit.obr.ind.nfm.2"</f>
        <v>egy.mit.obr.ind.nfm.2</v>
      </c>
      <c r="I248" t="s">
        <v>2289</v>
      </c>
      <c r="L248" s="130">
        <f t="shared" ref="L248:AE248" si="64">L$216</f>
        <v>0</v>
      </c>
      <c r="M248" s="130">
        <f t="shared" si="64"/>
        <v>0</v>
      </c>
      <c r="N248" s="130">
        <f t="shared" si="64"/>
        <v>0</v>
      </c>
      <c r="O248" s="130">
        <f t="shared" si="64"/>
        <v>0</v>
      </c>
      <c r="P248" s="130">
        <f t="shared" si="64"/>
        <v>0</v>
      </c>
      <c r="Q248" s="130">
        <f t="shared" si="64"/>
        <v>0</v>
      </c>
      <c r="R248" s="130">
        <f t="shared" si="64"/>
        <v>0</v>
      </c>
      <c r="S248" s="130">
        <f t="shared" si="64"/>
        <v>0</v>
      </c>
      <c r="T248" s="130">
        <f t="shared" si="64"/>
        <v>0</v>
      </c>
      <c r="U248" s="130">
        <f t="shared" si="64"/>
        <v>0</v>
      </c>
      <c r="V248" s="130">
        <f t="shared" si="64"/>
        <v>0</v>
      </c>
      <c r="W248" s="130">
        <f t="shared" si="64"/>
        <v>0</v>
      </c>
      <c r="X248" s="130">
        <f t="shared" si="64"/>
        <v>0</v>
      </c>
      <c r="Y248" s="130">
        <f t="shared" si="64"/>
        <v>0</v>
      </c>
      <c r="Z248" s="130">
        <f t="shared" si="64"/>
        <v>0</v>
      </c>
      <c r="AA248" s="130">
        <f t="shared" si="64"/>
        <v>0</v>
      </c>
      <c r="AB248" s="130">
        <f t="shared" si="64"/>
        <v>0</v>
      </c>
      <c r="AC248" s="130">
        <f t="shared" si="64"/>
        <v>0</v>
      </c>
      <c r="AD248" s="130">
        <f t="shared" si="64"/>
        <v>0</v>
      </c>
      <c r="AE248" s="130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8" t="str">
        <f>Settings!$B$3&amp;".mit.ccf.ind.nfm.2"</f>
        <v>egy.mit.ccf.ind.nfm.2</v>
      </c>
      <c r="L249" s="130">
        <f>L$166*Mitigation_Industry!L$682/1000</f>
        <v>0</v>
      </c>
      <c r="M249" s="130">
        <f>M$166*Mitigation_Industry!M$682/1000</f>
        <v>0</v>
      </c>
      <c r="N249" s="130">
        <f>N$166*Mitigation_Industry!N$682/1000</f>
        <v>0</v>
      </c>
      <c r="O249" s="130">
        <f>O$166*Mitigation_Industry!O$682/1000</f>
        <v>0</v>
      </c>
      <c r="P249" s="130">
        <f>P$166*Mitigation_Industry!P$682/1000</f>
        <v>0</v>
      </c>
      <c r="Q249" s="130">
        <f>Q$166*Mitigation_Industry!Q$682/1000</f>
        <v>0.5434682643843749</v>
      </c>
      <c r="R249" s="130">
        <f>R$166*Mitigation_Industry!R$682/1000</f>
        <v>1.1467180378510311</v>
      </c>
      <c r="S249" s="130">
        <f>S$166*Mitigation_Industry!S$682/1000</f>
        <v>1.8146812948992568</v>
      </c>
      <c r="T249" s="130">
        <f>T$166*Mitigation_Industry!T$682/1000</f>
        <v>2.5526516881582877</v>
      </c>
      <c r="U249" s="130">
        <f>U$166*Mitigation_Industry!U$682/1000</f>
        <v>3.3663094137587413</v>
      </c>
      <c r="V249" s="130">
        <f>V$166*Mitigation_Industry!V$682/1000</f>
        <v>4.261747717818567</v>
      </c>
      <c r="W249" s="130">
        <f>W$166*Mitigation_Industry!W$682/1000</f>
        <v>5.2455011493483523</v>
      </c>
      <c r="X249" s="130">
        <f>X$166*Mitigation_Industry!X$682/1000</f>
        <v>6.3245756715000132</v>
      </c>
      <c r="Y249" s="130">
        <f>Y$166*Mitigation_Industry!Y$682/1000</f>
        <v>7.506480750111578</v>
      </c>
      <c r="Z249" s="130">
        <f>Z$166*Mitigation_Industry!Z$682/1000</f>
        <v>8.7992635459641271</v>
      </c>
      <c r="AA249" s="130">
        <f>AA$166*Mitigation_Industry!AA$682/1000</f>
        <v>10.211545345091368</v>
      </c>
      <c r="AB249" s="130">
        <f>AB$166*Mitigation_Industry!AB$682/1000</f>
        <v>11.752560369896068</v>
      </c>
      <c r="AC249" s="130">
        <f>AC$166*Mitigation_Industry!AC$682/1000</f>
        <v>13.432197122760376</v>
      </c>
      <c r="AD249" s="130">
        <f>AD$166*Mitigation_Industry!AD$682/1000</f>
        <v>15.261042423320831</v>
      </c>
      <c r="AE249" s="130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8" t="str">
        <f>Settings!$B$3&amp;".mit.rsh.ind.nfm.2"</f>
        <v>egy.mit.rsh.ind.nfm.2</v>
      </c>
      <c r="I250" t="s">
        <v>2259</v>
      </c>
      <c r="L250" s="130">
        <f t="shared" ref="L250:AE250" si="65">IF(L$249&lt;=0,0,MIN(1,L$248/L$249))</f>
        <v>0</v>
      </c>
      <c r="M250" s="130">
        <f t="shared" si="65"/>
        <v>0</v>
      </c>
      <c r="N250" s="130">
        <f t="shared" si="65"/>
        <v>0</v>
      </c>
      <c r="O250" s="130">
        <f t="shared" si="65"/>
        <v>0</v>
      </c>
      <c r="P250" s="130">
        <f t="shared" si="65"/>
        <v>0</v>
      </c>
      <c r="Q250" s="130">
        <f t="shared" si="65"/>
        <v>0</v>
      </c>
      <c r="R250" s="130">
        <f t="shared" si="65"/>
        <v>0</v>
      </c>
      <c r="S250" s="130">
        <f t="shared" si="65"/>
        <v>0</v>
      </c>
      <c r="T250" s="130">
        <f t="shared" si="65"/>
        <v>0</v>
      </c>
      <c r="U250" s="130">
        <f t="shared" si="65"/>
        <v>0</v>
      </c>
      <c r="V250" s="130">
        <f t="shared" si="65"/>
        <v>0</v>
      </c>
      <c r="W250" s="130">
        <f t="shared" si="65"/>
        <v>0</v>
      </c>
      <c r="X250" s="130">
        <f t="shared" si="65"/>
        <v>0</v>
      </c>
      <c r="Y250" s="130">
        <f t="shared" si="65"/>
        <v>0</v>
      </c>
      <c r="Z250" s="130">
        <f t="shared" si="65"/>
        <v>0</v>
      </c>
      <c r="AA250" s="130">
        <f t="shared" si="65"/>
        <v>0</v>
      </c>
      <c r="AB250" s="130">
        <f t="shared" si="65"/>
        <v>0</v>
      </c>
      <c r="AC250" s="130">
        <f t="shared" si="65"/>
        <v>0</v>
      </c>
      <c r="AD250" s="130">
        <f t="shared" si="65"/>
        <v>0</v>
      </c>
      <c r="AE250" s="130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8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8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8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8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8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8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8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8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8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8" t="str">
        <f>Settings!$B$3&amp;".mit.obr.ind.mch.2"</f>
        <v>egy.mit.obr.ind.mch.2</v>
      </c>
      <c r="I262" t="s">
        <v>2299</v>
      </c>
      <c r="L262" s="130">
        <f t="shared" ref="L262:AE262" si="66">L$213+L$214+L$215</f>
        <v>0</v>
      </c>
      <c r="M262" s="130">
        <f t="shared" si="66"/>
        <v>0</v>
      </c>
      <c r="N262" s="130">
        <f t="shared" si="66"/>
        <v>0</v>
      </c>
      <c r="O262" s="130">
        <f t="shared" si="66"/>
        <v>0</v>
      </c>
      <c r="P262" s="130">
        <f t="shared" si="66"/>
        <v>0</v>
      </c>
      <c r="Q262" s="130">
        <f t="shared" si="66"/>
        <v>0</v>
      </c>
      <c r="R262" s="130">
        <f t="shared" si="66"/>
        <v>0</v>
      </c>
      <c r="S262" s="130">
        <f t="shared" si="66"/>
        <v>0</v>
      </c>
      <c r="T262" s="130">
        <f t="shared" si="66"/>
        <v>0</v>
      </c>
      <c r="U262" s="130">
        <f t="shared" si="66"/>
        <v>0</v>
      </c>
      <c r="V262" s="130">
        <f t="shared" si="66"/>
        <v>0</v>
      </c>
      <c r="W262" s="130">
        <f t="shared" si="66"/>
        <v>0</v>
      </c>
      <c r="X262" s="130">
        <f t="shared" si="66"/>
        <v>0</v>
      </c>
      <c r="Y262" s="130">
        <f t="shared" si="66"/>
        <v>0</v>
      </c>
      <c r="Z262" s="130">
        <f t="shared" si="66"/>
        <v>0</v>
      </c>
      <c r="AA262" s="130">
        <f t="shared" si="66"/>
        <v>0</v>
      </c>
      <c r="AB262" s="130">
        <f t="shared" si="66"/>
        <v>0</v>
      </c>
      <c r="AC262" s="130">
        <f t="shared" si="66"/>
        <v>0</v>
      </c>
      <c r="AD262" s="130">
        <f t="shared" si="66"/>
        <v>0</v>
      </c>
      <c r="AE262" s="130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8" t="str">
        <f>Settings!$B$3&amp;".mit.ccf.ind.mch.2"</f>
        <v>egy.mit.ccf.ind.mch.2</v>
      </c>
      <c r="L263" s="130">
        <f>L$163*Mitigation_Industry!L$679/1000+L$164*Mitigation_Industry!L$680/1000+L$165*Mitigation_Industry!L$681/1000</f>
        <v>0</v>
      </c>
      <c r="M263" s="130">
        <f>M$163*Mitigation_Industry!M$679/1000+M$164*Mitigation_Industry!M$680/1000+M$165*Mitigation_Industry!M$681/1000</f>
        <v>0</v>
      </c>
      <c r="N263" s="130">
        <f>N$163*Mitigation_Industry!N$679/1000+N$164*Mitigation_Industry!N$680/1000+N$165*Mitigation_Industry!N$681/1000</f>
        <v>0</v>
      </c>
      <c r="O263" s="130">
        <f>O$163*Mitigation_Industry!O$679/1000+O$164*Mitigation_Industry!O$680/1000+O$165*Mitigation_Industry!O$681/1000</f>
        <v>0</v>
      </c>
      <c r="P263" s="130">
        <f>P$163*Mitigation_Industry!P$679/1000+P$164*Mitigation_Industry!P$680/1000+P$165*Mitigation_Industry!P$681/1000</f>
        <v>0</v>
      </c>
      <c r="Q263" s="130">
        <f>Q$163*Mitigation_Industry!Q$679/1000+Q$164*Mitigation_Industry!Q$680/1000+Q$165*Mitigation_Industry!Q$681/1000</f>
        <v>52.123603322757127</v>
      </c>
      <c r="R263" s="130">
        <f>R$163*Mitigation_Industry!R$679/1000+R$164*Mitigation_Industry!R$680/1000+R$165*Mitigation_Industry!R$681/1000</f>
        <v>106.54064519171556</v>
      </c>
      <c r="S263" s="130">
        <f>S$163*Mitigation_Industry!S$679/1000+S$164*Mitigation_Industry!S$680/1000+S$165*Mitigation_Industry!S$681/1000</f>
        <v>163.32680907889997</v>
      </c>
      <c r="T263" s="130">
        <f>T$163*Mitigation_Industry!T$679/1000+T$164*Mitigation_Industry!T$680/1000+T$165*Mitigation_Industry!T$681/1000</f>
        <v>222.55999850484761</v>
      </c>
      <c r="U263" s="130">
        <f>U$163*Mitigation_Industry!U$679/1000+U$164*Mitigation_Industry!U$680/1000+U$165*Mitigation_Industry!U$681/1000</f>
        <v>284.32039808994296</v>
      </c>
      <c r="V263" s="130">
        <f>V$163*Mitigation_Industry!V$679/1000+V$164*Mitigation_Industry!V$680/1000+V$165*Mitigation_Industry!V$681/1000</f>
        <v>348.69053621750601</v>
      </c>
      <c r="W263" s="130">
        <f>W$163*Mitigation_Industry!W$679/1000+W$164*Mitigation_Industry!W$680/1000+W$165*Mitigation_Industry!W$681/1000</f>
        <v>415.75534935000633</v>
      </c>
      <c r="X263" s="130">
        <f>X$163*Mitigation_Industry!X$679/1000+X$164*Mitigation_Industry!X$680/1000+X$165*Mitigation_Industry!X$681/1000</f>
        <v>485.60224804080741</v>
      </c>
      <c r="Y263" s="130">
        <f>Y$163*Mitigation_Industry!Y$679/1000+Y$164*Mitigation_Industry!Y$680/1000+Y$165*Mitigation_Industry!Y$681/1000</f>
        <v>558.32118468491831</v>
      </c>
      <c r="Z263" s="130">
        <f>Z$163*Mitigation_Industry!Z$679/1000+Z$164*Mitigation_Industry!Z$680/1000+Z$165*Mitigation_Industry!Z$681/1000</f>
        <v>634.00472305331834</v>
      </c>
      <c r="AA263" s="130">
        <f>AA$163*Mitigation_Industry!AA$679/1000+AA$164*Mitigation_Industry!AA$680/1000+AA$165*Mitigation_Industry!AA$681/1000</f>
        <v>712.74810965654046</v>
      </c>
      <c r="AB263" s="130">
        <f>AB$163*Mitigation_Industry!AB$679/1000+AB$164*Mitigation_Industry!AB$680/1000+AB$165*Mitigation_Industry!AB$681/1000</f>
        <v>794.64934698434661</v>
      </c>
      <c r="AC263" s="130">
        <f>AC$163*Mitigation_Industry!AC$679/1000+AC$164*Mitigation_Industry!AC$680/1000+AC$165*Mitigation_Industry!AC$681/1000</f>
        <v>879.80926866950233</v>
      </c>
      <c r="AD263" s="130">
        <f>AD$163*Mitigation_Industry!AD$679/1000+AD$164*Mitigation_Industry!AD$680/1000+AD$165*Mitigation_Industry!AD$681/1000</f>
        <v>968.33161662486475</v>
      </c>
      <c r="AE263" s="130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8" t="str">
        <f>Settings!$B$3&amp;".mit.rsh.ind.mch.2"</f>
        <v>egy.mit.rsh.ind.mch.2</v>
      </c>
      <c r="I264" t="s">
        <v>2259</v>
      </c>
      <c r="L264" s="130">
        <f t="shared" ref="L264:AE264" si="67">IF(L$263&lt;=0,0,MIN(1,L$262/L$263))</f>
        <v>0</v>
      </c>
      <c r="M264" s="130">
        <f t="shared" si="67"/>
        <v>0</v>
      </c>
      <c r="N264" s="130">
        <f t="shared" si="67"/>
        <v>0</v>
      </c>
      <c r="O264" s="130">
        <f t="shared" si="67"/>
        <v>0</v>
      </c>
      <c r="P264" s="130">
        <f t="shared" si="67"/>
        <v>0</v>
      </c>
      <c r="Q264" s="130">
        <f t="shared" si="67"/>
        <v>0</v>
      </c>
      <c r="R264" s="130">
        <f t="shared" si="67"/>
        <v>0</v>
      </c>
      <c r="S264" s="130">
        <f t="shared" si="67"/>
        <v>0</v>
      </c>
      <c r="T264" s="130">
        <f t="shared" si="67"/>
        <v>0</v>
      </c>
      <c r="U264" s="130">
        <f t="shared" si="67"/>
        <v>0</v>
      </c>
      <c r="V264" s="130">
        <f t="shared" si="67"/>
        <v>0</v>
      </c>
      <c r="W264" s="130">
        <f t="shared" si="67"/>
        <v>0</v>
      </c>
      <c r="X264" s="130">
        <f t="shared" si="67"/>
        <v>0</v>
      </c>
      <c r="Y264" s="130">
        <f t="shared" si="67"/>
        <v>0</v>
      </c>
      <c r="Z264" s="130">
        <f t="shared" si="67"/>
        <v>0</v>
      </c>
      <c r="AA264" s="130">
        <f t="shared" si="67"/>
        <v>0</v>
      </c>
      <c r="AB264" s="130">
        <f t="shared" si="67"/>
        <v>0</v>
      </c>
      <c r="AC264" s="130">
        <f t="shared" si="67"/>
        <v>0</v>
      </c>
      <c r="AD264" s="130">
        <f t="shared" si="67"/>
        <v>0</v>
      </c>
      <c r="AE264" s="130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8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8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8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8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8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8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8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8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8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30">
        <f>Mitigation_Industry!L$799</f>
        <v>0</v>
      </c>
      <c r="M276" s="130">
        <f>Mitigation_Industry!M$799</f>
        <v>0</v>
      </c>
      <c r="N276" s="130">
        <f>Mitigation_Industry!N$799</f>
        <v>0</v>
      </c>
      <c r="O276" s="130">
        <f>Mitigation_Industry!O$799</f>
        <v>0</v>
      </c>
      <c r="P276" s="130">
        <f>Mitigation_Industry!P$799</f>
        <v>0</v>
      </c>
      <c r="Q276" s="130">
        <f>Mitigation_Industry!Q$799</f>
        <v>313.18092912945133</v>
      </c>
      <c r="R276" s="130">
        <f>Mitigation_Industry!R$799</f>
        <v>646.88764494852489</v>
      </c>
      <c r="S276" s="130">
        <f>Mitigation_Industry!S$799</f>
        <v>1002.1648959865571</v>
      </c>
      <c r="T276" s="130">
        <f>Mitigation_Industry!T$799</f>
        <v>1380.1062236958546</v>
      </c>
      <c r="U276" s="130">
        <f>Mitigation_Industry!U$799</f>
        <v>1781.8561629939895</v>
      </c>
      <c r="V276" s="130">
        <f>Mitigation_Industry!V$799</f>
        <v>2208.6125408023772</v>
      </c>
      <c r="W276" s="130">
        <f>Mitigation_Industry!W$799</f>
        <v>2661.6288769403232</v>
      </c>
      <c r="X276" s="130">
        <f>Mitigation_Industry!X$799</f>
        <v>3142.2168919286596</v>
      </c>
      <c r="Y276" s="130">
        <f>Mitigation_Industry!Y$799</f>
        <v>3651.7491264608011</v>
      </c>
      <c r="Z276" s="130">
        <f>Mitigation_Industry!Z$799</f>
        <v>4191.6616775120128</v>
      </c>
      <c r="AA276" s="130">
        <f>Mitigation_Industry!AA$799</f>
        <v>4763.45705628019</v>
      </c>
      <c r="AB276" s="130">
        <f>Mitigation_Industry!AB$799</f>
        <v>5368.7071733840539</v>
      </c>
      <c r="AC276" s="130">
        <f>Mitigation_Industry!AC$799</f>
        <v>6009.0564569877843</v>
      </c>
      <c r="AD276" s="130">
        <f>Mitigation_Industry!AD$799</f>
        <v>6686.2251097751796</v>
      </c>
      <c r="AE276" s="130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30">
        <f t="shared" ref="L277:AE277" si="68">L$217</f>
        <v>0</v>
      </c>
      <c r="M277" s="130">
        <f t="shared" si="68"/>
        <v>0</v>
      </c>
      <c r="N277" s="130">
        <f t="shared" si="68"/>
        <v>0</v>
      </c>
      <c r="O277" s="130">
        <f t="shared" si="68"/>
        <v>0</v>
      </c>
      <c r="P277" s="130">
        <f t="shared" si="68"/>
        <v>0</v>
      </c>
      <c r="Q277" s="130">
        <f t="shared" si="68"/>
        <v>0</v>
      </c>
      <c r="R277" s="130">
        <f t="shared" si="68"/>
        <v>0</v>
      </c>
      <c r="S277" s="130">
        <f t="shared" si="68"/>
        <v>0</v>
      </c>
      <c r="T277" s="130">
        <f t="shared" si="68"/>
        <v>0</v>
      </c>
      <c r="U277" s="130">
        <f t="shared" si="68"/>
        <v>0</v>
      </c>
      <c r="V277" s="130">
        <f t="shared" si="68"/>
        <v>0</v>
      </c>
      <c r="W277" s="130">
        <f t="shared" si="68"/>
        <v>0</v>
      </c>
      <c r="X277" s="130">
        <f t="shared" si="68"/>
        <v>0</v>
      </c>
      <c r="Y277" s="130">
        <f t="shared" si="68"/>
        <v>0</v>
      </c>
      <c r="Z277" s="130">
        <f t="shared" si="68"/>
        <v>0</v>
      </c>
      <c r="AA277" s="130">
        <f t="shared" si="68"/>
        <v>0</v>
      </c>
      <c r="AB277" s="130">
        <f t="shared" si="68"/>
        <v>0</v>
      </c>
      <c r="AC277" s="130">
        <f t="shared" si="68"/>
        <v>0</v>
      </c>
      <c r="AD277" s="130">
        <f t="shared" si="68"/>
        <v>0</v>
      </c>
      <c r="AE277" s="130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8" t="str">
        <f>Settings!$B$3&amp;".mit.revnet.cbam.tot.2"</f>
        <v>egy.mit.revnet.cbam.tot.2</v>
      </c>
      <c r="L278" s="130">
        <f t="shared" ref="L278:AE278" si="69">L276-L277</f>
        <v>0</v>
      </c>
      <c r="M278" s="130">
        <f t="shared" si="69"/>
        <v>0</v>
      </c>
      <c r="N278" s="130">
        <f t="shared" si="69"/>
        <v>0</v>
      </c>
      <c r="O278" s="130">
        <f t="shared" si="69"/>
        <v>0</v>
      </c>
      <c r="P278" s="130">
        <f t="shared" si="69"/>
        <v>0</v>
      </c>
      <c r="Q278" s="130">
        <f t="shared" si="69"/>
        <v>313.18092912945133</v>
      </c>
      <c r="R278" s="130">
        <f t="shared" si="69"/>
        <v>646.88764494852489</v>
      </c>
      <c r="S278" s="130">
        <f t="shared" si="69"/>
        <v>1002.1648959865571</v>
      </c>
      <c r="T278" s="130">
        <f t="shared" si="69"/>
        <v>1380.1062236958546</v>
      </c>
      <c r="U278" s="130">
        <f t="shared" si="69"/>
        <v>1781.8561629939895</v>
      </c>
      <c r="V278" s="130">
        <f t="shared" si="69"/>
        <v>2208.6125408023772</v>
      </c>
      <c r="W278" s="130">
        <f t="shared" si="69"/>
        <v>2661.6288769403232</v>
      </c>
      <c r="X278" s="130">
        <f t="shared" si="69"/>
        <v>3142.2168919286596</v>
      </c>
      <c r="Y278" s="130">
        <f t="shared" si="69"/>
        <v>3651.7491264608011</v>
      </c>
      <c r="Z278" s="130">
        <f t="shared" si="69"/>
        <v>4191.6616775120128</v>
      </c>
      <c r="AA278" s="130">
        <f t="shared" si="69"/>
        <v>4763.45705628019</v>
      </c>
      <c r="AB278" s="130">
        <f t="shared" si="69"/>
        <v>5368.7071733840539</v>
      </c>
      <c r="AC278" s="130">
        <f t="shared" si="69"/>
        <v>6009.0564569877843</v>
      </c>
      <c r="AD278" s="130">
        <f t="shared" si="69"/>
        <v>6686.2251097751796</v>
      </c>
      <c r="AE278" s="130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4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60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4" t="s">
        <v>2539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x14ac:dyDescent="0.35">
      <c r="D4" s="115" t="s">
        <v>2540</v>
      </c>
      <c r="E4" s="115" t="s">
        <v>2541</v>
      </c>
      <c r="F4" s="132" t="s">
        <v>2542</v>
      </c>
      <c r="I4" s="115" t="s">
        <v>2545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x14ac:dyDescent="0.35">
      <c r="D5" s="115" t="s">
        <v>2543</v>
      </c>
      <c r="E5" s="115" t="s">
        <v>1398</v>
      </c>
      <c r="F5" s="132">
        <v>1000</v>
      </c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x14ac:dyDescent="0.35">
      <c r="D6" s="115" t="s">
        <v>2544</v>
      </c>
      <c r="E6" s="115" t="s">
        <v>79</v>
      </c>
      <c r="F6" s="132">
        <v>1</v>
      </c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x14ac:dyDescent="0.35"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x14ac:dyDescent="0.35"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7">
        <v>2021</v>
      </c>
      <c r="L10" s="138">
        <v>2022</v>
      </c>
      <c r="M10" s="137">
        <v>2023</v>
      </c>
      <c r="N10" s="137">
        <v>2024</v>
      </c>
      <c r="O10" s="137">
        <v>2025</v>
      </c>
      <c r="P10" s="137">
        <v>2026</v>
      </c>
      <c r="Q10" s="137">
        <v>2027</v>
      </c>
      <c r="R10" s="137">
        <v>2028</v>
      </c>
      <c r="S10" s="137">
        <v>2029</v>
      </c>
      <c r="T10" s="137">
        <v>2030</v>
      </c>
      <c r="U10" s="137">
        <v>2031</v>
      </c>
      <c r="V10" s="137">
        <v>2032</v>
      </c>
      <c r="W10" s="137">
        <v>2033</v>
      </c>
      <c r="X10" s="137">
        <v>2034</v>
      </c>
      <c r="Y10" s="137">
        <v>2035</v>
      </c>
      <c r="Z10" s="137">
        <v>2036</v>
      </c>
      <c r="AA10" s="137">
        <v>2037</v>
      </c>
      <c r="AB10" s="137">
        <v>2038</v>
      </c>
      <c r="AC10" s="137">
        <v>2039</v>
      </c>
      <c r="AD10" s="137">
        <v>2040</v>
      </c>
      <c r="AE10" s="137">
        <v>2041</v>
      </c>
      <c r="AF10" s="137">
        <v>2042</v>
      </c>
      <c r="AG10" s="137">
        <v>2043</v>
      </c>
      <c r="AH10" s="137">
        <v>2044</v>
      </c>
      <c r="AI10" s="137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8" t="s">
        <v>1842</v>
      </c>
      <c r="H11" s="17"/>
      <c r="I11" t="s">
        <v>2178</v>
      </c>
      <c r="K11" s="139"/>
      <c r="L11" s="140">
        <f>INDEX(Data_Prices!L:L,MATCH($G11,Data_Prices!$A:$A,0))</f>
        <v>0</v>
      </c>
      <c r="M11" s="140">
        <f>INDEX(Data_Prices!M:M,MATCH($G11,Data_Prices!$A:$A,0))</f>
        <v>0</v>
      </c>
      <c r="N11" s="140">
        <f>INDEX(Data_Prices!N:N,MATCH($G11,Data_Prices!$A:$A,0))</f>
        <v>0</v>
      </c>
      <c r="O11" s="140">
        <f>INDEX(Data_Prices!O:O,MATCH($G11,Data_Prices!$A:$A,0))</f>
        <v>0</v>
      </c>
      <c r="P11" s="140">
        <f>INDEX(Data_Prices!P:P,MATCH($G11,Data_Prices!$A:$A,0))</f>
        <v>0</v>
      </c>
      <c r="Q11" s="140">
        <f>INDEX(Data_Prices!Q:Q,MATCH($G11,Data_Prices!$A:$A,0))</f>
        <v>0</v>
      </c>
      <c r="R11" s="140">
        <f>INDEX(Data_Prices!R:R,MATCH($G11,Data_Prices!$A:$A,0))</f>
        <v>0</v>
      </c>
      <c r="S11" s="140">
        <f>INDEX(Data_Prices!S:S,MATCH($G11,Data_Prices!$A:$A,0))</f>
        <v>0</v>
      </c>
      <c r="T11" s="140">
        <f>INDEX(Data_Prices!T:T,MATCH($G11,Data_Prices!$A:$A,0))</f>
        <v>0</v>
      </c>
      <c r="U11" s="140">
        <f>INDEX(Data_Prices!U:U,MATCH($G11,Data_Prices!$A:$A,0))</f>
        <v>0</v>
      </c>
      <c r="V11" s="140">
        <f>INDEX(Data_Prices!V:V,MATCH($G11,Data_Prices!$A:$A,0))</f>
        <v>0</v>
      </c>
      <c r="W11" s="140">
        <f>INDEX(Data_Prices!W:W,MATCH($G11,Data_Prices!$A:$A,0))</f>
        <v>0</v>
      </c>
      <c r="X11" s="140">
        <f>INDEX(Data_Prices!X:X,MATCH($G11,Data_Prices!$A:$A,0))</f>
        <v>0</v>
      </c>
      <c r="Y11" s="140">
        <f>INDEX(Data_Prices!Y:Y,MATCH($G11,Data_Prices!$A:$A,0))</f>
        <v>0</v>
      </c>
      <c r="Z11" s="140">
        <f>INDEX(Data_Prices!Z:Z,MATCH($G11,Data_Prices!$A:$A,0))</f>
        <v>0</v>
      </c>
      <c r="AA11" s="140">
        <f>INDEX(Data_Prices!AA:AA,MATCH($G11,Data_Prices!$A:$A,0))</f>
        <v>0</v>
      </c>
      <c r="AB11" s="140">
        <f>INDEX(Data_Prices!AB:AB,MATCH($G11,Data_Prices!$A:$A,0))</f>
        <v>0</v>
      </c>
      <c r="AC11" s="140">
        <f>INDEX(Data_Prices!AC:AC,MATCH($G11,Data_Prices!$A:$A,0))</f>
        <v>0</v>
      </c>
      <c r="AD11" s="140">
        <f>INDEX(Data_Prices!AD:AD,MATCH($G11,Data_Prices!$A:$A,0))</f>
        <v>0</v>
      </c>
      <c r="AE11" s="140">
        <f>INDEX(Data_Prices!AE:AE,MATCH($G11,Data_Prices!$A:$A,0))</f>
        <v>0</v>
      </c>
      <c r="AF11" s="141"/>
      <c r="AG11" s="141"/>
      <c r="AH11" s="141"/>
      <c r="AI11" s="141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9"/>
      <c r="L12" s="140">
        <f>Mitigation_Industry!L$247</f>
        <v>0</v>
      </c>
      <c r="M12" s="140">
        <f>Mitigation_Industry!M$247</f>
        <v>0</v>
      </c>
      <c r="N12" s="140">
        <f>Mitigation_Industry!N$247</f>
        <v>0</v>
      </c>
      <c r="O12" s="140">
        <f>Mitigation_Industry!O$247</f>
        <v>0</v>
      </c>
      <c r="P12" s="140">
        <f>Mitigation_Industry!P$247</f>
        <v>0</v>
      </c>
      <c r="Q12" s="140">
        <f>Mitigation_Industry!Q$247</f>
        <v>0</v>
      </c>
      <c r="R12" s="140">
        <f>Mitigation_Industry!R$247</f>
        <v>0</v>
      </c>
      <c r="S12" s="140">
        <f>Mitigation_Industry!S$247</f>
        <v>0</v>
      </c>
      <c r="T12" s="140">
        <f>Mitigation_Industry!T$247</f>
        <v>0</v>
      </c>
      <c r="U12" s="140">
        <f>Mitigation_Industry!U$247</f>
        <v>0</v>
      </c>
      <c r="V12" s="140">
        <f>Mitigation_Industry!V$247</f>
        <v>0</v>
      </c>
      <c r="W12" s="140">
        <f>Mitigation_Industry!W$247</f>
        <v>0</v>
      </c>
      <c r="X12" s="140">
        <f>Mitigation_Industry!X$247</f>
        <v>0</v>
      </c>
      <c r="Y12" s="140">
        <f>Mitigation_Industry!Y$247</f>
        <v>0</v>
      </c>
      <c r="Z12" s="140">
        <f>Mitigation_Industry!Z$247</f>
        <v>0</v>
      </c>
      <c r="AA12" s="140">
        <f>Mitigation_Industry!AA$247</f>
        <v>0</v>
      </c>
      <c r="AB12" s="140">
        <f>Mitigation_Industry!AB$247</f>
        <v>0</v>
      </c>
      <c r="AC12" s="140">
        <f>Mitigation_Industry!AC$247</f>
        <v>0</v>
      </c>
      <c r="AD12" s="140">
        <f>Mitigation_Industry!AD$247</f>
        <v>0</v>
      </c>
      <c r="AE12" s="140">
        <f>Mitigation_Industry!AE$247</f>
        <v>0</v>
      </c>
      <c r="AF12" s="141"/>
      <c r="AG12" s="141"/>
      <c r="AH12" s="141"/>
      <c r="AI12" s="141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9"/>
      <c r="L13" s="140">
        <f>Mitigation_Industry!L$248</f>
        <v>0</v>
      </c>
      <c r="M13" s="140">
        <f>Mitigation_Industry!M$248</f>
        <v>0</v>
      </c>
      <c r="N13" s="140">
        <f>Mitigation_Industry!N$248</f>
        <v>0</v>
      </c>
      <c r="O13" s="140">
        <f>Mitigation_Industry!O$248</f>
        <v>0</v>
      </c>
      <c r="P13" s="140">
        <f>Mitigation_Industry!P$248</f>
        <v>0</v>
      </c>
      <c r="Q13" s="140">
        <f>Mitigation_Industry!Q$248</f>
        <v>0</v>
      </c>
      <c r="R13" s="140">
        <f>Mitigation_Industry!R$248</f>
        <v>0</v>
      </c>
      <c r="S13" s="140">
        <f>Mitigation_Industry!S$248</f>
        <v>0</v>
      </c>
      <c r="T13" s="140">
        <f>Mitigation_Industry!T$248</f>
        <v>0</v>
      </c>
      <c r="U13" s="140">
        <f>Mitigation_Industry!U$248</f>
        <v>0</v>
      </c>
      <c r="V13" s="140">
        <f>Mitigation_Industry!V$248</f>
        <v>0</v>
      </c>
      <c r="W13" s="140">
        <f>Mitigation_Industry!W$248</f>
        <v>0</v>
      </c>
      <c r="X13" s="140">
        <f>Mitigation_Industry!X$248</f>
        <v>0</v>
      </c>
      <c r="Y13" s="140">
        <f>Mitigation_Industry!Y$248</f>
        <v>0</v>
      </c>
      <c r="Z13" s="140">
        <f>Mitigation_Industry!Z$248</f>
        <v>0</v>
      </c>
      <c r="AA13" s="140">
        <f>Mitigation_Industry!AA$248</f>
        <v>0</v>
      </c>
      <c r="AB13" s="140">
        <f>Mitigation_Industry!AB$248</f>
        <v>0</v>
      </c>
      <c r="AC13" s="140">
        <f>Mitigation_Industry!AC$248</f>
        <v>0</v>
      </c>
      <c r="AD13" s="140">
        <f>Mitigation_Industry!AD$248</f>
        <v>0</v>
      </c>
      <c r="AE13" s="140">
        <f>Mitigation_Industry!AE$248</f>
        <v>0</v>
      </c>
      <c r="AF13" s="141"/>
      <c r="AG13" s="141"/>
      <c r="AH13" s="141"/>
      <c r="AI13" s="141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9"/>
      <c r="L14" s="140">
        <f>Mitigation_Industry!L$308</f>
        <v>0</v>
      </c>
      <c r="M14" s="140">
        <f>Mitigation_Industry!M$308</f>
        <v>0</v>
      </c>
      <c r="N14" s="140">
        <f>Mitigation_Industry!N$308</f>
        <v>0</v>
      </c>
      <c r="O14" s="140">
        <f>Mitigation_Industry!O$308</f>
        <v>0</v>
      </c>
      <c r="P14" s="140">
        <f>Mitigation_Industry!P$308</f>
        <v>0</v>
      </c>
      <c r="Q14" s="140">
        <f>Mitigation_Industry!Q$308</f>
        <v>0</v>
      </c>
      <c r="R14" s="140">
        <f>Mitigation_Industry!R$308</f>
        <v>0</v>
      </c>
      <c r="S14" s="140">
        <f>Mitigation_Industry!S$308</f>
        <v>0</v>
      </c>
      <c r="T14" s="140">
        <f>Mitigation_Industry!T$308</f>
        <v>0</v>
      </c>
      <c r="U14" s="140">
        <f>Mitigation_Industry!U$308</f>
        <v>0</v>
      </c>
      <c r="V14" s="140">
        <f>Mitigation_Industry!V$308</f>
        <v>0</v>
      </c>
      <c r="W14" s="140">
        <f>Mitigation_Industry!W$308</f>
        <v>0</v>
      </c>
      <c r="X14" s="140">
        <f>Mitigation_Industry!X$308</f>
        <v>0</v>
      </c>
      <c r="Y14" s="140">
        <f>Mitigation_Industry!Y$308</f>
        <v>0</v>
      </c>
      <c r="Z14" s="140">
        <f>Mitigation_Industry!Z$308</f>
        <v>0</v>
      </c>
      <c r="AA14" s="140">
        <f>Mitigation_Industry!AA$308</f>
        <v>0</v>
      </c>
      <c r="AB14" s="140">
        <f>Mitigation_Industry!AB$308</f>
        <v>0</v>
      </c>
      <c r="AC14" s="140">
        <f>Mitigation_Industry!AC$308</f>
        <v>0</v>
      </c>
      <c r="AD14" s="140">
        <f>Mitigation_Industry!AD$308</f>
        <v>0</v>
      </c>
      <c r="AE14" s="140">
        <f>Mitigation_Industry!AE$308</f>
        <v>0</v>
      </c>
      <c r="AF14" s="141"/>
      <c r="AG14" s="141"/>
      <c r="AH14" s="141"/>
      <c r="AI14" s="141"/>
    </row>
    <row r="15" spans="1:35" x14ac:dyDescent="0.35"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7">
        <v>2021</v>
      </c>
      <c r="L16" s="138">
        <v>2022</v>
      </c>
      <c r="M16" s="137">
        <v>2023</v>
      </c>
      <c r="N16" s="137">
        <v>2024</v>
      </c>
      <c r="O16" s="137">
        <v>2025</v>
      </c>
      <c r="P16" s="137">
        <v>2026</v>
      </c>
      <c r="Q16" s="137">
        <v>2027</v>
      </c>
      <c r="R16" s="137">
        <v>2028</v>
      </c>
      <c r="S16" s="137">
        <v>2029</v>
      </c>
      <c r="T16" s="137">
        <v>2030</v>
      </c>
      <c r="U16" s="137">
        <v>2031</v>
      </c>
      <c r="V16" s="137">
        <v>2032</v>
      </c>
      <c r="W16" s="137">
        <v>2033</v>
      </c>
      <c r="X16" s="137">
        <v>2034</v>
      </c>
      <c r="Y16" s="137">
        <v>2035</v>
      </c>
      <c r="Z16" s="137">
        <v>2036</v>
      </c>
      <c r="AA16" s="137">
        <v>2037</v>
      </c>
      <c r="AB16" s="137">
        <v>2038</v>
      </c>
      <c r="AC16" s="137">
        <v>2039</v>
      </c>
      <c r="AD16" s="137">
        <v>2040</v>
      </c>
      <c r="AE16" s="137">
        <v>2041</v>
      </c>
      <c r="AF16" s="137">
        <v>2042</v>
      </c>
      <c r="AG16" s="137">
        <v>2043</v>
      </c>
      <c r="AH16" s="137">
        <v>2044</v>
      </c>
      <c r="AI16" s="137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8" t="str">
        <f>Settings!$B$3&amp;".mit.pf.stl.drg.1"</f>
        <v>egy.mit.pf.stl.drg.1</v>
      </c>
      <c r="I17" t="s">
        <v>2556</v>
      </c>
      <c r="K17" s="139"/>
      <c r="L17" s="140">
        <f>Mitigation_Industry!$F$299*L$12+Mitigation_Industry!$G$299*L$13</f>
        <v>0</v>
      </c>
      <c r="M17" s="140">
        <f>Mitigation_Industry!$F$299*M$12+Mitigation_Industry!$G$299*M$13</f>
        <v>0</v>
      </c>
      <c r="N17" s="140">
        <f>Mitigation_Industry!$F$299*N$12+Mitigation_Industry!$G$299*N$13</f>
        <v>0</v>
      </c>
      <c r="O17" s="140">
        <f>Mitigation_Industry!$F$299*O$12+Mitigation_Industry!$G$299*O$13</f>
        <v>0</v>
      </c>
      <c r="P17" s="140">
        <f>Mitigation_Industry!$F$299*P$12+Mitigation_Industry!$G$299*P$13</f>
        <v>0</v>
      </c>
      <c r="Q17" s="140">
        <f>Mitigation_Industry!$F$299*Q$12+Mitigation_Industry!$G$299*Q$13</f>
        <v>0</v>
      </c>
      <c r="R17" s="140">
        <f>Mitigation_Industry!$F$299*R$12+Mitigation_Industry!$G$299*R$13</f>
        <v>0</v>
      </c>
      <c r="S17" s="140">
        <f>Mitigation_Industry!$F$299*S$12+Mitigation_Industry!$G$299*S$13</f>
        <v>0</v>
      </c>
      <c r="T17" s="140">
        <f>Mitigation_Industry!$F$299*T$12+Mitigation_Industry!$G$299*T$13</f>
        <v>0</v>
      </c>
      <c r="U17" s="140">
        <f>Mitigation_Industry!$F$299*U$12+Mitigation_Industry!$G$299*U$13</f>
        <v>0</v>
      </c>
      <c r="V17" s="140">
        <f>Mitigation_Industry!$F$299*V$12+Mitigation_Industry!$G$299*V$13</f>
        <v>0</v>
      </c>
      <c r="W17" s="140">
        <f>Mitigation_Industry!$F$299*W$12+Mitigation_Industry!$G$299*W$13</f>
        <v>0</v>
      </c>
      <c r="X17" s="140">
        <f>Mitigation_Industry!$F$299*X$12+Mitigation_Industry!$G$299*X$13</f>
        <v>0</v>
      </c>
      <c r="Y17" s="140">
        <f>Mitigation_Industry!$F$299*Y$12+Mitigation_Industry!$G$299*Y$13</f>
        <v>0</v>
      </c>
      <c r="Z17" s="140">
        <f>Mitigation_Industry!$F$299*Z$12+Mitigation_Industry!$G$299*Z$13</f>
        <v>0</v>
      </c>
      <c r="AA17" s="140">
        <f>Mitigation_Industry!$F$299*AA$12+Mitigation_Industry!$G$299*AA$13</f>
        <v>0</v>
      </c>
      <c r="AB17" s="140">
        <f>Mitigation_Industry!$F$299*AB$12+Mitigation_Industry!$G$299*AB$13</f>
        <v>0</v>
      </c>
      <c r="AC17" s="140">
        <f>Mitigation_Industry!$F$299*AC$12+Mitigation_Industry!$G$299*AC$13</f>
        <v>0</v>
      </c>
      <c r="AD17" s="140">
        <f>Mitigation_Industry!$F$299*AD$12+Mitigation_Industry!$G$299*AD$13</f>
        <v>0</v>
      </c>
      <c r="AE17" s="140">
        <f>Mitigation_Industry!$F$299*AE$12+Mitigation_Industry!$G$299*AE$13</f>
        <v>0</v>
      </c>
      <c r="AF17" s="141"/>
      <c r="AG17" s="141"/>
      <c r="AH17" s="141"/>
      <c r="AI17" s="141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8" t="str">
        <f>Settings!$B$3&amp;".mit.pf.stl.scr.1"</f>
        <v>egy.mit.pf.stl.scr.1</v>
      </c>
      <c r="K18" s="139"/>
      <c r="L18" s="140">
        <f>Mitigation_Industry!$F$300*L$12+Mitigation_Industry!$G$300*L$13</f>
        <v>0</v>
      </c>
      <c r="M18" s="140">
        <f>Mitigation_Industry!$F$300*M$12+Mitigation_Industry!$G$300*M$13</f>
        <v>0</v>
      </c>
      <c r="N18" s="140">
        <f>Mitigation_Industry!$F$300*N$12+Mitigation_Industry!$G$300*N$13</f>
        <v>0</v>
      </c>
      <c r="O18" s="140">
        <f>Mitigation_Industry!$F$300*O$12+Mitigation_Industry!$G$300*O$13</f>
        <v>0</v>
      </c>
      <c r="P18" s="140">
        <f>Mitigation_Industry!$F$300*P$12+Mitigation_Industry!$G$300*P$13</f>
        <v>0</v>
      </c>
      <c r="Q18" s="140">
        <f>Mitigation_Industry!$F$300*Q$12+Mitigation_Industry!$G$300*Q$13</f>
        <v>0</v>
      </c>
      <c r="R18" s="140">
        <f>Mitigation_Industry!$F$300*R$12+Mitigation_Industry!$G$300*R$13</f>
        <v>0</v>
      </c>
      <c r="S18" s="140">
        <f>Mitigation_Industry!$F$300*S$12+Mitigation_Industry!$G$300*S$13</f>
        <v>0</v>
      </c>
      <c r="T18" s="140">
        <f>Mitigation_Industry!$F$300*T$12+Mitigation_Industry!$G$300*T$13</f>
        <v>0</v>
      </c>
      <c r="U18" s="140">
        <f>Mitigation_Industry!$F$300*U$12+Mitigation_Industry!$G$300*U$13</f>
        <v>0</v>
      </c>
      <c r="V18" s="140">
        <f>Mitigation_Industry!$F$300*V$12+Mitigation_Industry!$G$300*V$13</f>
        <v>0</v>
      </c>
      <c r="W18" s="140">
        <f>Mitigation_Industry!$F$300*W$12+Mitigation_Industry!$G$300*W$13</f>
        <v>0</v>
      </c>
      <c r="X18" s="140">
        <f>Mitigation_Industry!$F$300*X$12+Mitigation_Industry!$G$300*X$13</f>
        <v>0</v>
      </c>
      <c r="Y18" s="140">
        <f>Mitigation_Industry!$F$300*Y$12+Mitigation_Industry!$G$300*Y$13</f>
        <v>0</v>
      </c>
      <c r="Z18" s="140">
        <f>Mitigation_Industry!$F$300*Z$12+Mitigation_Industry!$G$300*Z$13</f>
        <v>0</v>
      </c>
      <c r="AA18" s="140">
        <f>Mitigation_Industry!$F$300*AA$12+Mitigation_Industry!$G$300*AA$13</f>
        <v>0</v>
      </c>
      <c r="AB18" s="140">
        <f>Mitigation_Industry!$F$300*AB$12+Mitigation_Industry!$G$300*AB$13</f>
        <v>0</v>
      </c>
      <c r="AC18" s="140">
        <f>Mitigation_Industry!$F$300*AC$12+Mitigation_Industry!$G$300*AC$13</f>
        <v>0</v>
      </c>
      <c r="AD18" s="140">
        <f>Mitigation_Industry!$F$300*AD$12+Mitigation_Industry!$G$300*AD$13</f>
        <v>0</v>
      </c>
      <c r="AE18" s="140">
        <f>Mitigation_Industry!$F$300*AE$12+Mitigation_Industry!$G$300*AE$13</f>
        <v>0</v>
      </c>
      <c r="AF18" s="141"/>
      <c r="AG18" s="141"/>
      <c r="AH18" s="141"/>
      <c r="AI18" s="141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8" t="str">
        <f>Settings!$B$3&amp;".mit.pf.stl.bof.1"</f>
        <v>egy.mit.pf.stl.bof.1</v>
      </c>
      <c r="K19" s="139"/>
      <c r="L19" s="140">
        <f>Mitigation_Industry!$F$301*L$12+Mitigation_Industry!$G$301*L$13</f>
        <v>0</v>
      </c>
      <c r="M19" s="140">
        <f>Mitigation_Industry!$F$301*M$12+Mitigation_Industry!$G$301*M$13</f>
        <v>0</v>
      </c>
      <c r="N19" s="140">
        <f>Mitigation_Industry!$F$301*N$12+Mitigation_Industry!$G$301*N$13</f>
        <v>0</v>
      </c>
      <c r="O19" s="140">
        <f>Mitigation_Industry!$F$301*O$12+Mitigation_Industry!$G$301*O$13</f>
        <v>0</v>
      </c>
      <c r="P19" s="140">
        <f>Mitigation_Industry!$F$301*P$12+Mitigation_Industry!$G$301*P$13</f>
        <v>0</v>
      </c>
      <c r="Q19" s="140">
        <f>Mitigation_Industry!$F$301*Q$12+Mitigation_Industry!$G$301*Q$13</f>
        <v>0</v>
      </c>
      <c r="R19" s="140">
        <f>Mitigation_Industry!$F$301*R$12+Mitigation_Industry!$G$301*R$13</f>
        <v>0</v>
      </c>
      <c r="S19" s="140">
        <f>Mitigation_Industry!$F$301*S$12+Mitigation_Industry!$G$301*S$13</f>
        <v>0</v>
      </c>
      <c r="T19" s="140">
        <f>Mitigation_Industry!$F$301*T$12+Mitigation_Industry!$G$301*T$13</f>
        <v>0</v>
      </c>
      <c r="U19" s="140">
        <f>Mitigation_Industry!$F$301*U$12+Mitigation_Industry!$G$301*U$13</f>
        <v>0</v>
      </c>
      <c r="V19" s="140">
        <f>Mitigation_Industry!$F$301*V$12+Mitigation_Industry!$G$301*V$13</f>
        <v>0</v>
      </c>
      <c r="W19" s="140">
        <f>Mitigation_Industry!$F$301*W$12+Mitigation_Industry!$G$301*W$13</f>
        <v>0</v>
      </c>
      <c r="X19" s="140">
        <f>Mitigation_Industry!$F$301*X$12+Mitigation_Industry!$G$301*X$13</f>
        <v>0</v>
      </c>
      <c r="Y19" s="140">
        <f>Mitigation_Industry!$F$301*Y$12+Mitigation_Industry!$G$301*Y$13</f>
        <v>0</v>
      </c>
      <c r="Z19" s="140">
        <f>Mitigation_Industry!$F$301*Z$12+Mitigation_Industry!$G$301*Z$13</f>
        <v>0</v>
      </c>
      <c r="AA19" s="140">
        <f>Mitigation_Industry!$F$301*AA$12+Mitigation_Industry!$G$301*AA$13</f>
        <v>0</v>
      </c>
      <c r="AB19" s="140">
        <f>Mitigation_Industry!$F$301*AB$12+Mitigation_Industry!$G$301*AB$13</f>
        <v>0</v>
      </c>
      <c r="AC19" s="140">
        <f>Mitigation_Industry!$F$301*AC$12+Mitigation_Industry!$G$301*AC$13</f>
        <v>0</v>
      </c>
      <c r="AD19" s="140">
        <f>Mitigation_Industry!$F$301*AD$12+Mitigation_Industry!$G$301*AD$13</f>
        <v>0</v>
      </c>
      <c r="AE19" s="140">
        <f>Mitigation_Industry!$F$301*AE$12+Mitigation_Industry!$G$301*AE$13</f>
        <v>0</v>
      </c>
      <c r="AF19" s="141"/>
      <c r="AG19" s="141"/>
      <c r="AH19" s="141"/>
      <c r="AI19" s="141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8" t="str">
        <f>Settings!$B$3&amp;".mit.pf.cmt.dry.1"</f>
        <v>egy.mit.pf.cmt.dry.1</v>
      </c>
      <c r="K20" s="139"/>
      <c r="L20" s="140">
        <f>Mitigation_Industry!$F$302*L$12+Mitigation_Industry!$G$302*L$13</f>
        <v>0</v>
      </c>
      <c r="M20" s="140">
        <f>Mitigation_Industry!$F$302*M$12+Mitigation_Industry!$G$302*M$13</f>
        <v>0</v>
      </c>
      <c r="N20" s="140">
        <f>Mitigation_Industry!$F$302*N$12+Mitigation_Industry!$G$302*N$13</f>
        <v>0</v>
      </c>
      <c r="O20" s="140">
        <f>Mitigation_Industry!$F$302*O$12+Mitigation_Industry!$G$302*O$13</f>
        <v>0</v>
      </c>
      <c r="P20" s="140">
        <f>Mitigation_Industry!$F$302*P$12+Mitigation_Industry!$G$302*P$13</f>
        <v>0</v>
      </c>
      <c r="Q20" s="140">
        <f>Mitigation_Industry!$F$302*Q$12+Mitigation_Industry!$G$302*Q$13</f>
        <v>0</v>
      </c>
      <c r="R20" s="140">
        <f>Mitigation_Industry!$F$302*R$12+Mitigation_Industry!$G$302*R$13</f>
        <v>0</v>
      </c>
      <c r="S20" s="140">
        <f>Mitigation_Industry!$F$302*S$12+Mitigation_Industry!$G$302*S$13</f>
        <v>0</v>
      </c>
      <c r="T20" s="140">
        <f>Mitigation_Industry!$F$302*T$12+Mitigation_Industry!$G$302*T$13</f>
        <v>0</v>
      </c>
      <c r="U20" s="140">
        <f>Mitigation_Industry!$F$302*U$12+Mitigation_Industry!$G$302*U$13</f>
        <v>0</v>
      </c>
      <c r="V20" s="140">
        <f>Mitigation_Industry!$F$302*V$12+Mitigation_Industry!$G$302*V$13</f>
        <v>0</v>
      </c>
      <c r="W20" s="140">
        <f>Mitigation_Industry!$F$302*W$12+Mitigation_Industry!$G$302*W$13</f>
        <v>0</v>
      </c>
      <c r="X20" s="140">
        <f>Mitigation_Industry!$F$302*X$12+Mitigation_Industry!$G$302*X$13</f>
        <v>0</v>
      </c>
      <c r="Y20" s="140">
        <f>Mitigation_Industry!$F$302*Y$12+Mitigation_Industry!$G$302*Y$13</f>
        <v>0</v>
      </c>
      <c r="Z20" s="140">
        <f>Mitigation_Industry!$F$302*Z$12+Mitigation_Industry!$G$302*Z$13</f>
        <v>0</v>
      </c>
      <c r="AA20" s="140">
        <f>Mitigation_Industry!$F$302*AA$12+Mitigation_Industry!$G$302*AA$13</f>
        <v>0</v>
      </c>
      <c r="AB20" s="140">
        <f>Mitigation_Industry!$F$302*AB$12+Mitigation_Industry!$G$302*AB$13</f>
        <v>0</v>
      </c>
      <c r="AC20" s="140">
        <f>Mitigation_Industry!$F$302*AC$12+Mitigation_Industry!$G$302*AC$13</f>
        <v>0</v>
      </c>
      <c r="AD20" s="140">
        <f>Mitigation_Industry!$F$302*AD$12+Mitigation_Industry!$G$302*AD$13</f>
        <v>0</v>
      </c>
      <c r="AE20" s="140">
        <f>Mitigation_Industry!$F$302*AE$12+Mitigation_Industry!$G$302*AE$13</f>
        <v>0</v>
      </c>
      <c r="AF20" s="141"/>
      <c r="AG20" s="141"/>
      <c r="AH20" s="141"/>
      <c r="AI20" s="141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8" t="str">
        <f>Settings!$B$3&amp;".mit.pf.frt.amc.1"</f>
        <v>egy.mit.pf.frt.amc.1</v>
      </c>
      <c r="K21" s="139"/>
      <c r="L21" s="140">
        <f>Mitigation_Industry!$F$303*L$12+Mitigation_Industry!$G$303*L$13</f>
        <v>0</v>
      </c>
      <c r="M21" s="140">
        <f>Mitigation_Industry!$F$303*M$12+Mitigation_Industry!$G$303*M$13</f>
        <v>0</v>
      </c>
      <c r="N21" s="140">
        <f>Mitigation_Industry!$F$303*N$12+Mitigation_Industry!$G$303*N$13</f>
        <v>0</v>
      </c>
      <c r="O21" s="140">
        <f>Mitigation_Industry!$F$303*O$12+Mitigation_Industry!$G$303*O$13</f>
        <v>0</v>
      </c>
      <c r="P21" s="140">
        <f>Mitigation_Industry!$F$303*P$12+Mitigation_Industry!$G$303*P$13</f>
        <v>0</v>
      </c>
      <c r="Q21" s="140">
        <f>Mitigation_Industry!$F$303*Q$12+Mitigation_Industry!$G$303*Q$13</f>
        <v>0</v>
      </c>
      <c r="R21" s="140">
        <f>Mitigation_Industry!$F$303*R$12+Mitigation_Industry!$G$303*R$13</f>
        <v>0</v>
      </c>
      <c r="S21" s="140">
        <f>Mitigation_Industry!$F$303*S$12+Mitigation_Industry!$G$303*S$13</f>
        <v>0</v>
      </c>
      <c r="T21" s="140">
        <f>Mitigation_Industry!$F$303*T$12+Mitigation_Industry!$G$303*T$13</f>
        <v>0</v>
      </c>
      <c r="U21" s="140">
        <f>Mitigation_Industry!$F$303*U$12+Mitigation_Industry!$G$303*U$13</f>
        <v>0</v>
      </c>
      <c r="V21" s="140">
        <f>Mitigation_Industry!$F$303*V$12+Mitigation_Industry!$G$303*V$13</f>
        <v>0</v>
      </c>
      <c r="W21" s="140">
        <f>Mitigation_Industry!$F$303*W$12+Mitigation_Industry!$G$303*W$13</f>
        <v>0</v>
      </c>
      <c r="X21" s="140">
        <f>Mitigation_Industry!$F$303*X$12+Mitigation_Industry!$G$303*X$13</f>
        <v>0</v>
      </c>
      <c r="Y21" s="140">
        <f>Mitigation_Industry!$F$303*Y$12+Mitigation_Industry!$G$303*Y$13</f>
        <v>0</v>
      </c>
      <c r="Z21" s="140">
        <f>Mitigation_Industry!$F$303*Z$12+Mitigation_Industry!$G$303*Z$13</f>
        <v>0</v>
      </c>
      <c r="AA21" s="140">
        <f>Mitigation_Industry!$F$303*AA$12+Mitigation_Industry!$G$303*AA$13</f>
        <v>0</v>
      </c>
      <c r="AB21" s="140">
        <f>Mitigation_Industry!$F$303*AB$12+Mitigation_Industry!$G$303*AB$13</f>
        <v>0</v>
      </c>
      <c r="AC21" s="140">
        <f>Mitigation_Industry!$F$303*AC$12+Mitigation_Industry!$G$303*AC$13</f>
        <v>0</v>
      </c>
      <c r="AD21" s="140">
        <f>Mitigation_Industry!$F$303*AD$12+Mitigation_Industry!$G$303*AD$13</f>
        <v>0</v>
      </c>
      <c r="AE21" s="140">
        <f>Mitigation_Industry!$F$303*AE$12+Mitigation_Industry!$G$303*AE$13</f>
        <v>0</v>
      </c>
      <c r="AF21" s="141"/>
      <c r="AG21" s="141"/>
      <c r="AH21" s="141"/>
      <c r="AI21" s="141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8" t="str">
        <f>Settings!$B$3&amp;".mit.pf.frt.ure.1"</f>
        <v>egy.mit.pf.frt.ure.1</v>
      </c>
      <c r="K22" s="139"/>
      <c r="L22" s="140">
        <f>Mitigation_Industry!$F$304*L$12+Mitigation_Industry!$G$304*L$13</f>
        <v>0</v>
      </c>
      <c r="M22" s="140">
        <f>Mitigation_Industry!$F$304*M$12+Mitigation_Industry!$G$304*M$13</f>
        <v>0</v>
      </c>
      <c r="N22" s="140">
        <f>Mitigation_Industry!$F$304*N$12+Mitigation_Industry!$G$304*N$13</f>
        <v>0</v>
      </c>
      <c r="O22" s="140">
        <f>Mitigation_Industry!$F$304*O$12+Mitigation_Industry!$G$304*O$13</f>
        <v>0</v>
      </c>
      <c r="P22" s="140">
        <f>Mitigation_Industry!$F$304*P$12+Mitigation_Industry!$G$304*P$13</f>
        <v>0</v>
      </c>
      <c r="Q22" s="140">
        <f>Mitigation_Industry!$F$304*Q$12+Mitigation_Industry!$G$304*Q$13</f>
        <v>0</v>
      </c>
      <c r="R22" s="140">
        <f>Mitigation_Industry!$F$304*R$12+Mitigation_Industry!$G$304*R$13</f>
        <v>0</v>
      </c>
      <c r="S22" s="140">
        <f>Mitigation_Industry!$F$304*S$12+Mitigation_Industry!$G$304*S$13</f>
        <v>0</v>
      </c>
      <c r="T22" s="140">
        <f>Mitigation_Industry!$F$304*T$12+Mitigation_Industry!$G$304*T$13</f>
        <v>0</v>
      </c>
      <c r="U22" s="140">
        <f>Mitigation_Industry!$F$304*U$12+Mitigation_Industry!$G$304*U$13</f>
        <v>0</v>
      </c>
      <c r="V22" s="140">
        <f>Mitigation_Industry!$F$304*V$12+Mitigation_Industry!$G$304*V$13</f>
        <v>0</v>
      </c>
      <c r="W22" s="140">
        <f>Mitigation_Industry!$F$304*W$12+Mitigation_Industry!$G$304*W$13</f>
        <v>0</v>
      </c>
      <c r="X22" s="140">
        <f>Mitigation_Industry!$F$304*X$12+Mitigation_Industry!$G$304*X$13</f>
        <v>0</v>
      </c>
      <c r="Y22" s="140">
        <f>Mitigation_Industry!$F$304*Y$12+Mitigation_Industry!$G$304*Y$13</f>
        <v>0</v>
      </c>
      <c r="Z22" s="140">
        <f>Mitigation_Industry!$F$304*Z$12+Mitigation_Industry!$G$304*Z$13</f>
        <v>0</v>
      </c>
      <c r="AA22" s="140">
        <f>Mitigation_Industry!$F$304*AA$12+Mitigation_Industry!$G$304*AA$13</f>
        <v>0</v>
      </c>
      <c r="AB22" s="140">
        <f>Mitigation_Industry!$F$304*AB$12+Mitigation_Industry!$G$304*AB$13</f>
        <v>0</v>
      </c>
      <c r="AC22" s="140">
        <f>Mitigation_Industry!$F$304*AC$12+Mitigation_Industry!$G$304*AC$13</f>
        <v>0</v>
      </c>
      <c r="AD22" s="140">
        <f>Mitigation_Industry!$F$304*AD$12+Mitigation_Industry!$G$304*AD$13</f>
        <v>0</v>
      </c>
      <c r="AE22" s="140">
        <f>Mitigation_Industry!$F$304*AE$12+Mitigation_Industry!$G$304*AE$13</f>
        <v>0</v>
      </c>
      <c r="AF22" s="141"/>
      <c r="AG22" s="141"/>
      <c r="AH22" s="141"/>
      <c r="AI22" s="141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8" t="str">
        <f>Settings!$B$3&amp;".mit.pf.frt.nit.1"</f>
        <v>egy.mit.pf.frt.nit.1</v>
      </c>
      <c r="K23" s="139"/>
      <c r="L23" s="140">
        <f>Mitigation_Industry!$F$305*L$12+Mitigation_Industry!$G$305*L$13</f>
        <v>0</v>
      </c>
      <c r="M23" s="140">
        <f>Mitigation_Industry!$F$305*M$12+Mitigation_Industry!$G$305*M$13</f>
        <v>0</v>
      </c>
      <c r="N23" s="140">
        <f>Mitigation_Industry!$F$305*N$12+Mitigation_Industry!$G$305*N$13</f>
        <v>0</v>
      </c>
      <c r="O23" s="140">
        <f>Mitigation_Industry!$F$305*O$12+Mitigation_Industry!$G$305*O$13</f>
        <v>0</v>
      </c>
      <c r="P23" s="140">
        <f>Mitigation_Industry!$F$305*P$12+Mitigation_Industry!$G$305*P$13</f>
        <v>0</v>
      </c>
      <c r="Q23" s="140">
        <f>Mitigation_Industry!$F$305*Q$12+Mitigation_Industry!$G$305*Q$13</f>
        <v>0</v>
      </c>
      <c r="R23" s="140">
        <f>Mitigation_Industry!$F$305*R$12+Mitigation_Industry!$G$305*R$13</f>
        <v>0</v>
      </c>
      <c r="S23" s="140">
        <f>Mitigation_Industry!$F$305*S$12+Mitigation_Industry!$G$305*S$13</f>
        <v>0</v>
      </c>
      <c r="T23" s="140">
        <f>Mitigation_Industry!$F$305*T$12+Mitigation_Industry!$G$305*T$13</f>
        <v>0</v>
      </c>
      <c r="U23" s="140">
        <f>Mitigation_Industry!$F$305*U$12+Mitigation_Industry!$G$305*U$13</f>
        <v>0</v>
      </c>
      <c r="V23" s="140">
        <f>Mitigation_Industry!$F$305*V$12+Mitigation_Industry!$G$305*V$13</f>
        <v>0</v>
      </c>
      <c r="W23" s="140">
        <f>Mitigation_Industry!$F$305*W$12+Mitigation_Industry!$G$305*W$13</f>
        <v>0</v>
      </c>
      <c r="X23" s="140">
        <f>Mitigation_Industry!$F$305*X$12+Mitigation_Industry!$G$305*X$13</f>
        <v>0</v>
      </c>
      <c r="Y23" s="140">
        <f>Mitigation_Industry!$F$305*Y$12+Mitigation_Industry!$G$305*Y$13</f>
        <v>0</v>
      </c>
      <c r="Z23" s="140">
        <f>Mitigation_Industry!$F$305*Z$12+Mitigation_Industry!$G$305*Z$13</f>
        <v>0</v>
      </c>
      <c r="AA23" s="140">
        <f>Mitigation_Industry!$F$305*AA$12+Mitigation_Industry!$G$305*AA$13</f>
        <v>0</v>
      </c>
      <c r="AB23" s="140">
        <f>Mitigation_Industry!$F$305*AB$12+Mitigation_Industry!$G$305*AB$13</f>
        <v>0</v>
      </c>
      <c r="AC23" s="140">
        <f>Mitigation_Industry!$F$305*AC$12+Mitigation_Industry!$G$305*AC$13</f>
        <v>0</v>
      </c>
      <c r="AD23" s="140">
        <f>Mitigation_Industry!$F$305*AD$12+Mitigation_Industry!$G$305*AD$13</f>
        <v>0</v>
      </c>
      <c r="AE23" s="140">
        <f>Mitigation_Industry!$F$305*AE$12+Mitigation_Industry!$G$305*AE$13</f>
        <v>0</v>
      </c>
      <c r="AF23" s="141"/>
      <c r="AG23" s="141"/>
      <c r="AH23" s="141"/>
      <c r="AI23" s="141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8" t="str">
        <f>Settings!$B$3&amp;".mit.pf.alu.prp.1"</f>
        <v>egy.mit.pf.alu.prp.1</v>
      </c>
      <c r="K24" s="139"/>
      <c r="L24" s="140">
        <f>Mitigation_Industry!$F$306*L$12+Mitigation_Industry!$G$306*L$13</f>
        <v>0</v>
      </c>
      <c r="M24" s="140">
        <f>Mitigation_Industry!$F$306*M$12+Mitigation_Industry!$G$306*M$13</f>
        <v>0</v>
      </c>
      <c r="N24" s="140">
        <f>Mitigation_Industry!$F$306*N$12+Mitigation_Industry!$G$306*N$13</f>
        <v>0</v>
      </c>
      <c r="O24" s="140">
        <f>Mitigation_Industry!$F$306*O$12+Mitigation_Industry!$G$306*O$13</f>
        <v>0</v>
      </c>
      <c r="P24" s="140">
        <f>Mitigation_Industry!$F$306*P$12+Mitigation_Industry!$G$306*P$13</f>
        <v>0</v>
      </c>
      <c r="Q24" s="140">
        <f>Mitigation_Industry!$F$306*Q$12+Mitigation_Industry!$G$306*Q$13</f>
        <v>0</v>
      </c>
      <c r="R24" s="140">
        <f>Mitigation_Industry!$F$306*R$12+Mitigation_Industry!$G$306*R$13</f>
        <v>0</v>
      </c>
      <c r="S24" s="140">
        <f>Mitigation_Industry!$F$306*S$12+Mitigation_Industry!$G$306*S$13</f>
        <v>0</v>
      </c>
      <c r="T24" s="140">
        <f>Mitigation_Industry!$F$306*T$12+Mitigation_Industry!$G$306*T$13</f>
        <v>0</v>
      </c>
      <c r="U24" s="140">
        <f>Mitigation_Industry!$F$306*U$12+Mitigation_Industry!$G$306*U$13</f>
        <v>0</v>
      </c>
      <c r="V24" s="140">
        <f>Mitigation_Industry!$F$306*V$12+Mitigation_Industry!$G$306*V$13</f>
        <v>0</v>
      </c>
      <c r="W24" s="140">
        <f>Mitigation_Industry!$F$306*W$12+Mitigation_Industry!$G$306*W$13</f>
        <v>0</v>
      </c>
      <c r="X24" s="140">
        <f>Mitigation_Industry!$F$306*X$12+Mitigation_Industry!$G$306*X$13</f>
        <v>0</v>
      </c>
      <c r="Y24" s="140">
        <f>Mitigation_Industry!$F$306*Y$12+Mitigation_Industry!$G$306*Y$13</f>
        <v>0</v>
      </c>
      <c r="Z24" s="140">
        <f>Mitigation_Industry!$F$306*Z$12+Mitigation_Industry!$G$306*Z$13</f>
        <v>0</v>
      </c>
      <c r="AA24" s="140">
        <f>Mitigation_Industry!$F$306*AA$12+Mitigation_Industry!$G$306*AA$13</f>
        <v>0</v>
      </c>
      <c r="AB24" s="140">
        <f>Mitigation_Industry!$F$306*AB$12+Mitigation_Industry!$G$306*AB$13</f>
        <v>0</v>
      </c>
      <c r="AC24" s="140">
        <f>Mitigation_Industry!$F$306*AC$12+Mitigation_Industry!$G$306*AC$13</f>
        <v>0</v>
      </c>
      <c r="AD24" s="140">
        <f>Mitigation_Industry!$F$306*AD$12+Mitigation_Industry!$G$306*AD$13</f>
        <v>0</v>
      </c>
      <c r="AE24" s="140">
        <f>Mitigation_Industry!$F$306*AE$12+Mitigation_Industry!$G$306*AE$13</f>
        <v>0</v>
      </c>
      <c r="AF24" s="141"/>
      <c r="AG24" s="141"/>
      <c r="AH24" s="141"/>
      <c r="AI24" s="141"/>
    </row>
    <row r="25" spans="1:35" x14ac:dyDescent="0.35"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7">
        <v>2021</v>
      </c>
      <c r="L26" s="138">
        <v>2022</v>
      </c>
      <c r="M26" s="137">
        <v>2023</v>
      </c>
      <c r="N26" s="137">
        <v>2024</v>
      </c>
      <c r="O26" s="137">
        <v>2025</v>
      </c>
      <c r="P26" s="137">
        <v>2026</v>
      </c>
      <c r="Q26" s="137">
        <v>2027</v>
      </c>
      <c r="R26" s="137">
        <v>2028</v>
      </c>
      <c r="S26" s="137">
        <v>2029</v>
      </c>
      <c r="T26" s="137">
        <v>2030</v>
      </c>
      <c r="U26" s="137">
        <v>2031</v>
      </c>
      <c r="V26" s="137">
        <v>2032</v>
      </c>
      <c r="W26" s="137">
        <v>2033</v>
      </c>
      <c r="X26" s="137">
        <v>2034</v>
      </c>
      <c r="Y26" s="137">
        <v>2035</v>
      </c>
      <c r="Z26" s="137">
        <v>2036</v>
      </c>
      <c r="AA26" s="137">
        <v>2037</v>
      </c>
      <c r="AB26" s="137">
        <v>2038</v>
      </c>
      <c r="AC26" s="137">
        <v>2039</v>
      </c>
      <c r="AD26" s="137">
        <v>2040</v>
      </c>
      <c r="AE26" s="137">
        <v>2041</v>
      </c>
      <c r="AF26" s="137">
        <v>2042</v>
      </c>
      <c r="AG26" s="137">
        <v>2043</v>
      </c>
      <c r="AH26" s="137">
        <v>2044</v>
      </c>
      <c r="AI26" s="137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8" t="str">
        <f>Settings!$B$3&amp;".mit.pp.stl.drg.np.1"</f>
        <v>egy.mit.pp.stl.drg.np.1</v>
      </c>
      <c r="I27" t="s">
        <v>2567</v>
      </c>
      <c r="K27" s="139"/>
      <c r="L27" s="140">
        <f>Mitigation_Industry!$F$310*L$14+Mitigation_Industry!$G$310*L$13</f>
        <v>0</v>
      </c>
      <c r="M27" s="140">
        <f>Mitigation_Industry!$F$310*M$14+Mitigation_Industry!$G$310*M$13</f>
        <v>0</v>
      </c>
      <c r="N27" s="140">
        <f>Mitigation_Industry!$F$310*N$14+Mitigation_Industry!$G$310*N$13</f>
        <v>0</v>
      </c>
      <c r="O27" s="140">
        <f>Mitigation_Industry!$F$310*O$14+Mitigation_Industry!$G$310*O$13</f>
        <v>0</v>
      </c>
      <c r="P27" s="140">
        <f>Mitigation_Industry!$F$310*P$14+Mitigation_Industry!$G$310*P$13</f>
        <v>0</v>
      </c>
      <c r="Q27" s="140">
        <f>Mitigation_Industry!$F$310*Q$14+Mitigation_Industry!$G$310*Q$13</f>
        <v>0</v>
      </c>
      <c r="R27" s="140">
        <f>Mitigation_Industry!$F$310*R$14+Mitigation_Industry!$G$310*R$13</f>
        <v>0</v>
      </c>
      <c r="S27" s="140">
        <f>Mitigation_Industry!$F$310*S$14+Mitigation_Industry!$G$310*S$13</f>
        <v>0</v>
      </c>
      <c r="T27" s="140">
        <f>Mitigation_Industry!$F$310*T$14+Mitigation_Industry!$G$310*T$13</f>
        <v>0</v>
      </c>
      <c r="U27" s="140">
        <f>Mitigation_Industry!$F$310*U$14+Mitigation_Industry!$G$310*U$13</f>
        <v>0</v>
      </c>
      <c r="V27" s="140">
        <f>Mitigation_Industry!$F$310*V$14+Mitigation_Industry!$G$310*V$13</f>
        <v>0</v>
      </c>
      <c r="W27" s="140">
        <f>Mitigation_Industry!$F$310*W$14+Mitigation_Industry!$G$310*W$13</f>
        <v>0</v>
      </c>
      <c r="X27" s="140">
        <f>Mitigation_Industry!$F$310*X$14+Mitigation_Industry!$G$310*X$13</f>
        <v>0</v>
      </c>
      <c r="Y27" s="140">
        <f>Mitigation_Industry!$F$310*Y$14+Mitigation_Industry!$G$310*Y$13</f>
        <v>0</v>
      </c>
      <c r="Z27" s="140">
        <f>Mitigation_Industry!$F$310*Z$14+Mitigation_Industry!$G$310*Z$13</f>
        <v>0</v>
      </c>
      <c r="AA27" s="140">
        <f>Mitigation_Industry!$F$310*AA$14+Mitigation_Industry!$G$310*AA$13</f>
        <v>0</v>
      </c>
      <c r="AB27" s="140">
        <f>Mitigation_Industry!$F$310*AB$14+Mitigation_Industry!$G$310*AB$13</f>
        <v>0</v>
      </c>
      <c r="AC27" s="140">
        <f>Mitigation_Industry!$F$310*AC$14+Mitigation_Industry!$G$310*AC$13</f>
        <v>0</v>
      </c>
      <c r="AD27" s="140">
        <f>Mitigation_Industry!$F$310*AD$14+Mitigation_Industry!$G$310*AD$13</f>
        <v>0</v>
      </c>
      <c r="AE27" s="140">
        <f>Mitigation_Industry!$F$310*AE$14+Mitigation_Industry!$G$310*AE$13</f>
        <v>0</v>
      </c>
      <c r="AF27" s="141"/>
      <c r="AG27" s="141"/>
      <c r="AH27" s="141"/>
      <c r="AI27" s="141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8" t="str">
        <f>Settings!$B$3&amp;".mit.pp.stl.scr.np.1"</f>
        <v>egy.mit.pp.stl.scr.np.1</v>
      </c>
      <c r="K28" s="139"/>
      <c r="L28" s="140">
        <f>Mitigation_Industry!$F$311*L$14+Mitigation_Industry!$G$311*L$13</f>
        <v>0</v>
      </c>
      <c r="M28" s="140">
        <f>Mitigation_Industry!$F$311*M$14+Mitigation_Industry!$G$311*M$13</f>
        <v>0</v>
      </c>
      <c r="N28" s="140">
        <f>Mitigation_Industry!$F$311*N$14+Mitigation_Industry!$G$311*N$13</f>
        <v>0</v>
      </c>
      <c r="O28" s="140">
        <f>Mitigation_Industry!$F$311*O$14+Mitigation_Industry!$G$311*O$13</f>
        <v>0</v>
      </c>
      <c r="P28" s="140">
        <f>Mitigation_Industry!$F$311*P$14+Mitigation_Industry!$G$311*P$13</f>
        <v>0</v>
      </c>
      <c r="Q28" s="140">
        <f>Mitigation_Industry!$F$311*Q$14+Mitigation_Industry!$G$311*Q$13</f>
        <v>0</v>
      </c>
      <c r="R28" s="140">
        <f>Mitigation_Industry!$F$311*R$14+Mitigation_Industry!$G$311*R$13</f>
        <v>0</v>
      </c>
      <c r="S28" s="140">
        <f>Mitigation_Industry!$F$311*S$14+Mitigation_Industry!$G$311*S$13</f>
        <v>0</v>
      </c>
      <c r="T28" s="140">
        <f>Mitigation_Industry!$F$311*T$14+Mitigation_Industry!$G$311*T$13</f>
        <v>0</v>
      </c>
      <c r="U28" s="140">
        <f>Mitigation_Industry!$F$311*U$14+Mitigation_Industry!$G$311*U$13</f>
        <v>0</v>
      </c>
      <c r="V28" s="140">
        <f>Mitigation_Industry!$F$311*V$14+Mitigation_Industry!$G$311*V$13</f>
        <v>0</v>
      </c>
      <c r="W28" s="140">
        <f>Mitigation_Industry!$F$311*W$14+Mitigation_Industry!$G$311*W$13</f>
        <v>0</v>
      </c>
      <c r="X28" s="140">
        <f>Mitigation_Industry!$F$311*X$14+Mitigation_Industry!$G$311*X$13</f>
        <v>0</v>
      </c>
      <c r="Y28" s="140">
        <f>Mitigation_Industry!$F$311*Y$14+Mitigation_Industry!$G$311*Y$13</f>
        <v>0</v>
      </c>
      <c r="Z28" s="140">
        <f>Mitigation_Industry!$F$311*Z$14+Mitigation_Industry!$G$311*Z$13</f>
        <v>0</v>
      </c>
      <c r="AA28" s="140">
        <f>Mitigation_Industry!$F$311*AA$14+Mitigation_Industry!$G$311*AA$13</f>
        <v>0</v>
      </c>
      <c r="AB28" s="140">
        <f>Mitigation_Industry!$F$311*AB$14+Mitigation_Industry!$G$311*AB$13</f>
        <v>0</v>
      </c>
      <c r="AC28" s="140">
        <f>Mitigation_Industry!$F$311*AC$14+Mitigation_Industry!$G$311*AC$13</f>
        <v>0</v>
      </c>
      <c r="AD28" s="140">
        <f>Mitigation_Industry!$F$311*AD$14+Mitigation_Industry!$G$311*AD$13</f>
        <v>0</v>
      </c>
      <c r="AE28" s="140">
        <f>Mitigation_Industry!$F$311*AE$14+Mitigation_Industry!$G$311*AE$13</f>
        <v>0</v>
      </c>
      <c r="AF28" s="141"/>
      <c r="AG28" s="141"/>
      <c r="AH28" s="141"/>
      <c r="AI28" s="141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8" t="str">
        <f>Settings!$B$3&amp;".mit.pp.stl.bof.np.1"</f>
        <v>egy.mit.pp.stl.bof.np.1</v>
      </c>
      <c r="K29" s="139"/>
      <c r="L29" s="140">
        <f>Mitigation_Industry!$F$312*L$14+Mitigation_Industry!$G$312*L$13</f>
        <v>0</v>
      </c>
      <c r="M29" s="140">
        <f>Mitigation_Industry!$F$312*M$14+Mitigation_Industry!$G$312*M$13</f>
        <v>0</v>
      </c>
      <c r="N29" s="140">
        <f>Mitigation_Industry!$F$312*N$14+Mitigation_Industry!$G$312*N$13</f>
        <v>0</v>
      </c>
      <c r="O29" s="140">
        <f>Mitigation_Industry!$F$312*O$14+Mitigation_Industry!$G$312*O$13</f>
        <v>0</v>
      </c>
      <c r="P29" s="140">
        <f>Mitigation_Industry!$F$312*P$14+Mitigation_Industry!$G$312*P$13</f>
        <v>0</v>
      </c>
      <c r="Q29" s="140">
        <f>Mitigation_Industry!$F$312*Q$14+Mitigation_Industry!$G$312*Q$13</f>
        <v>0</v>
      </c>
      <c r="R29" s="140">
        <f>Mitigation_Industry!$F$312*R$14+Mitigation_Industry!$G$312*R$13</f>
        <v>0</v>
      </c>
      <c r="S29" s="140">
        <f>Mitigation_Industry!$F$312*S$14+Mitigation_Industry!$G$312*S$13</f>
        <v>0</v>
      </c>
      <c r="T29" s="140">
        <f>Mitigation_Industry!$F$312*T$14+Mitigation_Industry!$G$312*T$13</f>
        <v>0</v>
      </c>
      <c r="U29" s="140">
        <f>Mitigation_Industry!$F$312*U$14+Mitigation_Industry!$G$312*U$13</f>
        <v>0</v>
      </c>
      <c r="V29" s="140">
        <f>Mitigation_Industry!$F$312*V$14+Mitigation_Industry!$G$312*V$13</f>
        <v>0</v>
      </c>
      <c r="W29" s="140">
        <f>Mitigation_Industry!$F$312*W$14+Mitigation_Industry!$G$312*W$13</f>
        <v>0</v>
      </c>
      <c r="X29" s="140">
        <f>Mitigation_Industry!$F$312*X$14+Mitigation_Industry!$G$312*X$13</f>
        <v>0</v>
      </c>
      <c r="Y29" s="140">
        <f>Mitigation_Industry!$F$312*Y$14+Mitigation_Industry!$G$312*Y$13</f>
        <v>0</v>
      </c>
      <c r="Z29" s="140">
        <f>Mitigation_Industry!$F$312*Z$14+Mitigation_Industry!$G$312*Z$13</f>
        <v>0</v>
      </c>
      <c r="AA29" s="140">
        <f>Mitigation_Industry!$F$312*AA$14+Mitigation_Industry!$G$312*AA$13</f>
        <v>0</v>
      </c>
      <c r="AB29" s="140">
        <f>Mitigation_Industry!$F$312*AB$14+Mitigation_Industry!$G$312*AB$13</f>
        <v>0</v>
      </c>
      <c r="AC29" s="140">
        <f>Mitigation_Industry!$F$312*AC$14+Mitigation_Industry!$G$312*AC$13</f>
        <v>0</v>
      </c>
      <c r="AD29" s="140">
        <f>Mitigation_Industry!$F$312*AD$14+Mitigation_Industry!$G$312*AD$13</f>
        <v>0</v>
      </c>
      <c r="AE29" s="140">
        <f>Mitigation_Industry!$F$312*AE$14+Mitigation_Industry!$G$312*AE$13</f>
        <v>0</v>
      </c>
      <c r="AF29" s="141"/>
      <c r="AG29" s="141"/>
      <c r="AH29" s="141"/>
      <c r="AI29" s="141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8" t="str">
        <f>Settings!$B$3&amp;".mit.pp.cmt.dry.np.1"</f>
        <v>egy.mit.pp.cmt.dry.np.1</v>
      </c>
      <c r="K30" s="139"/>
      <c r="L30" s="140">
        <f>Mitigation_Industry!$F$313*L$14+Mitigation_Industry!$G$313*L$13</f>
        <v>0</v>
      </c>
      <c r="M30" s="140">
        <f>Mitigation_Industry!$F$313*M$14+Mitigation_Industry!$G$313*M$13</f>
        <v>0</v>
      </c>
      <c r="N30" s="140">
        <f>Mitigation_Industry!$F$313*N$14+Mitigation_Industry!$G$313*N$13</f>
        <v>0</v>
      </c>
      <c r="O30" s="140">
        <f>Mitigation_Industry!$F$313*O$14+Mitigation_Industry!$G$313*O$13</f>
        <v>0</v>
      </c>
      <c r="P30" s="140">
        <f>Mitigation_Industry!$F$313*P$14+Mitigation_Industry!$G$313*P$13</f>
        <v>0</v>
      </c>
      <c r="Q30" s="140">
        <f>Mitigation_Industry!$F$313*Q$14+Mitigation_Industry!$G$313*Q$13</f>
        <v>0</v>
      </c>
      <c r="R30" s="140">
        <f>Mitigation_Industry!$F$313*R$14+Mitigation_Industry!$G$313*R$13</f>
        <v>0</v>
      </c>
      <c r="S30" s="140">
        <f>Mitigation_Industry!$F$313*S$14+Mitigation_Industry!$G$313*S$13</f>
        <v>0</v>
      </c>
      <c r="T30" s="140">
        <f>Mitigation_Industry!$F$313*T$14+Mitigation_Industry!$G$313*T$13</f>
        <v>0</v>
      </c>
      <c r="U30" s="140">
        <f>Mitigation_Industry!$F$313*U$14+Mitigation_Industry!$G$313*U$13</f>
        <v>0</v>
      </c>
      <c r="V30" s="140">
        <f>Mitigation_Industry!$F$313*V$14+Mitigation_Industry!$G$313*V$13</f>
        <v>0</v>
      </c>
      <c r="W30" s="140">
        <f>Mitigation_Industry!$F$313*W$14+Mitigation_Industry!$G$313*W$13</f>
        <v>0</v>
      </c>
      <c r="X30" s="140">
        <f>Mitigation_Industry!$F$313*X$14+Mitigation_Industry!$G$313*X$13</f>
        <v>0</v>
      </c>
      <c r="Y30" s="140">
        <f>Mitigation_Industry!$F$313*Y$14+Mitigation_Industry!$G$313*Y$13</f>
        <v>0</v>
      </c>
      <c r="Z30" s="140">
        <f>Mitigation_Industry!$F$313*Z$14+Mitigation_Industry!$G$313*Z$13</f>
        <v>0</v>
      </c>
      <c r="AA30" s="140">
        <f>Mitigation_Industry!$F$313*AA$14+Mitigation_Industry!$G$313*AA$13</f>
        <v>0</v>
      </c>
      <c r="AB30" s="140">
        <f>Mitigation_Industry!$F$313*AB$14+Mitigation_Industry!$G$313*AB$13</f>
        <v>0</v>
      </c>
      <c r="AC30" s="140">
        <f>Mitigation_Industry!$F$313*AC$14+Mitigation_Industry!$G$313*AC$13</f>
        <v>0</v>
      </c>
      <c r="AD30" s="140">
        <f>Mitigation_Industry!$F$313*AD$14+Mitigation_Industry!$G$313*AD$13</f>
        <v>0</v>
      </c>
      <c r="AE30" s="140">
        <f>Mitigation_Industry!$F$313*AE$14+Mitigation_Industry!$G$313*AE$13</f>
        <v>0</v>
      </c>
      <c r="AF30" s="141"/>
      <c r="AG30" s="141"/>
      <c r="AH30" s="141"/>
      <c r="AI30" s="141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8" t="str">
        <f>Settings!$B$3&amp;".mit.pp.frt.amc.np.1"</f>
        <v>egy.mit.pp.frt.amc.np.1</v>
      </c>
      <c r="K31" s="139"/>
      <c r="L31" s="140">
        <f>Mitigation_Industry!$F$314*L$14+Mitigation_Industry!$G$314*L$13</f>
        <v>0</v>
      </c>
      <c r="M31" s="140">
        <f>Mitigation_Industry!$F$314*M$14+Mitigation_Industry!$G$314*M$13</f>
        <v>0</v>
      </c>
      <c r="N31" s="140">
        <f>Mitigation_Industry!$F$314*N$14+Mitigation_Industry!$G$314*N$13</f>
        <v>0</v>
      </c>
      <c r="O31" s="140">
        <f>Mitigation_Industry!$F$314*O$14+Mitigation_Industry!$G$314*O$13</f>
        <v>0</v>
      </c>
      <c r="P31" s="140">
        <f>Mitigation_Industry!$F$314*P$14+Mitigation_Industry!$G$314*P$13</f>
        <v>0</v>
      </c>
      <c r="Q31" s="140">
        <f>Mitigation_Industry!$F$314*Q$14+Mitigation_Industry!$G$314*Q$13</f>
        <v>0</v>
      </c>
      <c r="R31" s="140">
        <f>Mitigation_Industry!$F$314*R$14+Mitigation_Industry!$G$314*R$13</f>
        <v>0</v>
      </c>
      <c r="S31" s="140">
        <f>Mitigation_Industry!$F$314*S$14+Mitigation_Industry!$G$314*S$13</f>
        <v>0</v>
      </c>
      <c r="T31" s="140">
        <f>Mitigation_Industry!$F$314*T$14+Mitigation_Industry!$G$314*T$13</f>
        <v>0</v>
      </c>
      <c r="U31" s="140">
        <f>Mitigation_Industry!$F$314*U$14+Mitigation_Industry!$G$314*U$13</f>
        <v>0</v>
      </c>
      <c r="V31" s="140">
        <f>Mitigation_Industry!$F$314*V$14+Mitigation_Industry!$G$314*V$13</f>
        <v>0</v>
      </c>
      <c r="W31" s="140">
        <f>Mitigation_Industry!$F$314*W$14+Mitigation_Industry!$G$314*W$13</f>
        <v>0</v>
      </c>
      <c r="X31" s="140">
        <f>Mitigation_Industry!$F$314*X$14+Mitigation_Industry!$G$314*X$13</f>
        <v>0</v>
      </c>
      <c r="Y31" s="140">
        <f>Mitigation_Industry!$F$314*Y$14+Mitigation_Industry!$G$314*Y$13</f>
        <v>0</v>
      </c>
      <c r="Z31" s="140">
        <f>Mitigation_Industry!$F$314*Z$14+Mitigation_Industry!$G$314*Z$13</f>
        <v>0</v>
      </c>
      <c r="AA31" s="140">
        <f>Mitigation_Industry!$F$314*AA$14+Mitigation_Industry!$G$314*AA$13</f>
        <v>0</v>
      </c>
      <c r="AB31" s="140">
        <f>Mitigation_Industry!$F$314*AB$14+Mitigation_Industry!$G$314*AB$13</f>
        <v>0</v>
      </c>
      <c r="AC31" s="140">
        <f>Mitigation_Industry!$F$314*AC$14+Mitigation_Industry!$G$314*AC$13</f>
        <v>0</v>
      </c>
      <c r="AD31" s="140">
        <f>Mitigation_Industry!$F$314*AD$14+Mitigation_Industry!$G$314*AD$13</f>
        <v>0</v>
      </c>
      <c r="AE31" s="140">
        <f>Mitigation_Industry!$F$314*AE$14+Mitigation_Industry!$G$314*AE$13</f>
        <v>0</v>
      </c>
      <c r="AF31" s="141"/>
      <c r="AG31" s="141"/>
      <c r="AH31" s="141"/>
      <c r="AI31" s="141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8" t="str">
        <f>Settings!$B$3&amp;".mit.pp.frt.ure.np.1"</f>
        <v>egy.mit.pp.frt.ure.np.1</v>
      </c>
      <c r="K32" s="139"/>
      <c r="L32" s="140">
        <f>Mitigation_Industry!$F$315*L$14+Mitigation_Industry!$G$315*L$13</f>
        <v>0</v>
      </c>
      <c r="M32" s="140">
        <f>Mitigation_Industry!$F$315*M$14+Mitigation_Industry!$G$315*M$13</f>
        <v>0</v>
      </c>
      <c r="N32" s="140">
        <f>Mitigation_Industry!$F$315*N$14+Mitigation_Industry!$G$315*N$13</f>
        <v>0</v>
      </c>
      <c r="O32" s="140">
        <f>Mitigation_Industry!$F$315*O$14+Mitigation_Industry!$G$315*O$13</f>
        <v>0</v>
      </c>
      <c r="P32" s="140">
        <f>Mitigation_Industry!$F$315*P$14+Mitigation_Industry!$G$315*P$13</f>
        <v>0</v>
      </c>
      <c r="Q32" s="140">
        <f>Mitigation_Industry!$F$315*Q$14+Mitigation_Industry!$G$315*Q$13</f>
        <v>0</v>
      </c>
      <c r="R32" s="140">
        <f>Mitigation_Industry!$F$315*R$14+Mitigation_Industry!$G$315*R$13</f>
        <v>0</v>
      </c>
      <c r="S32" s="140">
        <f>Mitigation_Industry!$F$315*S$14+Mitigation_Industry!$G$315*S$13</f>
        <v>0</v>
      </c>
      <c r="T32" s="140">
        <f>Mitigation_Industry!$F$315*T$14+Mitigation_Industry!$G$315*T$13</f>
        <v>0</v>
      </c>
      <c r="U32" s="140">
        <f>Mitigation_Industry!$F$315*U$14+Mitigation_Industry!$G$315*U$13</f>
        <v>0</v>
      </c>
      <c r="V32" s="140">
        <f>Mitigation_Industry!$F$315*V$14+Mitigation_Industry!$G$315*V$13</f>
        <v>0</v>
      </c>
      <c r="W32" s="140">
        <f>Mitigation_Industry!$F$315*W$14+Mitigation_Industry!$G$315*W$13</f>
        <v>0</v>
      </c>
      <c r="X32" s="140">
        <f>Mitigation_Industry!$F$315*X$14+Mitigation_Industry!$G$315*X$13</f>
        <v>0</v>
      </c>
      <c r="Y32" s="140">
        <f>Mitigation_Industry!$F$315*Y$14+Mitigation_Industry!$G$315*Y$13</f>
        <v>0</v>
      </c>
      <c r="Z32" s="140">
        <f>Mitigation_Industry!$F$315*Z$14+Mitigation_Industry!$G$315*Z$13</f>
        <v>0</v>
      </c>
      <c r="AA32" s="140">
        <f>Mitigation_Industry!$F$315*AA$14+Mitigation_Industry!$G$315*AA$13</f>
        <v>0</v>
      </c>
      <c r="AB32" s="140">
        <f>Mitigation_Industry!$F$315*AB$14+Mitigation_Industry!$G$315*AB$13</f>
        <v>0</v>
      </c>
      <c r="AC32" s="140">
        <f>Mitigation_Industry!$F$315*AC$14+Mitigation_Industry!$G$315*AC$13</f>
        <v>0</v>
      </c>
      <c r="AD32" s="140">
        <f>Mitigation_Industry!$F$315*AD$14+Mitigation_Industry!$G$315*AD$13</f>
        <v>0</v>
      </c>
      <c r="AE32" s="140">
        <f>Mitigation_Industry!$F$315*AE$14+Mitigation_Industry!$G$315*AE$13</f>
        <v>0</v>
      </c>
      <c r="AF32" s="141"/>
      <c r="AG32" s="141"/>
      <c r="AH32" s="141"/>
      <c r="AI32" s="141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8" t="str">
        <f>Settings!$B$3&amp;".mit.pp.frt.nit.np.1"</f>
        <v>egy.mit.pp.frt.nit.np.1</v>
      </c>
      <c r="K33" s="139"/>
      <c r="L33" s="140">
        <f>Mitigation_Industry!$F$316*L$14+Mitigation_Industry!$G$316*L$13</f>
        <v>0</v>
      </c>
      <c r="M33" s="140">
        <f>Mitigation_Industry!$F$316*M$14+Mitigation_Industry!$G$316*M$13</f>
        <v>0</v>
      </c>
      <c r="N33" s="140">
        <f>Mitigation_Industry!$F$316*N$14+Mitigation_Industry!$G$316*N$13</f>
        <v>0</v>
      </c>
      <c r="O33" s="140">
        <f>Mitigation_Industry!$F$316*O$14+Mitigation_Industry!$G$316*O$13</f>
        <v>0</v>
      </c>
      <c r="P33" s="140">
        <f>Mitigation_Industry!$F$316*P$14+Mitigation_Industry!$G$316*P$13</f>
        <v>0</v>
      </c>
      <c r="Q33" s="140">
        <f>Mitigation_Industry!$F$316*Q$14+Mitigation_Industry!$G$316*Q$13</f>
        <v>0</v>
      </c>
      <c r="R33" s="140">
        <f>Mitigation_Industry!$F$316*R$14+Mitigation_Industry!$G$316*R$13</f>
        <v>0</v>
      </c>
      <c r="S33" s="140">
        <f>Mitigation_Industry!$F$316*S$14+Mitigation_Industry!$G$316*S$13</f>
        <v>0</v>
      </c>
      <c r="T33" s="140">
        <f>Mitigation_Industry!$F$316*T$14+Mitigation_Industry!$G$316*T$13</f>
        <v>0</v>
      </c>
      <c r="U33" s="140">
        <f>Mitigation_Industry!$F$316*U$14+Mitigation_Industry!$G$316*U$13</f>
        <v>0</v>
      </c>
      <c r="V33" s="140">
        <f>Mitigation_Industry!$F$316*V$14+Mitigation_Industry!$G$316*V$13</f>
        <v>0</v>
      </c>
      <c r="W33" s="140">
        <f>Mitigation_Industry!$F$316*W$14+Mitigation_Industry!$G$316*W$13</f>
        <v>0</v>
      </c>
      <c r="X33" s="140">
        <f>Mitigation_Industry!$F$316*X$14+Mitigation_Industry!$G$316*X$13</f>
        <v>0</v>
      </c>
      <c r="Y33" s="140">
        <f>Mitigation_Industry!$F$316*Y$14+Mitigation_Industry!$G$316*Y$13</f>
        <v>0</v>
      </c>
      <c r="Z33" s="140">
        <f>Mitigation_Industry!$F$316*Z$14+Mitigation_Industry!$G$316*Z$13</f>
        <v>0</v>
      </c>
      <c r="AA33" s="140">
        <f>Mitigation_Industry!$F$316*AA$14+Mitigation_Industry!$G$316*AA$13</f>
        <v>0</v>
      </c>
      <c r="AB33" s="140">
        <f>Mitigation_Industry!$F$316*AB$14+Mitigation_Industry!$G$316*AB$13</f>
        <v>0</v>
      </c>
      <c r="AC33" s="140">
        <f>Mitigation_Industry!$F$316*AC$14+Mitigation_Industry!$G$316*AC$13</f>
        <v>0</v>
      </c>
      <c r="AD33" s="140">
        <f>Mitigation_Industry!$F$316*AD$14+Mitigation_Industry!$G$316*AD$13</f>
        <v>0</v>
      </c>
      <c r="AE33" s="140">
        <f>Mitigation_Industry!$F$316*AE$14+Mitigation_Industry!$G$316*AE$13</f>
        <v>0</v>
      </c>
      <c r="AF33" s="141"/>
      <c r="AG33" s="141"/>
      <c r="AH33" s="141"/>
      <c r="AI33" s="141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8" t="str">
        <f>Settings!$B$3&amp;".mit.pp.alu.prp.np.1"</f>
        <v>egy.mit.pp.alu.prp.np.1</v>
      </c>
      <c r="K34" s="139"/>
      <c r="L34" s="140">
        <f>Mitigation_Industry!$F$317*L$14+Mitigation_Industry!$G$317*L$13</f>
        <v>0</v>
      </c>
      <c r="M34" s="140">
        <f>Mitigation_Industry!$F$317*M$14+Mitigation_Industry!$G$317*M$13</f>
        <v>0</v>
      </c>
      <c r="N34" s="140">
        <f>Mitigation_Industry!$F$317*N$14+Mitigation_Industry!$G$317*N$13</f>
        <v>0</v>
      </c>
      <c r="O34" s="140">
        <f>Mitigation_Industry!$F$317*O$14+Mitigation_Industry!$G$317*O$13</f>
        <v>0</v>
      </c>
      <c r="P34" s="140">
        <f>Mitigation_Industry!$F$317*P$14+Mitigation_Industry!$G$317*P$13</f>
        <v>0</v>
      </c>
      <c r="Q34" s="140">
        <f>Mitigation_Industry!$F$317*Q$14+Mitigation_Industry!$G$317*Q$13</f>
        <v>0</v>
      </c>
      <c r="R34" s="140">
        <f>Mitigation_Industry!$F$317*R$14+Mitigation_Industry!$G$317*R$13</f>
        <v>0</v>
      </c>
      <c r="S34" s="140">
        <f>Mitigation_Industry!$F$317*S$14+Mitigation_Industry!$G$317*S$13</f>
        <v>0</v>
      </c>
      <c r="T34" s="140">
        <f>Mitigation_Industry!$F$317*T$14+Mitigation_Industry!$G$317*T$13</f>
        <v>0</v>
      </c>
      <c r="U34" s="140">
        <f>Mitigation_Industry!$F$317*U$14+Mitigation_Industry!$G$317*U$13</f>
        <v>0</v>
      </c>
      <c r="V34" s="140">
        <f>Mitigation_Industry!$F$317*V$14+Mitigation_Industry!$G$317*V$13</f>
        <v>0</v>
      </c>
      <c r="W34" s="140">
        <f>Mitigation_Industry!$F$317*W$14+Mitigation_Industry!$G$317*W$13</f>
        <v>0</v>
      </c>
      <c r="X34" s="140">
        <f>Mitigation_Industry!$F$317*X$14+Mitigation_Industry!$G$317*X$13</f>
        <v>0</v>
      </c>
      <c r="Y34" s="140">
        <f>Mitigation_Industry!$F$317*Y$14+Mitigation_Industry!$G$317*Y$13</f>
        <v>0</v>
      </c>
      <c r="Z34" s="140">
        <f>Mitigation_Industry!$F$317*Z$14+Mitigation_Industry!$G$317*Z$13</f>
        <v>0</v>
      </c>
      <c r="AA34" s="140">
        <f>Mitigation_Industry!$F$317*AA$14+Mitigation_Industry!$G$317*AA$13</f>
        <v>0</v>
      </c>
      <c r="AB34" s="140">
        <f>Mitigation_Industry!$F$317*AB$14+Mitigation_Industry!$G$317*AB$13</f>
        <v>0</v>
      </c>
      <c r="AC34" s="140">
        <f>Mitigation_Industry!$F$317*AC$14+Mitigation_Industry!$G$317*AC$13</f>
        <v>0</v>
      </c>
      <c r="AD34" s="140">
        <f>Mitigation_Industry!$F$317*AD$14+Mitigation_Industry!$G$317*AD$13</f>
        <v>0</v>
      </c>
      <c r="AE34" s="140">
        <f>Mitigation_Industry!$F$317*AE$14+Mitigation_Industry!$G$317*AE$13</f>
        <v>0</v>
      </c>
      <c r="AF34" s="141"/>
      <c r="AG34" s="141"/>
      <c r="AH34" s="141"/>
      <c r="AI34" s="141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8" t="str">
        <f>Settings!$B$3&amp;".mit.pp.stl.drg.no.1"</f>
        <v>egy.mit.pp.stl.drg.no.1</v>
      </c>
      <c r="K35" s="139"/>
      <c r="L35" s="140">
        <f>Mitigation_Industry!$F$310*L$14+Mitigation_Industry!$G$310*L$13</f>
        <v>0</v>
      </c>
      <c r="M35" s="140">
        <f>Mitigation_Industry!$F$310*M$14+Mitigation_Industry!$G$310*M$13</f>
        <v>0</v>
      </c>
      <c r="N35" s="140">
        <f>Mitigation_Industry!$F$310*N$14+Mitigation_Industry!$G$310*N$13</f>
        <v>0</v>
      </c>
      <c r="O35" s="140">
        <f>Mitigation_Industry!$F$310*O$14+Mitigation_Industry!$G$310*O$13</f>
        <v>0</v>
      </c>
      <c r="P35" s="140">
        <f>Mitigation_Industry!$F$310*P$14+Mitigation_Industry!$G$310*P$13</f>
        <v>0</v>
      </c>
      <c r="Q35" s="140">
        <f>Mitigation_Industry!$F$310*Q$14+Mitigation_Industry!$G$310*Q$13</f>
        <v>0</v>
      </c>
      <c r="R35" s="140">
        <f>Mitigation_Industry!$F$310*R$14+Mitigation_Industry!$G$310*R$13</f>
        <v>0</v>
      </c>
      <c r="S35" s="140">
        <f>Mitigation_Industry!$F$310*S$14+Mitigation_Industry!$G$310*S$13</f>
        <v>0</v>
      </c>
      <c r="T35" s="140">
        <f>Mitigation_Industry!$F$310*T$14+Mitigation_Industry!$G$310*T$13</f>
        <v>0</v>
      </c>
      <c r="U35" s="140">
        <f>Mitigation_Industry!$F$310*U$14+Mitigation_Industry!$G$310*U$13</f>
        <v>0</v>
      </c>
      <c r="V35" s="140">
        <f>Mitigation_Industry!$F$310*V$14+Mitigation_Industry!$G$310*V$13</f>
        <v>0</v>
      </c>
      <c r="W35" s="140">
        <f>Mitigation_Industry!$F$310*W$14+Mitigation_Industry!$G$310*W$13</f>
        <v>0</v>
      </c>
      <c r="X35" s="140">
        <f>Mitigation_Industry!$F$310*X$14+Mitigation_Industry!$G$310*X$13</f>
        <v>0</v>
      </c>
      <c r="Y35" s="140">
        <f>Mitigation_Industry!$F$310*Y$14+Mitigation_Industry!$G$310*Y$13</f>
        <v>0</v>
      </c>
      <c r="Z35" s="140">
        <f>Mitigation_Industry!$F$310*Z$14+Mitigation_Industry!$G$310*Z$13</f>
        <v>0</v>
      </c>
      <c r="AA35" s="140">
        <f>Mitigation_Industry!$F$310*AA$14+Mitigation_Industry!$G$310*AA$13</f>
        <v>0</v>
      </c>
      <c r="AB35" s="140">
        <f>Mitigation_Industry!$F$310*AB$14+Mitigation_Industry!$G$310*AB$13</f>
        <v>0</v>
      </c>
      <c r="AC35" s="140">
        <f>Mitigation_Industry!$F$310*AC$14+Mitigation_Industry!$G$310*AC$13</f>
        <v>0</v>
      </c>
      <c r="AD35" s="140">
        <f>Mitigation_Industry!$F$310*AD$14+Mitigation_Industry!$G$310*AD$13</f>
        <v>0</v>
      </c>
      <c r="AE35" s="140">
        <f>Mitigation_Industry!$F$310*AE$14+Mitigation_Industry!$G$310*AE$13</f>
        <v>0</v>
      </c>
      <c r="AF35" s="141"/>
      <c r="AG35" s="141"/>
      <c r="AH35" s="141"/>
      <c r="AI35" s="141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8" t="str">
        <f>Settings!$B$3&amp;".mit.pp.stl.scr.no.1"</f>
        <v>egy.mit.pp.stl.scr.no.1</v>
      </c>
      <c r="K36" s="139"/>
      <c r="L36" s="140">
        <f>Mitigation_Industry!$F$311*L$14+Mitigation_Industry!$G$311*L$13</f>
        <v>0</v>
      </c>
      <c r="M36" s="140">
        <f>Mitigation_Industry!$F$311*M$14+Mitigation_Industry!$G$311*M$13</f>
        <v>0</v>
      </c>
      <c r="N36" s="140">
        <f>Mitigation_Industry!$F$311*N$14+Mitigation_Industry!$G$311*N$13</f>
        <v>0</v>
      </c>
      <c r="O36" s="140">
        <f>Mitigation_Industry!$F$311*O$14+Mitigation_Industry!$G$311*O$13</f>
        <v>0</v>
      </c>
      <c r="P36" s="140">
        <f>Mitigation_Industry!$F$311*P$14+Mitigation_Industry!$G$311*P$13</f>
        <v>0</v>
      </c>
      <c r="Q36" s="140">
        <f>Mitigation_Industry!$F$311*Q$14+Mitigation_Industry!$G$311*Q$13</f>
        <v>0</v>
      </c>
      <c r="R36" s="140">
        <f>Mitigation_Industry!$F$311*R$14+Mitigation_Industry!$G$311*R$13</f>
        <v>0</v>
      </c>
      <c r="S36" s="140">
        <f>Mitigation_Industry!$F$311*S$14+Mitigation_Industry!$G$311*S$13</f>
        <v>0</v>
      </c>
      <c r="T36" s="140">
        <f>Mitigation_Industry!$F$311*T$14+Mitigation_Industry!$G$311*T$13</f>
        <v>0</v>
      </c>
      <c r="U36" s="140">
        <f>Mitigation_Industry!$F$311*U$14+Mitigation_Industry!$G$311*U$13</f>
        <v>0</v>
      </c>
      <c r="V36" s="140">
        <f>Mitigation_Industry!$F$311*V$14+Mitigation_Industry!$G$311*V$13</f>
        <v>0</v>
      </c>
      <c r="W36" s="140">
        <f>Mitigation_Industry!$F$311*W$14+Mitigation_Industry!$G$311*W$13</f>
        <v>0</v>
      </c>
      <c r="X36" s="140">
        <f>Mitigation_Industry!$F$311*X$14+Mitigation_Industry!$G$311*X$13</f>
        <v>0</v>
      </c>
      <c r="Y36" s="140">
        <f>Mitigation_Industry!$F$311*Y$14+Mitigation_Industry!$G$311*Y$13</f>
        <v>0</v>
      </c>
      <c r="Z36" s="140">
        <f>Mitigation_Industry!$F$311*Z$14+Mitigation_Industry!$G$311*Z$13</f>
        <v>0</v>
      </c>
      <c r="AA36" s="140">
        <f>Mitigation_Industry!$F$311*AA$14+Mitigation_Industry!$G$311*AA$13</f>
        <v>0</v>
      </c>
      <c r="AB36" s="140">
        <f>Mitigation_Industry!$F$311*AB$14+Mitigation_Industry!$G$311*AB$13</f>
        <v>0</v>
      </c>
      <c r="AC36" s="140">
        <f>Mitigation_Industry!$F$311*AC$14+Mitigation_Industry!$G$311*AC$13</f>
        <v>0</v>
      </c>
      <c r="AD36" s="140">
        <f>Mitigation_Industry!$F$311*AD$14+Mitigation_Industry!$G$311*AD$13</f>
        <v>0</v>
      </c>
      <c r="AE36" s="140">
        <f>Mitigation_Industry!$F$311*AE$14+Mitigation_Industry!$G$311*AE$13</f>
        <v>0</v>
      </c>
      <c r="AF36" s="141"/>
      <c r="AG36" s="141"/>
      <c r="AH36" s="141"/>
      <c r="AI36" s="141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8" t="str">
        <f>Settings!$B$3&amp;".mit.pp.stl.bof.no.1"</f>
        <v>egy.mit.pp.stl.bof.no.1</v>
      </c>
      <c r="K37" s="139"/>
      <c r="L37" s="140">
        <f>Mitigation_Industry!$F$312*L$14+Mitigation_Industry!$G$312*L$13</f>
        <v>0</v>
      </c>
      <c r="M37" s="140">
        <f>Mitigation_Industry!$F$312*M$14+Mitigation_Industry!$G$312*M$13</f>
        <v>0</v>
      </c>
      <c r="N37" s="140">
        <f>Mitigation_Industry!$F$312*N$14+Mitigation_Industry!$G$312*N$13</f>
        <v>0</v>
      </c>
      <c r="O37" s="140">
        <f>Mitigation_Industry!$F$312*O$14+Mitigation_Industry!$G$312*O$13</f>
        <v>0</v>
      </c>
      <c r="P37" s="140">
        <f>Mitigation_Industry!$F$312*P$14+Mitigation_Industry!$G$312*P$13</f>
        <v>0</v>
      </c>
      <c r="Q37" s="140">
        <f>Mitigation_Industry!$F$312*Q$14+Mitigation_Industry!$G$312*Q$13</f>
        <v>0</v>
      </c>
      <c r="R37" s="140">
        <f>Mitigation_Industry!$F$312*R$14+Mitigation_Industry!$G$312*R$13</f>
        <v>0</v>
      </c>
      <c r="S37" s="140">
        <f>Mitigation_Industry!$F$312*S$14+Mitigation_Industry!$G$312*S$13</f>
        <v>0</v>
      </c>
      <c r="T37" s="140">
        <f>Mitigation_Industry!$F$312*T$14+Mitigation_Industry!$G$312*T$13</f>
        <v>0</v>
      </c>
      <c r="U37" s="140">
        <f>Mitigation_Industry!$F$312*U$14+Mitigation_Industry!$G$312*U$13</f>
        <v>0</v>
      </c>
      <c r="V37" s="140">
        <f>Mitigation_Industry!$F$312*V$14+Mitigation_Industry!$G$312*V$13</f>
        <v>0</v>
      </c>
      <c r="W37" s="140">
        <f>Mitigation_Industry!$F$312*W$14+Mitigation_Industry!$G$312*W$13</f>
        <v>0</v>
      </c>
      <c r="X37" s="140">
        <f>Mitigation_Industry!$F$312*X$14+Mitigation_Industry!$G$312*X$13</f>
        <v>0</v>
      </c>
      <c r="Y37" s="140">
        <f>Mitigation_Industry!$F$312*Y$14+Mitigation_Industry!$G$312*Y$13</f>
        <v>0</v>
      </c>
      <c r="Z37" s="140">
        <f>Mitigation_Industry!$F$312*Z$14+Mitigation_Industry!$G$312*Z$13</f>
        <v>0</v>
      </c>
      <c r="AA37" s="140">
        <f>Mitigation_Industry!$F$312*AA$14+Mitigation_Industry!$G$312*AA$13</f>
        <v>0</v>
      </c>
      <c r="AB37" s="140">
        <f>Mitigation_Industry!$F$312*AB$14+Mitigation_Industry!$G$312*AB$13</f>
        <v>0</v>
      </c>
      <c r="AC37" s="140">
        <f>Mitigation_Industry!$F$312*AC$14+Mitigation_Industry!$G$312*AC$13</f>
        <v>0</v>
      </c>
      <c r="AD37" s="140">
        <f>Mitigation_Industry!$F$312*AD$14+Mitigation_Industry!$G$312*AD$13</f>
        <v>0</v>
      </c>
      <c r="AE37" s="140">
        <f>Mitigation_Industry!$F$312*AE$14+Mitigation_Industry!$G$312*AE$13</f>
        <v>0</v>
      </c>
      <c r="AF37" s="141"/>
      <c r="AG37" s="141"/>
      <c r="AH37" s="141"/>
      <c r="AI37" s="141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8" t="str">
        <f>Settings!$B$3&amp;".mit.pp.cmt.dry.no.1"</f>
        <v>egy.mit.pp.cmt.dry.no.1</v>
      </c>
      <c r="K38" s="139"/>
      <c r="L38" s="140">
        <f>Mitigation_Industry!$F$313*L$14+Mitigation_Industry!$G$313*L$13</f>
        <v>0</v>
      </c>
      <c r="M38" s="140">
        <f>Mitigation_Industry!$F$313*M$14+Mitigation_Industry!$G$313*M$13</f>
        <v>0</v>
      </c>
      <c r="N38" s="140">
        <f>Mitigation_Industry!$F$313*N$14+Mitigation_Industry!$G$313*N$13</f>
        <v>0</v>
      </c>
      <c r="O38" s="140">
        <f>Mitigation_Industry!$F$313*O$14+Mitigation_Industry!$G$313*O$13</f>
        <v>0</v>
      </c>
      <c r="P38" s="140">
        <f>Mitigation_Industry!$F$313*P$14+Mitigation_Industry!$G$313*P$13</f>
        <v>0</v>
      </c>
      <c r="Q38" s="140">
        <f>Mitigation_Industry!$F$313*Q$14+Mitigation_Industry!$G$313*Q$13</f>
        <v>0</v>
      </c>
      <c r="R38" s="140">
        <f>Mitigation_Industry!$F$313*R$14+Mitigation_Industry!$G$313*R$13</f>
        <v>0</v>
      </c>
      <c r="S38" s="140">
        <f>Mitigation_Industry!$F$313*S$14+Mitigation_Industry!$G$313*S$13</f>
        <v>0</v>
      </c>
      <c r="T38" s="140">
        <f>Mitigation_Industry!$F$313*T$14+Mitigation_Industry!$G$313*T$13</f>
        <v>0</v>
      </c>
      <c r="U38" s="140">
        <f>Mitigation_Industry!$F$313*U$14+Mitigation_Industry!$G$313*U$13</f>
        <v>0</v>
      </c>
      <c r="V38" s="140">
        <f>Mitigation_Industry!$F$313*V$14+Mitigation_Industry!$G$313*V$13</f>
        <v>0</v>
      </c>
      <c r="W38" s="140">
        <f>Mitigation_Industry!$F$313*W$14+Mitigation_Industry!$G$313*W$13</f>
        <v>0</v>
      </c>
      <c r="X38" s="140">
        <f>Mitigation_Industry!$F$313*X$14+Mitigation_Industry!$G$313*X$13</f>
        <v>0</v>
      </c>
      <c r="Y38" s="140">
        <f>Mitigation_Industry!$F$313*Y$14+Mitigation_Industry!$G$313*Y$13</f>
        <v>0</v>
      </c>
      <c r="Z38" s="140">
        <f>Mitigation_Industry!$F$313*Z$14+Mitigation_Industry!$G$313*Z$13</f>
        <v>0</v>
      </c>
      <c r="AA38" s="140">
        <f>Mitigation_Industry!$F$313*AA$14+Mitigation_Industry!$G$313*AA$13</f>
        <v>0</v>
      </c>
      <c r="AB38" s="140">
        <f>Mitigation_Industry!$F$313*AB$14+Mitigation_Industry!$G$313*AB$13</f>
        <v>0</v>
      </c>
      <c r="AC38" s="140">
        <f>Mitigation_Industry!$F$313*AC$14+Mitigation_Industry!$G$313*AC$13</f>
        <v>0</v>
      </c>
      <c r="AD38" s="140">
        <f>Mitigation_Industry!$F$313*AD$14+Mitigation_Industry!$G$313*AD$13</f>
        <v>0</v>
      </c>
      <c r="AE38" s="140">
        <f>Mitigation_Industry!$F$313*AE$14+Mitigation_Industry!$G$313*AE$13</f>
        <v>0</v>
      </c>
      <c r="AF38" s="141"/>
      <c r="AG38" s="141"/>
      <c r="AH38" s="141"/>
      <c r="AI38" s="141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8" t="str">
        <f>Settings!$B$3&amp;".mit.pp.frt.amc.no.1"</f>
        <v>egy.mit.pp.frt.amc.no.1</v>
      </c>
      <c r="K39" s="139"/>
      <c r="L39" s="140">
        <f>Mitigation_Industry!$F$314*L$14+Mitigation_Industry!$G$314*L$13</f>
        <v>0</v>
      </c>
      <c r="M39" s="140">
        <f>Mitigation_Industry!$F$314*M$14+Mitigation_Industry!$G$314*M$13</f>
        <v>0</v>
      </c>
      <c r="N39" s="140">
        <f>Mitigation_Industry!$F$314*N$14+Mitigation_Industry!$G$314*N$13</f>
        <v>0</v>
      </c>
      <c r="O39" s="140">
        <f>Mitigation_Industry!$F$314*O$14+Mitigation_Industry!$G$314*O$13</f>
        <v>0</v>
      </c>
      <c r="P39" s="140">
        <f>Mitigation_Industry!$F$314*P$14+Mitigation_Industry!$G$314*P$13</f>
        <v>0</v>
      </c>
      <c r="Q39" s="140">
        <f>Mitigation_Industry!$F$314*Q$14+Mitigation_Industry!$G$314*Q$13</f>
        <v>0</v>
      </c>
      <c r="R39" s="140">
        <f>Mitigation_Industry!$F$314*R$14+Mitigation_Industry!$G$314*R$13</f>
        <v>0</v>
      </c>
      <c r="S39" s="140">
        <f>Mitigation_Industry!$F$314*S$14+Mitigation_Industry!$G$314*S$13</f>
        <v>0</v>
      </c>
      <c r="T39" s="140">
        <f>Mitigation_Industry!$F$314*T$14+Mitigation_Industry!$G$314*T$13</f>
        <v>0</v>
      </c>
      <c r="U39" s="140">
        <f>Mitigation_Industry!$F$314*U$14+Mitigation_Industry!$G$314*U$13</f>
        <v>0</v>
      </c>
      <c r="V39" s="140">
        <f>Mitigation_Industry!$F$314*V$14+Mitigation_Industry!$G$314*V$13</f>
        <v>0</v>
      </c>
      <c r="W39" s="140">
        <f>Mitigation_Industry!$F$314*W$14+Mitigation_Industry!$G$314*W$13</f>
        <v>0</v>
      </c>
      <c r="X39" s="140">
        <f>Mitigation_Industry!$F$314*X$14+Mitigation_Industry!$G$314*X$13</f>
        <v>0</v>
      </c>
      <c r="Y39" s="140">
        <f>Mitigation_Industry!$F$314*Y$14+Mitigation_Industry!$G$314*Y$13</f>
        <v>0</v>
      </c>
      <c r="Z39" s="140">
        <f>Mitigation_Industry!$F$314*Z$14+Mitigation_Industry!$G$314*Z$13</f>
        <v>0</v>
      </c>
      <c r="AA39" s="140">
        <f>Mitigation_Industry!$F$314*AA$14+Mitigation_Industry!$G$314*AA$13</f>
        <v>0</v>
      </c>
      <c r="AB39" s="140">
        <f>Mitigation_Industry!$F$314*AB$14+Mitigation_Industry!$G$314*AB$13</f>
        <v>0</v>
      </c>
      <c r="AC39" s="140">
        <f>Mitigation_Industry!$F$314*AC$14+Mitigation_Industry!$G$314*AC$13</f>
        <v>0</v>
      </c>
      <c r="AD39" s="140">
        <f>Mitigation_Industry!$F$314*AD$14+Mitigation_Industry!$G$314*AD$13</f>
        <v>0</v>
      </c>
      <c r="AE39" s="140">
        <f>Mitigation_Industry!$F$314*AE$14+Mitigation_Industry!$G$314*AE$13</f>
        <v>0</v>
      </c>
      <c r="AF39" s="141"/>
      <c r="AG39" s="141"/>
      <c r="AH39" s="141"/>
      <c r="AI39" s="141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8" t="str">
        <f>Settings!$B$3&amp;".mit.pp.frt.ure.no.1"</f>
        <v>egy.mit.pp.frt.ure.no.1</v>
      </c>
      <c r="K40" s="139"/>
      <c r="L40" s="140">
        <f>Mitigation_Industry!$F$315*L$14+Mitigation_Industry!$G$315*L$13</f>
        <v>0</v>
      </c>
      <c r="M40" s="140">
        <f>Mitigation_Industry!$F$315*M$14+Mitigation_Industry!$G$315*M$13</f>
        <v>0</v>
      </c>
      <c r="N40" s="140">
        <f>Mitigation_Industry!$F$315*N$14+Mitigation_Industry!$G$315*N$13</f>
        <v>0</v>
      </c>
      <c r="O40" s="140">
        <f>Mitigation_Industry!$F$315*O$14+Mitigation_Industry!$G$315*O$13</f>
        <v>0</v>
      </c>
      <c r="P40" s="140">
        <f>Mitigation_Industry!$F$315*P$14+Mitigation_Industry!$G$315*P$13</f>
        <v>0</v>
      </c>
      <c r="Q40" s="140">
        <f>Mitigation_Industry!$F$315*Q$14+Mitigation_Industry!$G$315*Q$13</f>
        <v>0</v>
      </c>
      <c r="R40" s="140">
        <f>Mitigation_Industry!$F$315*R$14+Mitigation_Industry!$G$315*R$13</f>
        <v>0</v>
      </c>
      <c r="S40" s="140">
        <f>Mitigation_Industry!$F$315*S$14+Mitigation_Industry!$G$315*S$13</f>
        <v>0</v>
      </c>
      <c r="T40" s="140">
        <f>Mitigation_Industry!$F$315*T$14+Mitigation_Industry!$G$315*T$13</f>
        <v>0</v>
      </c>
      <c r="U40" s="140">
        <f>Mitigation_Industry!$F$315*U$14+Mitigation_Industry!$G$315*U$13</f>
        <v>0</v>
      </c>
      <c r="V40" s="140">
        <f>Mitigation_Industry!$F$315*V$14+Mitigation_Industry!$G$315*V$13</f>
        <v>0</v>
      </c>
      <c r="W40" s="140">
        <f>Mitigation_Industry!$F$315*W$14+Mitigation_Industry!$G$315*W$13</f>
        <v>0</v>
      </c>
      <c r="X40" s="140">
        <f>Mitigation_Industry!$F$315*X$14+Mitigation_Industry!$G$315*X$13</f>
        <v>0</v>
      </c>
      <c r="Y40" s="140">
        <f>Mitigation_Industry!$F$315*Y$14+Mitigation_Industry!$G$315*Y$13</f>
        <v>0</v>
      </c>
      <c r="Z40" s="140">
        <f>Mitigation_Industry!$F$315*Z$14+Mitigation_Industry!$G$315*Z$13</f>
        <v>0</v>
      </c>
      <c r="AA40" s="140">
        <f>Mitigation_Industry!$F$315*AA$14+Mitigation_Industry!$G$315*AA$13</f>
        <v>0</v>
      </c>
      <c r="AB40" s="140">
        <f>Mitigation_Industry!$F$315*AB$14+Mitigation_Industry!$G$315*AB$13</f>
        <v>0</v>
      </c>
      <c r="AC40" s="140">
        <f>Mitigation_Industry!$F$315*AC$14+Mitigation_Industry!$G$315*AC$13</f>
        <v>0</v>
      </c>
      <c r="AD40" s="140">
        <f>Mitigation_Industry!$F$315*AD$14+Mitigation_Industry!$G$315*AD$13</f>
        <v>0</v>
      </c>
      <c r="AE40" s="140">
        <f>Mitigation_Industry!$F$315*AE$14+Mitigation_Industry!$G$315*AE$13</f>
        <v>0</v>
      </c>
      <c r="AF40" s="141"/>
      <c r="AG40" s="141"/>
      <c r="AH40" s="141"/>
      <c r="AI40" s="141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8" t="str">
        <f>Settings!$B$3&amp;".mit.pp.frt.nit.no.1"</f>
        <v>egy.mit.pp.frt.nit.no.1</v>
      </c>
      <c r="K41" s="139"/>
      <c r="L41" s="140">
        <f>Mitigation_Industry!$F$316*L$14+Mitigation_Industry!$G$316*L$13</f>
        <v>0</v>
      </c>
      <c r="M41" s="140">
        <f>Mitigation_Industry!$F$316*M$14+Mitigation_Industry!$G$316*M$13</f>
        <v>0</v>
      </c>
      <c r="N41" s="140">
        <f>Mitigation_Industry!$F$316*N$14+Mitigation_Industry!$G$316*N$13</f>
        <v>0</v>
      </c>
      <c r="O41" s="140">
        <f>Mitigation_Industry!$F$316*O$14+Mitigation_Industry!$G$316*O$13</f>
        <v>0</v>
      </c>
      <c r="P41" s="140">
        <f>Mitigation_Industry!$F$316*P$14+Mitigation_Industry!$G$316*P$13</f>
        <v>0</v>
      </c>
      <c r="Q41" s="140">
        <f>Mitigation_Industry!$F$316*Q$14+Mitigation_Industry!$G$316*Q$13</f>
        <v>0</v>
      </c>
      <c r="R41" s="140">
        <f>Mitigation_Industry!$F$316*R$14+Mitigation_Industry!$G$316*R$13</f>
        <v>0</v>
      </c>
      <c r="S41" s="140">
        <f>Mitigation_Industry!$F$316*S$14+Mitigation_Industry!$G$316*S$13</f>
        <v>0</v>
      </c>
      <c r="T41" s="140">
        <f>Mitigation_Industry!$F$316*T$14+Mitigation_Industry!$G$316*T$13</f>
        <v>0</v>
      </c>
      <c r="U41" s="140">
        <f>Mitigation_Industry!$F$316*U$14+Mitigation_Industry!$G$316*U$13</f>
        <v>0</v>
      </c>
      <c r="V41" s="140">
        <f>Mitigation_Industry!$F$316*V$14+Mitigation_Industry!$G$316*V$13</f>
        <v>0</v>
      </c>
      <c r="W41" s="140">
        <f>Mitigation_Industry!$F$316*W$14+Mitigation_Industry!$G$316*W$13</f>
        <v>0</v>
      </c>
      <c r="X41" s="140">
        <f>Mitigation_Industry!$F$316*X$14+Mitigation_Industry!$G$316*X$13</f>
        <v>0</v>
      </c>
      <c r="Y41" s="140">
        <f>Mitigation_Industry!$F$316*Y$14+Mitigation_Industry!$G$316*Y$13</f>
        <v>0</v>
      </c>
      <c r="Z41" s="140">
        <f>Mitigation_Industry!$F$316*Z$14+Mitigation_Industry!$G$316*Z$13</f>
        <v>0</v>
      </c>
      <c r="AA41" s="140">
        <f>Mitigation_Industry!$F$316*AA$14+Mitigation_Industry!$G$316*AA$13</f>
        <v>0</v>
      </c>
      <c r="AB41" s="140">
        <f>Mitigation_Industry!$F$316*AB$14+Mitigation_Industry!$G$316*AB$13</f>
        <v>0</v>
      </c>
      <c r="AC41" s="140">
        <f>Mitigation_Industry!$F$316*AC$14+Mitigation_Industry!$G$316*AC$13</f>
        <v>0</v>
      </c>
      <c r="AD41" s="140">
        <f>Mitigation_Industry!$F$316*AD$14+Mitigation_Industry!$G$316*AD$13</f>
        <v>0</v>
      </c>
      <c r="AE41" s="140">
        <f>Mitigation_Industry!$F$316*AE$14+Mitigation_Industry!$G$316*AE$13</f>
        <v>0</v>
      </c>
      <c r="AF41" s="141"/>
      <c r="AG41" s="141"/>
      <c r="AH41" s="141"/>
      <c r="AI41" s="141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8" t="str">
        <f>Settings!$B$3&amp;".mit.pp.alu.prp.no.1"</f>
        <v>egy.mit.pp.alu.prp.no.1</v>
      </c>
      <c r="K42" s="139"/>
      <c r="L42" s="140">
        <f>Mitigation_Industry!$F$317*L$14+Mitigation_Industry!$G$317*L$13</f>
        <v>0</v>
      </c>
      <c r="M42" s="140">
        <f>Mitigation_Industry!$F$317*M$14+Mitigation_Industry!$G$317*M$13</f>
        <v>0</v>
      </c>
      <c r="N42" s="140">
        <f>Mitigation_Industry!$F$317*N$14+Mitigation_Industry!$G$317*N$13</f>
        <v>0</v>
      </c>
      <c r="O42" s="140">
        <f>Mitigation_Industry!$F$317*O$14+Mitigation_Industry!$G$317*O$13</f>
        <v>0</v>
      </c>
      <c r="P42" s="140">
        <f>Mitigation_Industry!$F$317*P$14+Mitigation_Industry!$G$317*P$13</f>
        <v>0</v>
      </c>
      <c r="Q42" s="140">
        <f>Mitigation_Industry!$F$317*Q$14+Mitigation_Industry!$G$317*Q$13</f>
        <v>0</v>
      </c>
      <c r="R42" s="140">
        <f>Mitigation_Industry!$F$317*R$14+Mitigation_Industry!$G$317*R$13</f>
        <v>0</v>
      </c>
      <c r="S42" s="140">
        <f>Mitigation_Industry!$F$317*S$14+Mitigation_Industry!$G$317*S$13</f>
        <v>0</v>
      </c>
      <c r="T42" s="140">
        <f>Mitigation_Industry!$F$317*T$14+Mitigation_Industry!$G$317*T$13</f>
        <v>0</v>
      </c>
      <c r="U42" s="140">
        <f>Mitigation_Industry!$F$317*U$14+Mitigation_Industry!$G$317*U$13</f>
        <v>0</v>
      </c>
      <c r="V42" s="140">
        <f>Mitigation_Industry!$F$317*V$14+Mitigation_Industry!$G$317*V$13</f>
        <v>0</v>
      </c>
      <c r="W42" s="140">
        <f>Mitigation_Industry!$F$317*W$14+Mitigation_Industry!$G$317*W$13</f>
        <v>0</v>
      </c>
      <c r="X42" s="140">
        <f>Mitigation_Industry!$F$317*X$14+Mitigation_Industry!$G$317*X$13</f>
        <v>0</v>
      </c>
      <c r="Y42" s="140">
        <f>Mitigation_Industry!$F$317*Y$14+Mitigation_Industry!$G$317*Y$13</f>
        <v>0</v>
      </c>
      <c r="Z42" s="140">
        <f>Mitigation_Industry!$F$317*Z$14+Mitigation_Industry!$G$317*Z$13</f>
        <v>0</v>
      </c>
      <c r="AA42" s="140">
        <f>Mitigation_Industry!$F$317*AA$14+Mitigation_Industry!$G$317*AA$13</f>
        <v>0</v>
      </c>
      <c r="AB42" s="140">
        <f>Mitigation_Industry!$F$317*AB$14+Mitigation_Industry!$G$317*AB$13</f>
        <v>0</v>
      </c>
      <c r="AC42" s="140">
        <f>Mitigation_Industry!$F$317*AC$14+Mitigation_Industry!$G$317*AC$13</f>
        <v>0</v>
      </c>
      <c r="AD42" s="140">
        <f>Mitigation_Industry!$F$317*AD$14+Mitigation_Industry!$G$317*AD$13</f>
        <v>0</v>
      </c>
      <c r="AE42" s="140">
        <f>Mitigation_Industry!$F$317*AE$14+Mitigation_Industry!$G$317*AE$13</f>
        <v>0</v>
      </c>
      <c r="AF42" s="141"/>
      <c r="AG42" s="141"/>
      <c r="AH42" s="141"/>
      <c r="AI42" s="141"/>
    </row>
    <row r="43" spans="1:35" x14ac:dyDescent="0.35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7">
        <v>2021</v>
      </c>
      <c r="L44" s="138">
        <v>2022</v>
      </c>
      <c r="M44" s="137">
        <v>2023</v>
      </c>
      <c r="N44" s="137">
        <v>2024</v>
      </c>
      <c r="O44" s="137">
        <v>2025</v>
      </c>
      <c r="P44" s="137">
        <v>2026</v>
      </c>
      <c r="Q44" s="137">
        <v>2027</v>
      </c>
      <c r="R44" s="137">
        <v>2028</v>
      </c>
      <c r="S44" s="137">
        <v>2029</v>
      </c>
      <c r="T44" s="137">
        <v>2030</v>
      </c>
      <c r="U44" s="137">
        <v>2031</v>
      </c>
      <c r="V44" s="137">
        <v>2032</v>
      </c>
      <c r="W44" s="137">
        <v>2033</v>
      </c>
      <c r="X44" s="137">
        <v>2034</v>
      </c>
      <c r="Y44" s="137">
        <v>2035</v>
      </c>
      <c r="Z44" s="137">
        <v>2036</v>
      </c>
      <c r="AA44" s="137">
        <v>2037</v>
      </c>
      <c r="AB44" s="137">
        <v>2038</v>
      </c>
      <c r="AC44" s="137">
        <v>2039</v>
      </c>
      <c r="AD44" s="137">
        <v>2040</v>
      </c>
      <c r="AE44" s="137">
        <v>2041</v>
      </c>
      <c r="AF44" s="137">
        <v>2042</v>
      </c>
      <c r="AG44" s="137">
        <v>2043</v>
      </c>
      <c r="AH44" s="137">
        <v>2044</v>
      </c>
      <c r="AI44" s="137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8" t="str">
        <f>Settings!$B$3&amp;".mit.wf.stl.drg.1"</f>
        <v>egy.mit.wf.stl.drg.1</v>
      </c>
      <c r="I45" t="s">
        <v>2600</v>
      </c>
      <c r="K45" s="139"/>
      <c r="L45" s="140">
        <f>Mitigation_Industry!L$330</f>
        <v>2.6717650641872548</v>
      </c>
      <c r="M45" s="140">
        <f>Mitigation_Industry!M$330</f>
        <v>2.789322727011494</v>
      </c>
      <c r="N45" s="140">
        <f>Mitigation_Industry!N$330</f>
        <v>2.9120529269999995</v>
      </c>
      <c r="O45" s="140">
        <f>Mitigation_Industry!O$330</f>
        <v>3.0401832557880004</v>
      </c>
      <c r="P45" s="140">
        <f>Mitigation_Industry!P$330</f>
        <v>3.173951319042672</v>
      </c>
      <c r="Q45" s="140">
        <f>Mitigation_Industry!Q$330</f>
        <v>3.3136051770805501</v>
      </c>
      <c r="R45" s="140">
        <f>Mitigation_Industry!R$330</f>
        <v>3.4594038048720939</v>
      </c>
      <c r="S45" s="140">
        <f>Mitigation_Industry!S$330</f>
        <v>3.6116175722864661</v>
      </c>
      <c r="T45" s="140">
        <f>Mitigation_Industry!T$330</f>
        <v>3.7705287454670713</v>
      </c>
      <c r="U45" s="140">
        <f>Mitigation_Industry!U$330</f>
        <v>3.9364320102676222</v>
      </c>
      <c r="V45" s="140">
        <f>Mitigation_Industry!V$330</f>
        <v>4.1096350187193975</v>
      </c>
      <c r="W45" s="140">
        <f>Mitigation_Industry!W$330</f>
        <v>4.2904589595430505</v>
      </c>
      <c r="X45" s="140">
        <f>Mitigation_Industry!X$330</f>
        <v>4.4792391537629452</v>
      </c>
      <c r="Y45" s="140">
        <f>Mitigation_Industry!Y$330</f>
        <v>4.6763256765285162</v>
      </c>
      <c r="Z45" s="140">
        <f>Mitigation_Industry!Z$330</f>
        <v>4.8820840062957691</v>
      </c>
      <c r="AA45" s="140">
        <f>Mitigation_Industry!AA$330</f>
        <v>5.096895702572783</v>
      </c>
      <c r="AB45" s="140">
        <f>Mitigation_Industry!AB$330</f>
        <v>5.3211591134859875</v>
      </c>
      <c r="AC45" s="140">
        <f>Mitigation_Industry!AC$330</f>
        <v>5.5552901144793703</v>
      </c>
      <c r="AD45" s="140">
        <f>Mitigation_Industry!AD$330</f>
        <v>5.7997228795164624</v>
      </c>
      <c r="AE45" s="140">
        <f>Mitigation_Industry!AE$330</f>
        <v>6.0549106862151856</v>
      </c>
      <c r="AF45" s="141"/>
      <c r="AG45" s="141"/>
      <c r="AH45" s="141"/>
      <c r="AI45" s="141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8" t="str">
        <f>Settings!$B$3&amp;".mit.wf.stl.scr.1"</f>
        <v>egy.mit.wf.stl.scr.1</v>
      </c>
      <c r="K46" s="139"/>
      <c r="L46" s="140">
        <f>Mitigation_Industry!L$331</f>
        <v>0.19764830228563882</v>
      </c>
      <c r="M46" s="140">
        <f>Mitigation_Industry!M$331</f>
        <v>0.20634482758620692</v>
      </c>
      <c r="N46" s="140">
        <f>Mitigation_Industry!N$331</f>
        <v>0.215424</v>
      </c>
      <c r="O46" s="140">
        <f>Mitigation_Industry!O$331</f>
        <v>0.22490265600000001</v>
      </c>
      <c r="P46" s="140">
        <f>Mitigation_Industry!P$331</f>
        <v>0.23479837286400002</v>
      </c>
      <c r="Q46" s="140">
        <f>Mitigation_Industry!Q$331</f>
        <v>0.24512950127001604</v>
      </c>
      <c r="R46" s="140">
        <f>Mitigation_Industry!R$331</f>
        <v>0.25591519932589668</v>
      </c>
      <c r="S46" s="140">
        <f>Mitigation_Industry!S$331</f>
        <v>0.26717546809623621</v>
      </c>
      <c r="T46" s="140">
        <f>Mitigation_Industry!T$331</f>
        <v>0.27893118869247063</v>
      </c>
      <c r="U46" s="140">
        <f>Mitigation_Industry!U$331</f>
        <v>0.29120416099493934</v>
      </c>
      <c r="V46" s="140">
        <f>Mitigation_Industry!V$331</f>
        <v>0.30401714407871661</v>
      </c>
      <c r="W46" s="140">
        <f>Mitigation_Industry!W$331</f>
        <v>0.31739389841818022</v>
      </c>
      <c r="X46" s="140">
        <f>Mitigation_Industry!X$331</f>
        <v>0.33135922994858014</v>
      </c>
      <c r="Y46" s="140">
        <f>Mitigation_Industry!Y$331</f>
        <v>0.34593903606631771</v>
      </c>
      <c r="Z46" s="140">
        <f>Mitigation_Industry!Z$331</f>
        <v>0.36116035365323562</v>
      </c>
      <c r="AA46" s="140">
        <f>Mitigation_Industry!AA$331</f>
        <v>0.37705140921397801</v>
      </c>
      <c r="AB46" s="140">
        <f>Mitigation_Industry!AB$331</f>
        <v>0.39364167121939314</v>
      </c>
      <c r="AC46" s="140">
        <f>Mitigation_Industry!AC$331</f>
        <v>0.41096190475304639</v>
      </c>
      <c r="AD46" s="140">
        <f>Mitigation_Industry!AD$331</f>
        <v>0.42904422856218044</v>
      </c>
      <c r="AE46" s="140">
        <f>Mitigation_Industry!AE$331</f>
        <v>0.44792217461891631</v>
      </c>
      <c r="AF46" s="141"/>
      <c r="AG46" s="141"/>
      <c r="AH46" s="141"/>
      <c r="AI46" s="141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8" t="str">
        <f>Settings!$B$3&amp;".mit.wf.stl.bof.1"</f>
        <v>egy.mit.wf.stl.bof.1</v>
      </c>
      <c r="K47" s="139"/>
      <c r="L47" s="140">
        <f>Mitigation_Industry!L$332</f>
        <v>0</v>
      </c>
      <c r="M47" s="140">
        <f>Mitigation_Industry!M$332</f>
        <v>0</v>
      </c>
      <c r="N47" s="140">
        <f>Mitigation_Industry!N$332</f>
        <v>0</v>
      </c>
      <c r="O47" s="140">
        <f>Mitigation_Industry!O$332</f>
        <v>0</v>
      </c>
      <c r="P47" s="140">
        <f>Mitigation_Industry!P$332</f>
        <v>0</v>
      </c>
      <c r="Q47" s="140">
        <f>Mitigation_Industry!Q$332</f>
        <v>0</v>
      </c>
      <c r="R47" s="140">
        <f>Mitigation_Industry!R$332</f>
        <v>0</v>
      </c>
      <c r="S47" s="140">
        <f>Mitigation_Industry!S$332</f>
        <v>0</v>
      </c>
      <c r="T47" s="140">
        <f>Mitigation_Industry!T$332</f>
        <v>0</v>
      </c>
      <c r="U47" s="140">
        <f>Mitigation_Industry!U$332</f>
        <v>0</v>
      </c>
      <c r="V47" s="140">
        <f>Mitigation_Industry!V$332</f>
        <v>0</v>
      </c>
      <c r="W47" s="140">
        <f>Mitigation_Industry!W$332</f>
        <v>0</v>
      </c>
      <c r="X47" s="140">
        <f>Mitigation_Industry!X$332</f>
        <v>0</v>
      </c>
      <c r="Y47" s="140">
        <f>Mitigation_Industry!Y$332</f>
        <v>0</v>
      </c>
      <c r="Z47" s="140">
        <f>Mitigation_Industry!Z$332</f>
        <v>0</v>
      </c>
      <c r="AA47" s="140">
        <f>Mitigation_Industry!AA$332</f>
        <v>0</v>
      </c>
      <c r="AB47" s="140">
        <f>Mitigation_Industry!AB$332</f>
        <v>0</v>
      </c>
      <c r="AC47" s="140">
        <f>Mitigation_Industry!AC$332</f>
        <v>0</v>
      </c>
      <c r="AD47" s="140">
        <f>Mitigation_Industry!AD$332</f>
        <v>0</v>
      </c>
      <c r="AE47" s="140">
        <f>Mitigation_Industry!AE$332</f>
        <v>0</v>
      </c>
      <c r="AF47" s="141"/>
      <c r="AG47" s="141"/>
      <c r="AH47" s="141"/>
      <c r="AI47" s="141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8" t="str">
        <f>Settings!$B$3&amp;".mit.wf.cmt.dry.1"</f>
        <v>egy.mit.wf.cmt.dry.1</v>
      </c>
      <c r="K48" s="139"/>
      <c r="L48" s="140">
        <f>Mitigation_Industry!L$333</f>
        <v>14.692706044200628</v>
      </c>
      <c r="M48" s="140">
        <f>Mitigation_Industry!M$333</f>
        <v>15.177565343659246</v>
      </c>
      <c r="N48" s="140">
        <f>Mitigation_Industry!N$333</f>
        <v>15.678424999999999</v>
      </c>
      <c r="O48" s="140">
        <f>Mitigation_Industry!O$333</f>
        <v>16.195813024999996</v>
      </c>
      <c r="P48" s="140">
        <f>Mitigation_Industry!P$333</f>
        <v>16.730274854824994</v>
      </c>
      <c r="Q48" s="140">
        <f>Mitigation_Industry!Q$333</f>
        <v>17.282373925034218</v>
      </c>
      <c r="R48" s="140">
        <f>Mitigation_Industry!R$333</f>
        <v>17.852692264560343</v>
      </c>
      <c r="S48" s="140">
        <f>Mitigation_Industry!S$333</f>
        <v>18.441831109290838</v>
      </c>
      <c r="T48" s="140">
        <f>Mitigation_Industry!T$333</f>
        <v>19.050411535897432</v>
      </c>
      <c r="U48" s="140">
        <f>Mitigation_Industry!U$333</f>
        <v>19.679075116582045</v>
      </c>
      <c r="V48" s="140">
        <f>Mitigation_Industry!V$333</f>
        <v>20.328484595429249</v>
      </c>
      <c r="W48" s="140">
        <f>Mitigation_Industry!W$333</f>
        <v>20.999324587078412</v>
      </c>
      <c r="X48" s="140">
        <f>Mitigation_Industry!X$333</f>
        <v>21.692302298451992</v>
      </c>
      <c r="Y48" s="140">
        <f>Mitigation_Industry!Y$333</f>
        <v>22.40814827430091</v>
      </c>
      <c r="Z48" s="140">
        <f>Mitigation_Industry!Z$333</f>
        <v>23.147617167352838</v>
      </c>
      <c r="AA48" s="140">
        <f>Mitigation_Industry!AA$333</f>
        <v>23.911488533875481</v>
      </c>
      <c r="AB48" s="140">
        <f>Mitigation_Industry!AB$333</f>
        <v>24.700567655493362</v>
      </c>
      <c r="AC48" s="140">
        <f>Mitigation_Industry!AC$333</f>
        <v>25.515686388124642</v>
      </c>
      <c r="AD48" s="140">
        <f>Mitigation_Industry!AD$333</f>
        <v>26.357704038932756</v>
      </c>
      <c r="AE48" s="140">
        <f>Mitigation_Industry!AE$333</f>
        <v>27.227508272217527</v>
      </c>
      <c r="AF48" s="141"/>
      <c r="AG48" s="141"/>
      <c r="AH48" s="141"/>
      <c r="AI48" s="141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8" t="str">
        <f>Settings!$B$3&amp;".mit.wf.frt.amc.1"</f>
        <v>egy.mit.wf.frt.amc.1</v>
      </c>
      <c r="K49" s="139"/>
      <c r="L49" s="140">
        <f>Mitigation_Industry!L$334</f>
        <v>3.3747527008551588</v>
      </c>
      <c r="M49" s="140">
        <f>Mitigation_Industry!M$334</f>
        <v>3.4489972602739725</v>
      </c>
      <c r="N49" s="140">
        <f>Mitigation_Industry!N$334</f>
        <v>3.5248751999999999</v>
      </c>
      <c r="O49" s="140">
        <f>Mitigation_Industry!O$334</f>
        <v>3.6024224544000001</v>
      </c>
      <c r="P49" s="140">
        <f>Mitigation_Industry!P$334</f>
        <v>3.6816757483967999</v>
      </c>
      <c r="Q49" s="140">
        <f>Mitigation_Industry!Q$334</f>
        <v>3.7626726148615299</v>
      </c>
      <c r="R49" s="140">
        <f>Mitigation_Industry!R$334</f>
        <v>3.8454514123884831</v>
      </c>
      <c r="S49" s="140">
        <f>Mitigation_Industry!S$334</f>
        <v>3.9300513434610296</v>
      </c>
      <c r="T49" s="140">
        <f>Mitigation_Industry!T$334</f>
        <v>4.0165124730171726</v>
      </c>
      <c r="U49" s="140">
        <f>Mitigation_Industry!U$334</f>
        <v>4.1048757474235504</v>
      </c>
      <c r="V49" s="140">
        <f>Mitigation_Industry!V$334</f>
        <v>4.1951830138668695</v>
      </c>
      <c r="W49" s="140">
        <f>Mitigation_Industry!W$334</f>
        <v>4.2874770401719395</v>
      </c>
      <c r="X49" s="140">
        <f>Mitigation_Industry!X$334</f>
        <v>4.3818015350557227</v>
      </c>
      <c r="Y49" s="140">
        <f>Mitigation_Industry!Y$334</f>
        <v>4.4782011688269483</v>
      </c>
      <c r="Z49" s="140">
        <f>Mitigation_Industry!Z$334</f>
        <v>4.5767215945411417</v>
      </c>
      <c r="AA49" s="140">
        <f>Mitigation_Industry!AA$334</f>
        <v>4.6774094696210469</v>
      </c>
      <c r="AB49" s="140">
        <f>Mitigation_Industry!AB$334</f>
        <v>4.7803124779527089</v>
      </c>
      <c r="AC49" s="140">
        <f>Mitigation_Industry!AC$334</f>
        <v>4.8854793524676694</v>
      </c>
      <c r="AD49" s="140">
        <f>Mitigation_Industry!AD$334</f>
        <v>4.9929598982219581</v>
      </c>
      <c r="AE49" s="140">
        <f>Mitigation_Industry!AE$334</f>
        <v>5.1028050159828409</v>
      </c>
      <c r="AF49" s="141"/>
      <c r="AG49" s="141"/>
      <c r="AH49" s="141"/>
      <c r="AI49" s="141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8" t="str">
        <f>Settings!$B$3&amp;".mit.wf.frt.ure.1"</f>
        <v>egy.mit.wf.frt.ure.1</v>
      </c>
      <c r="K50" s="139"/>
      <c r="L50" s="140">
        <f>Mitigation_Industry!L$335</f>
        <v>0.30078009811543305</v>
      </c>
      <c r="M50" s="140">
        <f>Mitigation_Industry!M$335</f>
        <v>0.30739726027397257</v>
      </c>
      <c r="N50" s="140">
        <f>Mitigation_Industry!N$335</f>
        <v>0.31415999999999999</v>
      </c>
      <c r="O50" s="140">
        <f>Mitigation_Industry!O$335</f>
        <v>0.32107151999999994</v>
      </c>
      <c r="P50" s="140">
        <f>Mitigation_Industry!P$335</f>
        <v>0.32813509343999991</v>
      </c>
      <c r="Q50" s="140">
        <f>Mitigation_Industry!Q$335</f>
        <v>0.33535406549567992</v>
      </c>
      <c r="R50" s="140">
        <f>Mitigation_Industry!R$335</f>
        <v>0.34273185493658498</v>
      </c>
      <c r="S50" s="140">
        <f>Mitigation_Industry!S$335</f>
        <v>0.35027195574518982</v>
      </c>
      <c r="T50" s="140">
        <f>Mitigation_Industry!T$335</f>
        <v>0.3579779387715839</v>
      </c>
      <c r="U50" s="140">
        <f>Mitigation_Industry!U$335</f>
        <v>0.36585345342455883</v>
      </c>
      <c r="V50" s="140">
        <f>Mitigation_Industry!V$335</f>
        <v>0.37390222939989914</v>
      </c>
      <c r="W50" s="140">
        <f>Mitigation_Industry!W$335</f>
        <v>0.38212807844669694</v>
      </c>
      <c r="X50" s="140">
        <f>Mitigation_Industry!X$335</f>
        <v>0.39053489617252429</v>
      </c>
      <c r="Y50" s="140">
        <f>Mitigation_Industry!Y$335</f>
        <v>0.39912666388831985</v>
      </c>
      <c r="Z50" s="140">
        <f>Mitigation_Industry!Z$335</f>
        <v>0.4079074504938629</v>
      </c>
      <c r="AA50" s="140">
        <f>Mitigation_Industry!AA$335</f>
        <v>0.41688141440472787</v>
      </c>
      <c r="AB50" s="140">
        <f>Mitigation_Industry!AB$335</f>
        <v>0.42605280552163183</v>
      </c>
      <c r="AC50" s="140">
        <f>Mitigation_Industry!AC$335</f>
        <v>0.43542596724310778</v>
      </c>
      <c r="AD50" s="140">
        <f>Mitigation_Industry!AD$335</f>
        <v>0.44500533852245616</v>
      </c>
      <c r="AE50" s="140">
        <f>Mitigation_Industry!AE$335</f>
        <v>0.45479545596995019</v>
      </c>
      <c r="AF50" s="141"/>
      <c r="AG50" s="141"/>
      <c r="AH50" s="141"/>
      <c r="AI50" s="141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8" t="str">
        <f>Settings!$B$3&amp;".mit.wf.frt.nit.1"</f>
        <v>egy.mit.wf.frt.nit.1</v>
      </c>
      <c r="K51" s="139"/>
      <c r="L51" s="140">
        <f>Mitigation_Industry!L$336</f>
        <v>6.4452878167592806E-2</v>
      </c>
      <c r="M51" s="140">
        <f>Mitigation_Industry!M$336</f>
        <v>6.5870841487279841E-2</v>
      </c>
      <c r="N51" s="140">
        <f>Mitigation_Industry!N$336</f>
        <v>6.7319999999999991E-2</v>
      </c>
      <c r="O51" s="140">
        <f>Mitigation_Industry!O$336</f>
        <v>6.8801039999999994E-2</v>
      </c>
      <c r="P51" s="140">
        <f>Mitigation_Industry!P$336</f>
        <v>7.031466287999999E-2</v>
      </c>
      <c r="Q51" s="140">
        <f>Mitigation_Industry!Q$336</f>
        <v>7.1861585463359995E-2</v>
      </c>
      <c r="R51" s="140">
        <f>Mitigation_Industry!R$336</f>
        <v>7.3442540343553922E-2</v>
      </c>
      <c r="S51" s="140">
        <f>Mitigation_Industry!S$336</f>
        <v>7.5058276231112109E-2</v>
      </c>
      <c r="T51" s="140">
        <f>Mitigation_Industry!T$336</f>
        <v>7.6709558308196563E-2</v>
      </c>
      <c r="U51" s="140">
        <f>Mitigation_Industry!U$336</f>
        <v>7.8397168590976896E-2</v>
      </c>
      <c r="V51" s="140">
        <f>Mitigation_Industry!V$336</f>
        <v>8.012190629997841E-2</v>
      </c>
      <c r="W51" s="140">
        <f>Mitigation_Industry!W$336</f>
        <v>8.1884588238577902E-2</v>
      </c>
      <c r="X51" s="140">
        <f>Mitigation_Industry!X$336</f>
        <v>8.3686049179826624E-2</v>
      </c>
      <c r="Y51" s="140">
        <f>Mitigation_Industry!Y$336</f>
        <v>8.5527142261782832E-2</v>
      </c>
      <c r="Z51" s="140">
        <f>Mitigation_Industry!Z$336</f>
        <v>8.7408739391542062E-2</v>
      </c>
      <c r="AA51" s="140">
        <f>Mitigation_Industry!AA$336</f>
        <v>8.9331731658155972E-2</v>
      </c>
      <c r="AB51" s="140">
        <f>Mitigation_Industry!AB$336</f>
        <v>9.1297029754635384E-2</v>
      </c>
      <c r="AC51" s="140">
        <f>Mitigation_Industry!AC$336</f>
        <v>9.3305564409237374E-2</v>
      </c>
      <c r="AD51" s="140">
        <f>Mitigation_Industry!AD$336</f>
        <v>9.5358286826240604E-2</v>
      </c>
      <c r="AE51" s="140">
        <f>Mitigation_Industry!AE$336</f>
        <v>9.74561691364179E-2</v>
      </c>
      <c r="AF51" s="141"/>
      <c r="AG51" s="141"/>
      <c r="AH51" s="141"/>
      <c r="AI51" s="141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8" t="str">
        <f>Settings!$B$3&amp;".mit.wf.alu.prp.1"</f>
        <v>egy.mit.wf.alu.prp.1</v>
      </c>
      <c r="K52" s="139"/>
      <c r="L52" s="140">
        <f>Mitigation_Industry!L$337</f>
        <v>3.3266099144224071E-2</v>
      </c>
      <c r="M52" s="140">
        <f>Mitigation_Industry!M$337</f>
        <v>3.5095734597156404E-2</v>
      </c>
      <c r="N52" s="140">
        <f>Mitigation_Industry!N$337</f>
        <v>3.7026000000000003E-2</v>
      </c>
      <c r="O52" s="140">
        <f>Mitigation_Industry!O$337</f>
        <v>3.9062430000000002E-2</v>
      </c>
      <c r="P52" s="140">
        <f>Mitigation_Industry!P$337</f>
        <v>4.1210863649999999E-2</v>
      </c>
      <c r="Q52" s="140">
        <f>Mitigation_Industry!Q$337</f>
        <v>4.3477461150749991E-2</v>
      </c>
      <c r="R52" s="140">
        <f>Mitigation_Industry!R$337</f>
        <v>4.5868721514041248E-2</v>
      </c>
      <c r="S52" s="140">
        <f>Mitigation_Industry!S$337</f>
        <v>4.8391501197313509E-2</v>
      </c>
      <c r="T52" s="140">
        <f>Mitigation_Industry!T$337</f>
        <v>5.105303376316575E-2</v>
      </c>
      <c r="U52" s="140">
        <f>Mitigation_Industry!U$337</f>
        <v>5.3860950620139861E-2</v>
      </c>
      <c r="V52" s="140">
        <f>Mitigation_Industry!V$337</f>
        <v>5.6823302904247558E-2</v>
      </c>
      <c r="W52" s="140">
        <f>Mitigation_Industry!W$337</f>
        <v>5.9948584563981173E-2</v>
      </c>
      <c r="X52" s="140">
        <f>Mitigation_Industry!X$337</f>
        <v>6.3245756715000129E-2</v>
      </c>
      <c r="Y52" s="140">
        <f>Mitigation_Industry!Y$337</f>
        <v>6.6724273334325138E-2</v>
      </c>
      <c r="Z52" s="140">
        <f>Mitigation_Industry!Z$337</f>
        <v>7.039410836771301E-2</v>
      </c>
      <c r="AA52" s="140">
        <f>Mitigation_Industry!AA$337</f>
        <v>7.426578432793722E-2</v>
      </c>
      <c r="AB52" s="140">
        <f>Mitigation_Industry!AB$337</f>
        <v>7.8350402465973787E-2</v>
      </c>
      <c r="AC52" s="140">
        <f>Mitigation_Industry!AC$337</f>
        <v>8.2659674601602312E-2</v>
      </c>
      <c r="AD52" s="140">
        <f>Mitigation_Industry!AD$337</f>
        <v>8.7205956704690446E-2</v>
      </c>
      <c r="AE52" s="140">
        <f>Mitigation_Industry!AE$337</f>
        <v>9.2002284323448424E-2</v>
      </c>
      <c r="AF52" s="141"/>
      <c r="AG52" s="141"/>
      <c r="AH52" s="141"/>
      <c r="AI52" s="141"/>
    </row>
    <row r="53" spans="1:35" x14ac:dyDescent="0.35"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7">
        <v>2021</v>
      </c>
      <c r="L54" s="138">
        <v>2022</v>
      </c>
      <c r="M54" s="137">
        <v>2023</v>
      </c>
      <c r="N54" s="137">
        <v>2024</v>
      </c>
      <c r="O54" s="137">
        <v>2025</v>
      </c>
      <c r="P54" s="137">
        <v>2026</v>
      </c>
      <c r="Q54" s="137">
        <v>2027</v>
      </c>
      <c r="R54" s="137">
        <v>2028</v>
      </c>
      <c r="S54" s="137">
        <v>2029</v>
      </c>
      <c r="T54" s="137">
        <v>2030</v>
      </c>
      <c r="U54" s="137">
        <v>2031</v>
      </c>
      <c r="V54" s="137">
        <v>2032</v>
      </c>
      <c r="W54" s="137">
        <v>2033</v>
      </c>
      <c r="X54" s="137">
        <v>2034</v>
      </c>
      <c r="Y54" s="137">
        <v>2035</v>
      </c>
      <c r="Z54" s="137">
        <v>2036</v>
      </c>
      <c r="AA54" s="137">
        <v>2037</v>
      </c>
      <c r="AB54" s="137">
        <v>2038</v>
      </c>
      <c r="AC54" s="137">
        <v>2039</v>
      </c>
      <c r="AD54" s="137">
        <v>2040</v>
      </c>
      <c r="AE54" s="137">
        <v>2041</v>
      </c>
      <c r="AF54" s="137">
        <v>2042</v>
      </c>
      <c r="AG54" s="137">
        <v>2043</v>
      </c>
      <c r="AH54" s="137">
        <v>2044</v>
      </c>
      <c r="AI54" s="137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8" t="str">
        <f>Settings!$B$3&amp;".mit.bf.stl.drg.1"</f>
        <v>egy.mit.bf.stl.drg.1</v>
      </c>
      <c r="I55" t="s">
        <v>2611</v>
      </c>
      <c r="K55" s="139"/>
      <c r="L55" s="142">
        <f>Mitigation_Industry!$E$352</f>
        <v>1.0536051565782599E-3</v>
      </c>
      <c r="M55" s="142">
        <f>Mitigation_Industry!$E$352</f>
        <v>1.0536051565782599E-3</v>
      </c>
      <c r="N55" s="142">
        <f>Mitigation_Industry!$E$352</f>
        <v>1.0536051565782599E-3</v>
      </c>
      <c r="O55" s="142">
        <f>Mitigation_Industry!$E$352</f>
        <v>1.0536051565782599E-3</v>
      </c>
      <c r="P55" s="142">
        <f>Mitigation_Industry!$E$352</f>
        <v>1.0536051565782599E-3</v>
      </c>
      <c r="Q55" s="142">
        <f>Mitigation_Industry!$E$352</f>
        <v>1.0536051565782599E-3</v>
      </c>
      <c r="R55" s="142">
        <f>Mitigation_Industry!$E$352</f>
        <v>1.0536051565782599E-3</v>
      </c>
      <c r="S55" s="142">
        <f>Mitigation_Industry!$E$352</f>
        <v>1.0536051565782599E-3</v>
      </c>
      <c r="T55" s="142">
        <f>Mitigation_Industry!$E$352</f>
        <v>1.0536051565782599E-3</v>
      </c>
      <c r="U55" s="142">
        <f>Mitigation_Industry!$E$352</f>
        <v>1.0536051565782599E-3</v>
      </c>
      <c r="V55" s="142">
        <f>Mitigation_Industry!$E$352</f>
        <v>1.0536051565782599E-3</v>
      </c>
      <c r="W55" s="142">
        <f>Mitigation_Industry!$E$352</f>
        <v>1.0536051565782599E-3</v>
      </c>
      <c r="X55" s="142">
        <f>Mitigation_Industry!$E$352</f>
        <v>1.0536051565782599E-3</v>
      </c>
      <c r="Y55" s="142">
        <f>Mitigation_Industry!$E$352</f>
        <v>1.0536051565782599E-3</v>
      </c>
      <c r="Z55" s="142">
        <f>Mitigation_Industry!$E$352</f>
        <v>1.0536051565782599E-3</v>
      </c>
      <c r="AA55" s="142">
        <f>Mitigation_Industry!$E$352</f>
        <v>1.0536051565782599E-3</v>
      </c>
      <c r="AB55" s="142">
        <f>Mitigation_Industry!$E$352</f>
        <v>1.0536051565782599E-3</v>
      </c>
      <c r="AC55" s="142">
        <f>Mitigation_Industry!$E$352</f>
        <v>1.0536051565782599E-3</v>
      </c>
      <c r="AD55" s="142">
        <f>Mitigation_Industry!$E$352</f>
        <v>1.0536051565782599E-3</v>
      </c>
      <c r="AE55" s="142">
        <f>Mitigation_Industry!$E$352</f>
        <v>1.0536051565782599E-3</v>
      </c>
      <c r="AF55" s="141"/>
      <c r="AG55" s="141"/>
      <c r="AH55" s="141"/>
      <c r="AI55" s="141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8" t="str">
        <f>Settings!$B$3&amp;".mit.bf.stl.scr.1"</f>
        <v>egy.mit.bf.stl.scr.1</v>
      </c>
      <c r="K56" s="139"/>
      <c r="L56" s="142">
        <f>Mitigation_Industry!$E$353</f>
        <v>2.0202707317519501E-4</v>
      </c>
      <c r="M56" s="142">
        <f>Mitigation_Industry!$E$353</f>
        <v>2.0202707317519501E-4</v>
      </c>
      <c r="N56" s="142">
        <f>Mitigation_Industry!$E$353</f>
        <v>2.0202707317519501E-4</v>
      </c>
      <c r="O56" s="142">
        <f>Mitigation_Industry!$E$353</f>
        <v>2.0202707317519501E-4</v>
      </c>
      <c r="P56" s="142">
        <f>Mitigation_Industry!$E$353</f>
        <v>2.0202707317519501E-4</v>
      </c>
      <c r="Q56" s="142">
        <f>Mitigation_Industry!$E$353</f>
        <v>2.0202707317519501E-4</v>
      </c>
      <c r="R56" s="142">
        <f>Mitigation_Industry!$E$353</f>
        <v>2.0202707317519501E-4</v>
      </c>
      <c r="S56" s="142">
        <f>Mitigation_Industry!$E$353</f>
        <v>2.0202707317519501E-4</v>
      </c>
      <c r="T56" s="142">
        <f>Mitigation_Industry!$E$353</f>
        <v>2.0202707317519501E-4</v>
      </c>
      <c r="U56" s="142">
        <f>Mitigation_Industry!$E$353</f>
        <v>2.0202707317519501E-4</v>
      </c>
      <c r="V56" s="142">
        <f>Mitigation_Industry!$E$353</f>
        <v>2.0202707317519501E-4</v>
      </c>
      <c r="W56" s="142">
        <f>Mitigation_Industry!$E$353</f>
        <v>2.0202707317519501E-4</v>
      </c>
      <c r="X56" s="142">
        <f>Mitigation_Industry!$E$353</f>
        <v>2.0202707317519501E-4</v>
      </c>
      <c r="Y56" s="142">
        <f>Mitigation_Industry!$E$353</f>
        <v>2.0202707317519501E-4</v>
      </c>
      <c r="Z56" s="142">
        <f>Mitigation_Industry!$E$353</f>
        <v>2.0202707317519501E-4</v>
      </c>
      <c r="AA56" s="142">
        <f>Mitigation_Industry!$E$353</f>
        <v>2.0202707317519501E-4</v>
      </c>
      <c r="AB56" s="142">
        <f>Mitigation_Industry!$E$353</f>
        <v>2.0202707317519501E-4</v>
      </c>
      <c r="AC56" s="142">
        <f>Mitigation_Industry!$E$353</f>
        <v>2.0202707317519501E-4</v>
      </c>
      <c r="AD56" s="142">
        <f>Mitigation_Industry!$E$353</f>
        <v>2.0202707317519501E-4</v>
      </c>
      <c r="AE56" s="142">
        <f>Mitigation_Industry!$E$353</f>
        <v>2.0202707317519501E-4</v>
      </c>
      <c r="AF56" s="141"/>
      <c r="AG56" s="141"/>
      <c r="AH56" s="141"/>
      <c r="AI56" s="141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8" t="str">
        <f>Settings!$B$3&amp;".mit.bf.stl.bof.1"</f>
        <v>egy.mit.bf.stl.bof.1</v>
      </c>
      <c r="K57" s="139"/>
      <c r="L57" s="142">
        <f>Mitigation_Industry!$E$354</f>
        <v>5.1293294387550598E-4</v>
      </c>
      <c r="M57" s="142">
        <f>Mitigation_Industry!$E$354</f>
        <v>5.1293294387550598E-4</v>
      </c>
      <c r="N57" s="142">
        <f>Mitigation_Industry!$E$354</f>
        <v>5.1293294387550598E-4</v>
      </c>
      <c r="O57" s="142">
        <f>Mitigation_Industry!$E$354</f>
        <v>5.1293294387550598E-4</v>
      </c>
      <c r="P57" s="142">
        <f>Mitigation_Industry!$E$354</f>
        <v>5.1293294387550598E-4</v>
      </c>
      <c r="Q57" s="142">
        <f>Mitigation_Industry!$E$354</f>
        <v>5.1293294387550598E-4</v>
      </c>
      <c r="R57" s="142">
        <f>Mitigation_Industry!$E$354</f>
        <v>5.1293294387550598E-4</v>
      </c>
      <c r="S57" s="142">
        <f>Mitigation_Industry!$E$354</f>
        <v>5.1293294387550598E-4</v>
      </c>
      <c r="T57" s="142">
        <f>Mitigation_Industry!$E$354</f>
        <v>5.1293294387550598E-4</v>
      </c>
      <c r="U57" s="142">
        <f>Mitigation_Industry!$E$354</f>
        <v>5.1293294387550598E-4</v>
      </c>
      <c r="V57" s="142">
        <f>Mitigation_Industry!$E$354</f>
        <v>5.1293294387550598E-4</v>
      </c>
      <c r="W57" s="142">
        <f>Mitigation_Industry!$E$354</f>
        <v>5.1293294387550598E-4</v>
      </c>
      <c r="X57" s="142">
        <f>Mitigation_Industry!$E$354</f>
        <v>5.1293294387550598E-4</v>
      </c>
      <c r="Y57" s="142">
        <f>Mitigation_Industry!$E$354</f>
        <v>5.1293294387550598E-4</v>
      </c>
      <c r="Z57" s="142">
        <f>Mitigation_Industry!$E$354</f>
        <v>5.1293294387550598E-4</v>
      </c>
      <c r="AA57" s="142">
        <f>Mitigation_Industry!$E$354</f>
        <v>5.1293294387550598E-4</v>
      </c>
      <c r="AB57" s="142">
        <f>Mitigation_Industry!$E$354</f>
        <v>5.1293294387550598E-4</v>
      </c>
      <c r="AC57" s="142">
        <f>Mitigation_Industry!$E$354</f>
        <v>5.1293294387550598E-4</v>
      </c>
      <c r="AD57" s="142">
        <f>Mitigation_Industry!$E$354</f>
        <v>5.1293294387550598E-4</v>
      </c>
      <c r="AE57" s="142">
        <f>Mitigation_Industry!$E$354</f>
        <v>5.1293294387550598E-4</v>
      </c>
      <c r="AF57" s="141"/>
      <c r="AG57" s="141"/>
      <c r="AH57" s="141"/>
      <c r="AI57" s="141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8" t="str">
        <f>Settings!$B$3&amp;".mit.bf.cmt.dry.1"</f>
        <v>egy.mit.bf.cmt.dry.1</v>
      </c>
      <c r="K58" s="139"/>
      <c r="L58" s="142">
        <f>Mitigation_Industry!$E$355</f>
        <v>8.3381608939051E-4</v>
      </c>
      <c r="M58" s="142">
        <f>Mitigation_Industry!$E$355</f>
        <v>8.3381608939051E-4</v>
      </c>
      <c r="N58" s="142">
        <f>Mitigation_Industry!$E$355</f>
        <v>8.3381608939051E-4</v>
      </c>
      <c r="O58" s="142">
        <f>Mitigation_Industry!$E$355</f>
        <v>8.3381608939051E-4</v>
      </c>
      <c r="P58" s="142">
        <f>Mitigation_Industry!$E$355</f>
        <v>8.3381608939051E-4</v>
      </c>
      <c r="Q58" s="142">
        <f>Mitigation_Industry!$E$355</f>
        <v>8.3381608939051E-4</v>
      </c>
      <c r="R58" s="142">
        <f>Mitigation_Industry!$E$355</f>
        <v>8.3381608939051E-4</v>
      </c>
      <c r="S58" s="142">
        <f>Mitigation_Industry!$E$355</f>
        <v>8.3381608939051E-4</v>
      </c>
      <c r="T58" s="142">
        <f>Mitigation_Industry!$E$355</f>
        <v>8.3381608939051E-4</v>
      </c>
      <c r="U58" s="142">
        <f>Mitigation_Industry!$E$355</f>
        <v>8.3381608939051E-4</v>
      </c>
      <c r="V58" s="142">
        <f>Mitigation_Industry!$E$355</f>
        <v>8.3381608939051E-4</v>
      </c>
      <c r="W58" s="142">
        <f>Mitigation_Industry!$E$355</f>
        <v>8.3381608939051E-4</v>
      </c>
      <c r="X58" s="142">
        <f>Mitigation_Industry!$E$355</f>
        <v>8.3381608939051E-4</v>
      </c>
      <c r="Y58" s="142">
        <f>Mitigation_Industry!$E$355</f>
        <v>8.3381608939051E-4</v>
      </c>
      <c r="Z58" s="142">
        <f>Mitigation_Industry!$E$355</f>
        <v>8.3381608939051E-4</v>
      </c>
      <c r="AA58" s="142">
        <f>Mitigation_Industry!$E$355</f>
        <v>8.3381608939051E-4</v>
      </c>
      <c r="AB58" s="142">
        <f>Mitigation_Industry!$E$355</f>
        <v>8.3381608939051E-4</v>
      </c>
      <c r="AC58" s="142">
        <f>Mitigation_Industry!$E$355</f>
        <v>8.3381608939051E-4</v>
      </c>
      <c r="AD58" s="142">
        <f>Mitigation_Industry!$E$355</f>
        <v>8.3381608939051E-4</v>
      </c>
      <c r="AE58" s="142">
        <f>Mitigation_Industry!$E$355</f>
        <v>8.3381608939051E-4</v>
      </c>
      <c r="AF58" s="141"/>
      <c r="AG58" s="141"/>
      <c r="AH58" s="141"/>
      <c r="AI58" s="141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8" t="str">
        <f>Settings!$B$3&amp;".mit.bf.frt.amc.1"</f>
        <v>egy.mit.bf.frt.amc.1</v>
      </c>
      <c r="K59" s="139"/>
      <c r="L59" s="142">
        <f>Mitigation_Industry!$E$356</f>
        <v>1.98450938723838E-3</v>
      </c>
      <c r="M59" s="142">
        <f>Mitigation_Industry!$E$356</f>
        <v>1.98450938723838E-3</v>
      </c>
      <c r="N59" s="142">
        <f>Mitigation_Industry!$E$356</f>
        <v>1.98450938723838E-3</v>
      </c>
      <c r="O59" s="142">
        <f>Mitigation_Industry!$E$356</f>
        <v>1.98450938723838E-3</v>
      </c>
      <c r="P59" s="142">
        <f>Mitigation_Industry!$E$356</f>
        <v>1.98450938723838E-3</v>
      </c>
      <c r="Q59" s="142">
        <f>Mitigation_Industry!$E$356</f>
        <v>1.98450938723838E-3</v>
      </c>
      <c r="R59" s="142">
        <f>Mitigation_Industry!$E$356</f>
        <v>1.98450938723838E-3</v>
      </c>
      <c r="S59" s="142">
        <f>Mitigation_Industry!$E$356</f>
        <v>1.98450938723838E-3</v>
      </c>
      <c r="T59" s="142">
        <f>Mitigation_Industry!$E$356</f>
        <v>1.98450938723838E-3</v>
      </c>
      <c r="U59" s="142">
        <f>Mitigation_Industry!$E$356</f>
        <v>1.98450938723838E-3</v>
      </c>
      <c r="V59" s="142">
        <f>Mitigation_Industry!$E$356</f>
        <v>1.98450938723838E-3</v>
      </c>
      <c r="W59" s="142">
        <f>Mitigation_Industry!$E$356</f>
        <v>1.98450938723838E-3</v>
      </c>
      <c r="X59" s="142">
        <f>Mitigation_Industry!$E$356</f>
        <v>1.98450938723838E-3</v>
      </c>
      <c r="Y59" s="142">
        <f>Mitigation_Industry!$E$356</f>
        <v>1.98450938723838E-3</v>
      </c>
      <c r="Z59" s="142">
        <f>Mitigation_Industry!$E$356</f>
        <v>1.98450938723838E-3</v>
      </c>
      <c r="AA59" s="142">
        <f>Mitigation_Industry!$E$356</f>
        <v>1.98450938723838E-3</v>
      </c>
      <c r="AB59" s="142">
        <f>Mitigation_Industry!$E$356</f>
        <v>1.98450938723838E-3</v>
      </c>
      <c r="AC59" s="142">
        <f>Mitigation_Industry!$E$356</f>
        <v>1.98450938723838E-3</v>
      </c>
      <c r="AD59" s="142">
        <f>Mitigation_Industry!$E$356</f>
        <v>1.98450938723838E-3</v>
      </c>
      <c r="AE59" s="142">
        <f>Mitigation_Industry!$E$356</f>
        <v>1.98450938723838E-3</v>
      </c>
      <c r="AF59" s="141"/>
      <c r="AG59" s="141"/>
      <c r="AH59" s="141"/>
      <c r="AI59" s="141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8" t="str">
        <f>Settings!$B$3&amp;".mit.bf.frt.ure.1"</f>
        <v>egy.mit.bf.frt.ure.1</v>
      </c>
      <c r="K60" s="139"/>
      <c r="L60" s="142">
        <f>Mitigation_Industry!$E$357</f>
        <v>0</v>
      </c>
      <c r="M60" s="142">
        <f>Mitigation_Industry!$E$357</f>
        <v>0</v>
      </c>
      <c r="N60" s="142">
        <f>Mitigation_Industry!$E$357</f>
        <v>0</v>
      </c>
      <c r="O60" s="142">
        <f>Mitigation_Industry!$E$357</f>
        <v>0</v>
      </c>
      <c r="P60" s="142">
        <f>Mitigation_Industry!$E$357</f>
        <v>0</v>
      </c>
      <c r="Q60" s="142">
        <f>Mitigation_Industry!$E$357</f>
        <v>0</v>
      </c>
      <c r="R60" s="142">
        <f>Mitigation_Industry!$E$357</f>
        <v>0</v>
      </c>
      <c r="S60" s="142">
        <f>Mitigation_Industry!$E$357</f>
        <v>0</v>
      </c>
      <c r="T60" s="142">
        <f>Mitigation_Industry!$E$357</f>
        <v>0</v>
      </c>
      <c r="U60" s="142">
        <f>Mitigation_Industry!$E$357</f>
        <v>0</v>
      </c>
      <c r="V60" s="142">
        <f>Mitigation_Industry!$E$357</f>
        <v>0</v>
      </c>
      <c r="W60" s="142">
        <f>Mitigation_Industry!$E$357</f>
        <v>0</v>
      </c>
      <c r="X60" s="142">
        <f>Mitigation_Industry!$E$357</f>
        <v>0</v>
      </c>
      <c r="Y60" s="142">
        <f>Mitigation_Industry!$E$357</f>
        <v>0</v>
      </c>
      <c r="Z60" s="142">
        <f>Mitigation_Industry!$E$357</f>
        <v>0</v>
      </c>
      <c r="AA60" s="142">
        <f>Mitigation_Industry!$E$357</f>
        <v>0</v>
      </c>
      <c r="AB60" s="142">
        <f>Mitigation_Industry!$E$357</f>
        <v>0</v>
      </c>
      <c r="AC60" s="142">
        <f>Mitigation_Industry!$E$357</f>
        <v>0</v>
      </c>
      <c r="AD60" s="142">
        <f>Mitigation_Industry!$E$357</f>
        <v>0</v>
      </c>
      <c r="AE60" s="142">
        <f>Mitigation_Industry!$E$357</f>
        <v>0</v>
      </c>
      <c r="AF60" s="141"/>
      <c r="AG60" s="141"/>
      <c r="AH60" s="141"/>
      <c r="AI60" s="141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8" t="str">
        <f>Settings!$B$3&amp;".mit.bf.frt.nit.1"</f>
        <v>egy.mit.bf.frt.nit.1</v>
      </c>
      <c r="K61" s="139"/>
      <c r="L61" s="142">
        <f>Mitigation_Industry!$E$358</f>
        <v>1.04982212449868E-2</v>
      </c>
      <c r="M61" s="142">
        <f>Mitigation_Industry!$E$358</f>
        <v>1.04982212449868E-2</v>
      </c>
      <c r="N61" s="142">
        <f>Mitigation_Industry!$E$358</f>
        <v>1.04982212449868E-2</v>
      </c>
      <c r="O61" s="142">
        <f>Mitigation_Industry!$E$358</f>
        <v>1.04982212449868E-2</v>
      </c>
      <c r="P61" s="142">
        <f>Mitigation_Industry!$E$358</f>
        <v>1.04982212449868E-2</v>
      </c>
      <c r="Q61" s="142">
        <f>Mitigation_Industry!$E$358</f>
        <v>1.04982212449868E-2</v>
      </c>
      <c r="R61" s="142">
        <f>Mitigation_Industry!$E$358</f>
        <v>1.04982212449868E-2</v>
      </c>
      <c r="S61" s="142">
        <f>Mitigation_Industry!$E$358</f>
        <v>1.04982212449868E-2</v>
      </c>
      <c r="T61" s="142">
        <f>Mitigation_Industry!$E$358</f>
        <v>1.04982212449868E-2</v>
      </c>
      <c r="U61" s="142">
        <f>Mitigation_Industry!$E$358</f>
        <v>1.04982212449868E-2</v>
      </c>
      <c r="V61" s="142">
        <f>Mitigation_Industry!$E$358</f>
        <v>1.04982212449868E-2</v>
      </c>
      <c r="W61" s="142">
        <f>Mitigation_Industry!$E$358</f>
        <v>1.04982212449868E-2</v>
      </c>
      <c r="X61" s="142">
        <f>Mitigation_Industry!$E$358</f>
        <v>1.04982212449868E-2</v>
      </c>
      <c r="Y61" s="142">
        <f>Mitigation_Industry!$E$358</f>
        <v>1.04982212449868E-2</v>
      </c>
      <c r="Z61" s="142">
        <f>Mitigation_Industry!$E$358</f>
        <v>1.04982212449868E-2</v>
      </c>
      <c r="AA61" s="142">
        <f>Mitigation_Industry!$E$358</f>
        <v>1.04982212449868E-2</v>
      </c>
      <c r="AB61" s="142">
        <f>Mitigation_Industry!$E$358</f>
        <v>1.04982212449868E-2</v>
      </c>
      <c r="AC61" s="142">
        <f>Mitigation_Industry!$E$358</f>
        <v>1.04982212449868E-2</v>
      </c>
      <c r="AD61" s="142">
        <f>Mitigation_Industry!$E$358</f>
        <v>1.04982212449868E-2</v>
      </c>
      <c r="AE61" s="142">
        <f>Mitigation_Industry!$E$358</f>
        <v>1.04982212449868E-2</v>
      </c>
      <c r="AF61" s="141"/>
      <c r="AG61" s="141"/>
      <c r="AH61" s="141"/>
      <c r="AI61" s="141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8" t="str">
        <f>Settings!$B$3&amp;".mit.bf.alu.prp.1"</f>
        <v>egy.mit.bf.alu.prp.1</v>
      </c>
      <c r="K62" s="139"/>
      <c r="L62" s="142">
        <f>Mitigation_Industry!$E$359</f>
        <v>8.3381608939051E-4</v>
      </c>
      <c r="M62" s="142">
        <f>Mitigation_Industry!$E$359</f>
        <v>8.3381608939051E-4</v>
      </c>
      <c r="N62" s="142">
        <f>Mitigation_Industry!$E$359</f>
        <v>8.3381608939051E-4</v>
      </c>
      <c r="O62" s="142">
        <f>Mitigation_Industry!$E$359</f>
        <v>8.3381608939051E-4</v>
      </c>
      <c r="P62" s="142">
        <f>Mitigation_Industry!$E$359</f>
        <v>8.3381608939051E-4</v>
      </c>
      <c r="Q62" s="142">
        <f>Mitigation_Industry!$E$359</f>
        <v>8.3381608939051E-4</v>
      </c>
      <c r="R62" s="142">
        <f>Mitigation_Industry!$E$359</f>
        <v>8.3381608939051E-4</v>
      </c>
      <c r="S62" s="142">
        <f>Mitigation_Industry!$E$359</f>
        <v>8.3381608939051E-4</v>
      </c>
      <c r="T62" s="142">
        <f>Mitigation_Industry!$E$359</f>
        <v>8.3381608939051E-4</v>
      </c>
      <c r="U62" s="142">
        <f>Mitigation_Industry!$E$359</f>
        <v>8.3381608939051E-4</v>
      </c>
      <c r="V62" s="142">
        <f>Mitigation_Industry!$E$359</f>
        <v>8.3381608939051E-4</v>
      </c>
      <c r="W62" s="142">
        <f>Mitigation_Industry!$E$359</f>
        <v>8.3381608939051E-4</v>
      </c>
      <c r="X62" s="142">
        <f>Mitigation_Industry!$E$359</f>
        <v>8.3381608939051E-4</v>
      </c>
      <c r="Y62" s="142">
        <f>Mitigation_Industry!$E$359</f>
        <v>8.3381608939051E-4</v>
      </c>
      <c r="Z62" s="142">
        <f>Mitigation_Industry!$E$359</f>
        <v>8.3381608939051E-4</v>
      </c>
      <c r="AA62" s="142">
        <f>Mitigation_Industry!$E$359</f>
        <v>8.3381608939051E-4</v>
      </c>
      <c r="AB62" s="142">
        <f>Mitigation_Industry!$E$359</f>
        <v>8.3381608939051E-4</v>
      </c>
      <c r="AC62" s="142">
        <f>Mitigation_Industry!$E$359</f>
        <v>8.3381608939051E-4</v>
      </c>
      <c r="AD62" s="142">
        <f>Mitigation_Industry!$E$359</f>
        <v>8.3381608939051E-4</v>
      </c>
      <c r="AE62" s="142">
        <f>Mitigation_Industry!$E$359</f>
        <v>8.3381608939051E-4</v>
      </c>
      <c r="AF62" s="141"/>
      <c r="AG62" s="141"/>
      <c r="AH62" s="141"/>
      <c r="AI62" s="141"/>
    </row>
    <row r="63" spans="1:35" x14ac:dyDescent="0.35"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7">
        <v>2021</v>
      </c>
      <c r="L64" s="138">
        <v>2022</v>
      </c>
      <c r="M64" s="137">
        <v>2023</v>
      </c>
      <c r="N64" s="137">
        <v>2024</v>
      </c>
      <c r="O64" s="137">
        <v>2025</v>
      </c>
      <c r="P64" s="137">
        <v>2026</v>
      </c>
      <c r="Q64" s="137">
        <v>2027</v>
      </c>
      <c r="R64" s="137">
        <v>2028</v>
      </c>
      <c r="S64" s="137">
        <v>2029</v>
      </c>
      <c r="T64" s="137">
        <v>2030</v>
      </c>
      <c r="U64" s="137">
        <v>2031</v>
      </c>
      <c r="V64" s="137">
        <v>2032</v>
      </c>
      <c r="W64" s="137">
        <v>2033</v>
      </c>
      <c r="X64" s="137">
        <v>2034</v>
      </c>
      <c r="Y64" s="137">
        <v>2035</v>
      </c>
      <c r="Z64" s="137">
        <v>2036</v>
      </c>
      <c r="AA64" s="137">
        <v>2037</v>
      </c>
      <c r="AB64" s="137">
        <v>2038</v>
      </c>
      <c r="AC64" s="137">
        <v>2039</v>
      </c>
      <c r="AD64" s="137">
        <v>2040</v>
      </c>
      <c r="AE64" s="137">
        <v>2041</v>
      </c>
      <c r="AF64" s="137">
        <v>2042</v>
      </c>
      <c r="AG64" s="137">
        <v>2043</v>
      </c>
      <c r="AH64" s="137">
        <v>2044</v>
      </c>
      <c r="AI64" s="137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8" t="str">
        <f>Settings!$B$3&amp;".mit.bp.stl.drg.np.1"</f>
        <v>egy.mit.bp.stl.drg.np.1</v>
      </c>
      <c r="I65" t="s">
        <v>2621</v>
      </c>
      <c r="K65" s="139"/>
      <c r="L65" s="142">
        <f>Mitigation_Industry!$E$363</f>
        <v>3.4469507031574592E-3</v>
      </c>
      <c r="M65" s="142">
        <f>Mitigation_Industry!$E$363</f>
        <v>3.4469507031574592E-3</v>
      </c>
      <c r="N65" s="142">
        <f>Mitigation_Industry!$E$363</f>
        <v>3.4469507031574592E-3</v>
      </c>
      <c r="O65" s="142">
        <f>Mitigation_Industry!$E$363</f>
        <v>3.4469507031574592E-3</v>
      </c>
      <c r="P65" s="142">
        <f>Mitigation_Industry!$E$363</f>
        <v>3.4469507031574592E-3</v>
      </c>
      <c r="Q65" s="142">
        <f>Mitigation_Industry!$E$363</f>
        <v>3.4469507031574592E-3</v>
      </c>
      <c r="R65" s="142">
        <f>Mitigation_Industry!$E$363</f>
        <v>3.4469507031574592E-3</v>
      </c>
      <c r="S65" s="142">
        <f>Mitigation_Industry!$E$363</f>
        <v>3.4469507031574592E-3</v>
      </c>
      <c r="T65" s="142">
        <f>Mitigation_Industry!$E$363</f>
        <v>3.4469507031574592E-3</v>
      </c>
      <c r="U65" s="142">
        <f>Mitigation_Industry!$E$363</f>
        <v>3.4469507031574592E-3</v>
      </c>
      <c r="V65" s="142">
        <f>Mitigation_Industry!$E$363</f>
        <v>3.4469507031574592E-3</v>
      </c>
      <c r="W65" s="142">
        <f>Mitigation_Industry!$E$363</f>
        <v>3.4469507031574592E-3</v>
      </c>
      <c r="X65" s="142">
        <f>Mitigation_Industry!$E$363</f>
        <v>3.4469507031574592E-3</v>
      </c>
      <c r="Y65" s="142">
        <f>Mitigation_Industry!$E$363</f>
        <v>3.4469507031574592E-3</v>
      </c>
      <c r="Z65" s="142">
        <f>Mitigation_Industry!$E$363</f>
        <v>3.4469507031574592E-3</v>
      </c>
      <c r="AA65" s="142">
        <f>Mitigation_Industry!$E$363</f>
        <v>3.4469507031574592E-3</v>
      </c>
      <c r="AB65" s="142">
        <f>Mitigation_Industry!$E$363</f>
        <v>3.4469507031574592E-3</v>
      </c>
      <c r="AC65" s="142">
        <f>Mitigation_Industry!$E$363</f>
        <v>3.4469507031574592E-3</v>
      </c>
      <c r="AD65" s="142">
        <f>Mitigation_Industry!$E$363</f>
        <v>3.4469507031574592E-3</v>
      </c>
      <c r="AE65" s="142">
        <f>Mitigation_Industry!$E$363</f>
        <v>3.4469507031574592E-3</v>
      </c>
      <c r="AF65" s="141"/>
      <c r="AG65" s="141"/>
      <c r="AH65" s="141"/>
      <c r="AI65" s="141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8" t="str">
        <f>Settings!$B$3&amp;".mit.bp.stl.scr.np.1"</f>
        <v>egy.mit.bp.stl.scr.np.1</v>
      </c>
      <c r="K66" s="139"/>
      <c r="L66" s="142">
        <f>Mitigation_Industry!$E$364</f>
        <v>1.6366491404021942E-3</v>
      </c>
      <c r="M66" s="142">
        <f>Mitigation_Industry!$E$364</f>
        <v>1.6366491404021942E-3</v>
      </c>
      <c r="N66" s="142">
        <f>Mitigation_Industry!$E$364</f>
        <v>1.6366491404021942E-3</v>
      </c>
      <c r="O66" s="142">
        <f>Mitigation_Industry!$E$364</f>
        <v>1.6366491404021942E-3</v>
      </c>
      <c r="P66" s="142">
        <f>Mitigation_Industry!$E$364</f>
        <v>1.6366491404021942E-3</v>
      </c>
      <c r="Q66" s="142">
        <f>Mitigation_Industry!$E$364</f>
        <v>1.6366491404021942E-3</v>
      </c>
      <c r="R66" s="142">
        <f>Mitigation_Industry!$E$364</f>
        <v>1.6366491404021942E-3</v>
      </c>
      <c r="S66" s="142">
        <f>Mitigation_Industry!$E$364</f>
        <v>1.6366491404021942E-3</v>
      </c>
      <c r="T66" s="142">
        <f>Mitigation_Industry!$E$364</f>
        <v>1.6366491404021942E-3</v>
      </c>
      <c r="U66" s="142">
        <f>Mitigation_Industry!$E$364</f>
        <v>1.6366491404021942E-3</v>
      </c>
      <c r="V66" s="142">
        <f>Mitigation_Industry!$E$364</f>
        <v>1.6366491404021942E-3</v>
      </c>
      <c r="W66" s="142">
        <f>Mitigation_Industry!$E$364</f>
        <v>1.6366491404021942E-3</v>
      </c>
      <c r="X66" s="142">
        <f>Mitigation_Industry!$E$364</f>
        <v>1.6366491404021942E-3</v>
      </c>
      <c r="Y66" s="142">
        <f>Mitigation_Industry!$E$364</f>
        <v>1.6366491404021942E-3</v>
      </c>
      <c r="Z66" s="142">
        <f>Mitigation_Industry!$E$364</f>
        <v>1.6366491404021942E-3</v>
      </c>
      <c r="AA66" s="142">
        <f>Mitigation_Industry!$E$364</f>
        <v>1.6366491404021942E-3</v>
      </c>
      <c r="AB66" s="142">
        <f>Mitigation_Industry!$E$364</f>
        <v>1.6366491404021942E-3</v>
      </c>
      <c r="AC66" s="142">
        <f>Mitigation_Industry!$E$364</f>
        <v>1.6366491404021942E-3</v>
      </c>
      <c r="AD66" s="142">
        <f>Mitigation_Industry!$E$364</f>
        <v>1.6366491404021942E-3</v>
      </c>
      <c r="AE66" s="142">
        <f>Mitigation_Industry!$E$364</f>
        <v>1.6366491404021942E-3</v>
      </c>
      <c r="AF66" s="141"/>
      <c r="AG66" s="141"/>
      <c r="AH66" s="141"/>
      <c r="AI66" s="141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8" t="str">
        <f>Settings!$B$3&amp;".mit.bp.stl.bof.np.1"</f>
        <v>egy.mit.bp.stl.bof.np.1</v>
      </c>
      <c r="K67" s="139"/>
      <c r="L67" s="142">
        <f>Mitigation_Industry!$E$365</f>
        <v>2.6960722989211347E-3</v>
      </c>
      <c r="M67" s="142">
        <f>Mitigation_Industry!$E$365</f>
        <v>2.6960722989211347E-3</v>
      </c>
      <c r="N67" s="142">
        <f>Mitigation_Industry!$E$365</f>
        <v>2.6960722989211347E-3</v>
      </c>
      <c r="O67" s="142">
        <f>Mitigation_Industry!$E$365</f>
        <v>2.6960722989211347E-3</v>
      </c>
      <c r="P67" s="142">
        <f>Mitigation_Industry!$E$365</f>
        <v>2.6960722989211347E-3</v>
      </c>
      <c r="Q67" s="142">
        <f>Mitigation_Industry!$E$365</f>
        <v>2.6960722989211347E-3</v>
      </c>
      <c r="R67" s="142">
        <f>Mitigation_Industry!$E$365</f>
        <v>2.6960722989211347E-3</v>
      </c>
      <c r="S67" s="142">
        <f>Mitigation_Industry!$E$365</f>
        <v>2.6960722989211347E-3</v>
      </c>
      <c r="T67" s="142">
        <f>Mitigation_Industry!$E$365</f>
        <v>2.6960722989211347E-3</v>
      </c>
      <c r="U67" s="142">
        <f>Mitigation_Industry!$E$365</f>
        <v>2.6960722989211347E-3</v>
      </c>
      <c r="V67" s="142">
        <f>Mitigation_Industry!$E$365</f>
        <v>2.6960722989211347E-3</v>
      </c>
      <c r="W67" s="142">
        <f>Mitigation_Industry!$E$365</f>
        <v>2.6960722989211347E-3</v>
      </c>
      <c r="X67" s="142">
        <f>Mitigation_Industry!$E$365</f>
        <v>2.6960722989211347E-3</v>
      </c>
      <c r="Y67" s="142">
        <f>Mitigation_Industry!$E$365</f>
        <v>2.6960722989211347E-3</v>
      </c>
      <c r="Z67" s="142">
        <f>Mitigation_Industry!$E$365</f>
        <v>2.6960722989211347E-3</v>
      </c>
      <c r="AA67" s="142">
        <f>Mitigation_Industry!$E$365</f>
        <v>2.6960722989211347E-3</v>
      </c>
      <c r="AB67" s="142">
        <f>Mitigation_Industry!$E$365</f>
        <v>2.6960722989211347E-3</v>
      </c>
      <c r="AC67" s="142">
        <f>Mitigation_Industry!$E$365</f>
        <v>2.6960722989211347E-3</v>
      </c>
      <c r="AD67" s="142">
        <f>Mitigation_Industry!$E$365</f>
        <v>2.6960722989211347E-3</v>
      </c>
      <c r="AE67" s="142">
        <f>Mitigation_Industry!$E$365</f>
        <v>2.6960722989211347E-3</v>
      </c>
      <c r="AF67" s="141"/>
      <c r="AG67" s="141"/>
      <c r="AH67" s="141"/>
      <c r="AI67" s="141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8" t="str">
        <f>Settings!$B$3&amp;".mit.bp.cmt.dry.np.1"</f>
        <v>egy.mit.bp.cmt.dry.np.1</v>
      </c>
      <c r="K68" s="139"/>
      <c r="L68" s="142">
        <f>Mitigation_Industry!$E$366</f>
        <v>3.3464675036139224E-3</v>
      </c>
      <c r="M68" s="142">
        <f>Mitigation_Industry!$E$366</f>
        <v>3.3464675036139224E-3</v>
      </c>
      <c r="N68" s="142">
        <f>Mitigation_Industry!$E$366</f>
        <v>3.3464675036139224E-3</v>
      </c>
      <c r="O68" s="142">
        <f>Mitigation_Industry!$E$366</f>
        <v>3.3464675036139224E-3</v>
      </c>
      <c r="P68" s="142">
        <f>Mitigation_Industry!$E$366</f>
        <v>3.3464675036139224E-3</v>
      </c>
      <c r="Q68" s="142">
        <f>Mitigation_Industry!$E$366</f>
        <v>3.3464675036139224E-3</v>
      </c>
      <c r="R68" s="142">
        <f>Mitigation_Industry!$E$366</f>
        <v>3.3464675036139224E-3</v>
      </c>
      <c r="S68" s="142">
        <f>Mitigation_Industry!$E$366</f>
        <v>3.3464675036139224E-3</v>
      </c>
      <c r="T68" s="142">
        <f>Mitigation_Industry!$E$366</f>
        <v>3.3464675036139224E-3</v>
      </c>
      <c r="U68" s="142">
        <f>Mitigation_Industry!$E$366</f>
        <v>3.3464675036139224E-3</v>
      </c>
      <c r="V68" s="142">
        <f>Mitigation_Industry!$E$366</f>
        <v>3.3464675036139224E-3</v>
      </c>
      <c r="W68" s="142">
        <f>Mitigation_Industry!$E$366</f>
        <v>3.3464675036139224E-3</v>
      </c>
      <c r="X68" s="142">
        <f>Mitigation_Industry!$E$366</f>
        <v>3.3464675036139224E-3</v>
      </c>
      <c r="Y68" s="142">
        <f>Mitigation_Industry!$E$366</f>
        <v>3.3464675036139224E-3</v>
      </c>
      <c r="Z68" s="142">
        <f>Mitigation_Industry!$E$366</f>
        <v>3.3464675036139224E-3</v>
      </c>
      <c r="AA68" s="142">
        <f>Mitigation_Industry!$E$366</f>
        <v>3.3464675036139224E-3</v>
      </c>
      <c r="AB68" s="142">
        <f>Mitigation_Industry!$E$366</f>
        <v>3.3464675036139224E-3</v>
      </c>
      <c r="AC68" s="142">
        <f>Mitigation_Industry!$E$366</f>
        <v>3.3464675036139224E-3</v>
      </c>
      <c r="AD68" s="142">
        <f>Mitigation_Industry!$E$366</f>
        <v>3.3464675036139224E-3</v>
      </c>
      <c r="AE68" s="142">
        <f>Mitigation_Industry!$E$366</f>
        <v>3.3464675036139224E-3</v>
      </c>
      <c r="AF68" s="141"/>
      <c r="AG68" s="141"/>
      <c r="AH68" s="141"/>
      <c r="AI68" s="141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8" t="str">
        <f>Settings!$B$3&amp;".mit.bp.frt.amc.np.1"</f>
        <v>egy.mit.bp.frt.amc.np.1</v>
      </c>
      <c r="K69" s="139"/>
      <c r="L69" s="142">
        <f>Mitigation_Industry!$E$367</f>
        <v>0</v>
      </c>
      <c r="M69" s="142">
        <f>Mitigation_Industry!$E$367</f>
        <v>0</v>
      </c>
      <c r="N69" s="142">
        <f>Mitigation_Industry!$E$367</f>
        <v>0</v>
      </c>
      <c r="O69" s="142">
        <f>Mitigation_Industry!$E$367</f>
        <v>0</v>
      </c>
      <c r="P69" s="142">
        <f>Mitigation_Industry!$E$367</f>
        <v>0</v>
      </c>
      <c r="Q69" s="142">
        <f>Mitigation_Industry!$E$367</f>
        <v>0</v>
      </c>
      <c r="R69" s="142">
        <f>Mitigation_Industry!$E$367</f>
        <v>0</v>
      </c>
      <c r="S69" s="142">
        <f>Mitigation_Industry!$E$367</f>
        <v>0</v>
      </c>
      <c r="T69" s="142">
        <f>Mitigation_Industry!$E$367</f>
        <v>0</v>
      </c>
      <c r="U69" s="142">
        <f>Mitigation_Industry!$E$367</f>
        <v>0</v>
      </c>
      <c r="V69" s="142">
        <f>Mitigation_Industry!$E$367</f>
        <v>0</v>
      </c>
      <c r="W69" s="142">
        <f>Mitigation_Industry!$E$367</f>
        <v>0</v>
      </c>
      <c r="X69" s="142">
        <f>Mitigation_Industry!$E$367</f>
        <v>0</v>
      </c>
      <c r="Y69" s="142">
        <f>Mitigation_Industry!$E$367</f>
        <v>0</v>
      </c>
      <c r="Z69" s="142">
        <f>Mitigation_Industry!$E$367</f>
        <v>0</v>
      </c>
      <c r="AA69" s="142">
        <f>Mitigation_Industry!$E$367</f>
        <v>0</v>
      </c>
      <c r="AB69" s="142">
        <f>Mitigation_Industry!$E$367</f>
        <v>0</v>
      </c>
      <c r="AC69" s="142">
        <f>Mitigation_Industry!$E$367</f>
        <v>0</v>
      </c>
      <c r="AD69" s="142">
        <f>Mitigation_Industry!$E$367</f>
        <v>0</v>
      </c>
      <c r="AE69" s="142">
        <f>Mitigation_Industry!$E$367</f>
        <v>0</v>
      </c>
      <c r="AF69" s="141"/>
      <c r="AG69" s="141"/>
      <c r="AH69" s="141"/>
      <c r="AI69" s="141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8" t="str">
        <f>Settings!$B$3&amp;".mit.bp.frt.ure.np.1"</f>
        <v>egy.mit.bp.frt.ure.np.1</v>
      </c>
      <c r="K70" s="139"/>
      <c r="L70" s="142">
        <f>Mitigation_Industry!$E$368</f>
        <v>0</v>
      </c>
      <c r="M70" s="142">
        <f>Mitigation_Industry!$E$368</f>
        <v>0</v>
      </c>
      <c r="N70" s="142">
        <f>Mitigation_Industry!$E$368</f>
        <v>0</v>
      </c>
      <c r="O70" s="142">
        <f>Mitigation_Industry!$E$368</f>
        <v>0</v>
      </c>
      <c r="P70" s="142">
        <f>Mitigation_Industry!$E$368</f>
        <v>0</v>
      </c>
      <c r="Q70" s="142">
        <f>Mitigation_Industry!$E$368</f>
        <v>0</v>
      </c>
      <c r="R70" s="142">
        <f>Mitigation_Industry!$E$368</f>
        <v>0</v>
      </c>
      <c r="S70" s="142">
        <f>Mitigation_Industry!$E$368</f>
        <v>0</v>
      </c>
      <c r="T70" s="142">
        <f>Mitigation_Industry!$E$368</f>
        <v>0</v>
      </c>
      <c r="U70" s="142">
        <f>Mitigation_Industry!$E$368</f>
        <v>0</v>
      </c>
      <c r="V70" s="142">
        <f>Mitigation_Industry!$E$368</f>
        <v>0</v>
      </c>
      <c r="W70" s="142">
        <f>Mitigation_Industry!$E$368</f>
        <v>0</v>
      </c>
      <c r="X70" s="142">
        <f>Mitigation_Industry!$E$368</f>
        <v>0</v>
      </c>
      <c r="Y70" s="142">
        <f>Mitigation_Industry!$E$368</f>
        <v>0</v>
      </c>
      <c r="Z70" s="142">
        <f>Mitigation_Industry!$E$368</f>
        <v>0</v>
      </c>
      <c r="AA70" s="142">
        <f>Mitigation_Industry!$E$368</f>
        <v>0</v>
      </c>
      <c r="AB70" s="142">
        <f>Mitigation_Industry!$E$368</f>
        <v>0</v>
      </c>
      <c r="AC70" s="142">
        <f>Mitigation_Industry!$E$368</f>
        <v>0</v>
      </c>
      <c r="AD70" s="142">
        <f>Mitigation_Industry!$E$368</f>
        <v>0</v>
      </c>
      <c r="AE70" s="142">
        <f>Mitigation_Industry!$E$368</f>
        <v>0</v>
      </c>
      <c r="AF70" s="141"/>
      <c r="AG70" s="141"/>
      <c r="AH70" s="141"/>
      <c r="AI70" s="141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8" t="str">
        <f>Settings!$B$3&amp;".mit.bp.frt.nit.np.1"</f>
        <v>egy.mit.bp.frt.nit.np.1</v>
      </c>
      <c r="K71" s="139"/>
      <c r="L71" s="142">
        <f>Mitigation_Industry!$E$369</f>
        <v>0</v>
      </c>
      <c r="M71" s="142">
        <f>Mitigation_Industry!$E$369</f>
        <v>0</v>
      </c>
      <c r="N71" s="142">
        <f>Mitigation_Industry!$E$369</f>
        <v>0</v>
      </c>
      <c r="O71" s="142">
        <f>Mitigation_Industry!$E$369</f>
        <v>0</v>
      </c>
      <c r="P71" s="142">
        <f>Mitigation_Industry!$E$369</f>
        <v>0</v>
      </c>
      <c r="Q71" s="142">
        <f>Mitigation_Industry!$E$369</f>
        <v>0</v>
      </c>
      <c r="R71" s="142">
        <f>Mitigation_Industry!$E$369</f>
        <v>0</v>
      </c>
      <c r="S71" s="142">
        <f>Mitigation_Industry!$E$369</f>
        <v>0</v>
      </c>
      <c r="T71" s="142">
        <f>Mitigation_Industry!$E$369</f>
        <v>0</v>
      </c>
      <c r="U71" s="142">
        <f>Mitigation_Industry!$E$369</f>
        <v>0</v>
      </c>
      <c r="V71" s="142">
        <f>Mitigation_Industry!$E$369</f>
        <v>0</v>
      </c>
      <c r="W71" s="142">
        <f>Mitigation_Industry!$E$369</f>
        <v>0</v>
      </c>
      <c r="X71" s="142">
        <f>Mitigation_Industry!$E$369</f>
        <v>0</v>
      </c>
      <c r="Y71" s="142">
        <f>Mitigation_Industry!$E$369</f>
        <v>0</v>
      </c>
      <c r="Z71" s="142">
        <f>Mitigation_Industry!$E$369</f>
        <v>0</v>
      </c>
      <c r="AA71" s="142">
        <f>Mitigation_Industry!$E$369</f>
        <v>0</v>
      </c>
      <c r="AB71" s="142">
        <f>Mitigation_Industry!$E$369</f>
        <v>0</v>
      </c>
      <c r="AC71" s="142">
        <f>Mitigation_Industry!$E$369</f>
        <v>0</v>
      </c>
      <c r="AD71" s="142">
        <f>Mitigation_Industry!$E$369</f>
        <v>0</v>
      </c>
      <c r="AE71" s="142">
        <f>Mitigation_Industry!$E$369</f>
        <v>0</v>
      </c>
      <c r="AF71" s="141"/>
      <c r="AG71" s="141"/>
      <c r="AH71" s="141"/>
      <c r="AI71" s="141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8" t="str">
        <f>Settings!$B$3&amp;".mit.bp.alu.prp.np.1"</f>
        <v>egy.mit.bp.alu.prp.np.1</v>
      </c>
      <c r="K72" s="139"/>
      <c r="L72" s="142">
        <f>Mitigation_Industry!$E$370</f>
        <v>1.9988245320635362E-3</v>
      </c>
      <c r="M72" s="142">
        <f>Mitigation_Industry!$E$370</f>
        <v>1.9988245320635362E-3</v>
      </c>
      <c r="N72" s="142">
        <f>Mitigation_Industry!$E$370</f>
        <v>1.9988245320635362E-3</v>
      </c>
      <c r="O72" s="142">
        <f>Mitigation_Industry!$E$370</f>
        <v>1.9988245320635362E-3</v>
      </c>
      <c r="P72" s="142">
        <f>Mitigation_Industry!$E$370</f>
        <v>1.9988245320635362E-3</v>
      </c>
      <c r="Q72" s="142">
        <f>Mitigation_Industry!$E$370</f>
        <v>1.9988245320635362E-3</v>
      </c>
      <c r="R72" s="142">
        <f>Mitigation_Industry!$E$370</f>
        <v>1.9988245320635362E-3</v>
      </c>
      <c r="S72" s="142">
        <f>Mitigation_Industry!$E$370</f>
        <v>1.9988245320635362E-3</v>
      </c>
      <c r="T72" s="142">
        <f>Mitigation_Industry!$E$370</f>
        <v>1.9988245320635362E-3</v>
      </c>
      <c r="U72" s="142">
        <f>Mitigation_Industry!$E$370</f>
        <v>1.9988245320635362E-3</v>
      </c>
      <c r="V72" s="142">
        <f>Mitigation_Industry!$E$370</f>
        <v>1.9988245320635362E-3</v>
      </c>
      <c r="W72" s="142">
        <f>Mitigation_Industry!$E$370</f>
        <v>1.9988245320635362E-3</v>
      </c>
      <c r="X72" s="142">
        <f>Mitigation_Industry!$E$370</f>
        <v>1.9988245320635362E-3</v>
      </c>
      <c r="Y72" s="142">
        <f>Mitigation_Industry!$E$370</f>
        <v>1.9988245320635362E-3</v>
      </c>
      <c r="Z72" s="142">
        <f>Mitigation_Industry!$E$370</f>
        <v>1.9988245320635362E-3</v>
      </c>
      <c r="AA72" s="142">
        <f>Mitigation_Industry!$E$370</f>
        <v>1.9988245320635362E-3</v>
      </c>
      <c r="AB72" s="142">
        <f>Mitigation_Industry!$E$370</f>
        <v>1.9988245320635362E-3</v>
      </c>
      <c r="AC72" s="142">
        <f>Mitigation_Industry!$E$370</f>
        <v>1.9988245320635362E-3</v>
      </c>
      <c r="AD72" s="142">
        <f>Mitigation_Industry!$E$370</f>
        <v>1.9988245320635362E-3</v>
      </c>
      <c r="AE72" s="142">
        <f>Mitigation_Industry!$E$370</f>
        <v>1.9988245320635362E-3</v>
      </c>
      <c r="AF72" s="141"/>
      <c r="AG72" s="141"/>
      <c r="AH72" s="141"/>
      <c r="AI72" s="141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8" t="str">
        <f>Settings!$B$3&amp;".mit.bp.stl.drg.no.1"</f>
        <v>egy.mit.bp.stl.drg.no.1</v>
      </c>
      <c r="K73" s="139"/>
      <c r="L73" s="142">
        <f>Mitigation_Industry!$G$363</f>
        <v>0</v>
      </c>
      <c r="M73" s="142">
        <f>Mitigation_Industry!$G$363</f>
        <v>0</v>
      </c>
      <c r="N73" s="142">
        <f>Mitigation_Industry!$G$363</f>
        <v>0</v>
      </c>
      <c r="O73" s="142">
        <f>Mitigation_Industry!$G$363</f>
        <v>0</v>
      </c>
      <c r="P73" s="142">
        <f>Mitigation_Industry!$G$363</f>
        <v>0</v>
      </c>
      <c r="Q73" s="142">
        <f>Mitigation_Industry!$G$363</f>
        <v>0</v>
      </c>
      <c r="R73" s="142">
        <f>Mitigation_Industry!$G$363</f>
        <v>0</v>
      </c>
      <c r="S73" s="142">
        <f>Mitigation_Industry!$G$363</f>
        <v>0</v>
      </c>
      <c r="T73" s="142">
        <f>Mitigation_Industry!$G$363</f>
        <v>0</v>
      </c>
      <c r="U73" s="142">
        <f>Mitigation_Industry!$G$363</f>
        <v>0</v>
      </c>
      <c r="V73" s="142">
        <f>Mitigation_Industry!$G$363</f>
        <v>0</v>
      </c>
      <c r="W73" s="142">
        <f>Mitigation_Industry!$G$363</f>
        <v>0</v>
      </c>
      <c r="X73" s="142">
        <f>Mitigation_Industry!$G$363</f>
        <v>0</v>
      </c>
      <c r="Y73" s="142">
        <f>Mitigation_Industry!$G$363</f>
        <v>0</v>
      </c>
      <c r="Z73" s="142">
        <f>Mitigation_Industry!$G$363</f>
        <v>0</v>
      </c>
      <c r="AA73" s="142">
        <f>Mitigation_Industry!$G$363</f>
        <v>0</v>
      </c>
      <c r="AB73" s="142">
        <f>Mitigation_Industry!$G$363</f>
        <v>0</v>
      </c>
      <c r="AC73" s="142">
        <f>Mitigation_Industry!$G$363</f>
        <v>0</v>
      </c>
      <c r="AD73" s="142">
        <f>Mitigation_Industry!$G$363</f>
        <v>0</v>
      </c>
      <c r="AE73" s="142">
        <f>Mitigation_Industry!$G$363</f>
        <v>0</v>
      </c>
      <c r="AF73" s="141"/>
      <c r="AG73" s="141"/>
      <c r="AH73" s="141"/>
      <c r="AI73" s="141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8" t="str">
        <f>Settings!$B$3&amp;".mit.bp.stl.scr.no.1"</f>
        <v>egy.mit.bp.stl.scr.no.1</v>
      </c>
      <c r="K74" s="139"/>
      <c r="L74" s="142">
        <f>Mitigation_Industry!$G$364</f>
        <v>0</v>
      </c>
      <c r="M74" s="142">
        <f>Mitigation_Industry!$G$364</f>
        <v>0</v>
      </c>
      <c r="N74" s="142">
        <f>Mitigation_Industry!$G$364</f>
        <v>0</v>
      </c>
      <c r="O74" s="142">
        <f>Mitigation_Industry!$G$364</f>
        <v>0</v>
      </c>
      <c r="P74" s="142">
        <f>Mitigation_Industry!$G$364</f>
        <v>0</v>
      </c>
      <c r="Q74" s="142">
        <f>Mitigation_Industry!$G$364</f>
        <v>0</v>
      </c>
      <c r="R74" s="142">
        <f>Mitigation_Industry!$G$364</f>
        <v>0</v>
      </c>
      <c r="S74" s="142">
        <f>Mitigation_Industry!$G$364</f>
        <v>0</v>
      </c>
      <c r="T74" s="142">
        <f>Mitigation_Industry!$G$364</f>
        <v>0</v>
      </c>
      <c r="U74" s="142">
        <f>Mitigation_Industry!$G$364</f>
        <v>0</v>
      </c>
      <c r="V74" s="142">
        <f>Mitigation_Industry!$G$364</f>
        <v>0</v>
      </c>
      <c r="W74" s="142">
        <f>Mitigation_Industry!$G$364</f>
        <v>0</v>
      </c>
      <c r="X74" s="142">
        <f>Mitigation_Industry!$G$364</f>
        <v>0</v>
      </c>
      <c r="Y74" s="142">
        <f>Mitigation_Industry!$G$364</f>
        <v>0</v>
      </c>
      <c r="Z74" s="142">
        <f>Mitigation_Industry!$G$364</f>
        <v>0</v>
      </c>
      <c r="AA74" s="142">
        <f>Mitigation_Industry!$G$364</f>
        <v>0</v>
      </c>
      <c r="AB74" s="142">
        <f>Mitigation_Industry!$G$364</f>
        <v>0</v>
      </c>
      <c r="AC74" s="142">
        <f>Mitigation_Industry!$G$364</f>
        <v>0</v>
      </c>
      <c r="AD74" s="142">
        <f>Mitigation_Industry!$G$364</f>
        <v>0</v>
      </c>
      <c r="AE74" s="142">
        <f>Mitigation_Industry!$G$364</f>
        <v>0</v>
      </c>
      <c r="AF74" s="141"/>
      <c r="AG74" s="141"/>
      <c r="AH74" s="141"/>
      <c r="AI74" s="141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8" t="str">
        <f>Settings!$B$3&amp;".mit.bp.stl.bof.no.1"</f>
        <v>egy.mit.bp.stl.bof.no.1</v>
      </c>
      <c r="K75" s="139"/>
      <c r="L75" s="142">
        <f>Mitigation_Industry!$G$365</f>
        <v>0</v>
      </c>
      <c r="M75" s="142">
        <f>Mitigation_Industry!$G$365</f>
        <v>0</v>
      </c>
      <c r="N75" s="142">
        <f>Mitigation_Industry!$G$365</f>
        <v>0</v>
      </c>
      <c r="O75" s="142">
        <f>Mitigation_Industry!$G$365</f>
        <v>0</v>
      </c>
      <c r="P75" s="142">
        <f>Mitigation_Industry!$G$365</f>
        <v>0</v>
      </c>
      <c r="Q75" s="142">
        <f>Mitigation_Industry!$G$365</f>
        <v>0</v>
      </c>
      <c r="R75" s="142">
        <f>Mitigation_Industry!$G$365</f>
        <v>0</v>
      </c>
      <c r="S75" s="142">
        <f>Mitigation_Industry!$G$365</f>
        <v>0</v>
      </c>
      <c r="T75" s="142">
        <f>Mitigation_Industry!$G$365</f>
        <v>0</v>
      </c>
      <c r="U75" s="142">
        <f>Mitigation_Industry!$G$365</f>
        <v>0</v>
      </c>
      <c r="V75" s="142">
        <f>Mitigation_Industry!$G$365</f>
        <v>0</v>
      </c>
      <c r="W75" s="142">
        <f>Mitigation_Industry!$G$365</f>
        <v>0</v>
      </c>
      <c r="X75" s="142">
        <f>Mitigation_Industry!$G$365</f>
        <v>0</v>
      </c>
      <c r="Y75" s="142">
        <f>Mitigation_Industry!$G$365</f>
        <v>0</v>
      </c>
      <c r="Z75" s="142">
        <f>Mitigation_Industry!$G$365</f>
        <v>0</v>
      </c>
      <c r="AA75" s="142">
        <f>Mitigation_Industry!$G$365</f>
        <v>0</v>
      </c>
      <c r="AB75" s="142">
        <f>Mitigation_Industry!$G$365</f>
        <v>0</v>
      </c>
      <c r="AC75" s="142">
        <f>Mitigation_Industry!$G$365</f>
        <v>0</v>
      </c>
      <c r="AD75" s="142">
        <f>Mitigation_Industry!$G$365</f>
        <v>0</v>
      </c>
      <c r="AE75" s="142">
        <f>Mitigation_Industry!$G$365</f>
        <v>0</v>
      </c>
      <c r="AF75" s="141"/>
      <c r="AG75" s="141"/>
      <c r="AH75" s="141"/>
      <c r="AI75" s="141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8" t="str">
        <f>Settings!$B$3&amp;".mit.bp.cmt.dry.no.1"</f>
        <v>egy.mit.bp.cmt.dry.no.1</v>
      </c>
      <c r="K76" s="139"/>
      <c r="L76" s="142">
        <f>Mitigation_Industry!$G$366</f>
        <v>0</v>
      </c>
      <c r="M76" s="142">
        <f>Mitigation_Industry!$G$366</f>
        <v>0</v>
      </c>
      <c r="N76" s="142">
        <f>Mitigation_Industry!$G$366</f>
        <v>0</v>
      </c>
      <c r="O76" s="142">
        <f>Mitigation_Industry!$G$366</f>
        <v>0</v>
      </c>
      <c r="P76" s="142">
        <f>Mitigation_Industry!$G$366</f>
        <v>0</v>
      </c>
      <c r="Q76" s="142">
        <f>Mitigation_Industry!$G$366</f>
        <v>0</v>
      </c>
      <c r="R76" s="142">
        <f>Mitigation_Industry!$G$366</f>
        <v>0</v>
      </c>
      <c r="S76" s="142">
        <f>Mitigation_Industry!$G$366</f>
        <v>0</v>
      </c>
      <c r="T76" s="142">
        <f>Mitigation_Industry!$G$366</f>
        <v>0</v>
      </c>
      <c r="U76" s="142">
        <f>Mitigation_Industry!$G$366</f>
        <v>0</v>
      </c>
      <c r="V76" s="142">
        <f>Mitigation_Industry!$G$366</f>
        <v>0</v>
      </c>
      <c r="W76" s="142">
        <f>Mitigation_Industry!$G$366</f>
        <v>0</v>
      </c>
      <c r="X76" s="142">
        <f>Mitigation_Industry!$G$366</f>
        <v>0</v>
      </c>
      <c r="Y76" s="142">
        <f>Mitigation_Industry!$G$366</f>
        <v>0</v>
      </c>
      <c r="Z76" s="142">
        <f>Mitigation_Industry!$G$366</f>
        <v>0</v>
      </c>
      <c r="AA76" s="142">
        <f>Mitigation_Industry!$G$366</f>
        <v>0</v>
      </c>
      <c r="AB76" s="142">
        <f>Mitigation_Industry!$G$366</f>
        <v>0</v>
      </c>
      <c r="AC76" s="142">
        <f>Mitigation_Industry!$G$366</f>
        <v>0</v>
      </c>
      <c r="AD76" s="142">
        <f>Mitigation_Industry!$G$366</f>
        <v>0</v>
      </c>
      <c r="AE76" s="142">
        <f>Mitigation_Industry!$G$366</f>
        <v>0</v>
      </c>
      <c r="AF76" s="141"/>
      <c r="AG76" s="141"/>
      <c r="AH76" s="141"/>
      <c r="AI76" s="141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8" t="str">
        <f>Settings!$B$3&amp;".mit.bp.frt.amc.no.1"</f>
        <v>egy.mit.bp.frt.amc.no.1</v>
      </c>
      <c r="K77" s="139"/>
      <c r="L77" s="142">
        <f>Mitigation_Industry!$G$367</f>
        <v>0</v>
      </c>
      <c r="M77" s="142">
        <f>Mitigation_Industry!$G$367</f>
        <v>0</v>
      </c>
      <c r="N77" s="142">
        <f>Mitigation_Industry!$G$367</f>
        <v>0</v>
      </c>
      <c r="O77" s="142">
        <f>Mitigation_Industry!$G$367</f>
        <v>0</v>
      </c>
      <c r="P77" s="142">
        <f>Mitigation_Industry!$G$367</f>
        <v>0</v>
      </c>
      <c r="Q77" s="142">
        <f>Mitigation_Industry!$G$367</f>
        <v>0</v>
      </c>
      <c r="R77" s="142">
        <f>Mitigation_Industry!$G$367</f>
        <v>0</v>
      </c>
      <c r="S77" s="142">
        <f>Mitigation_Industry!$G$367</f>
        <v>0</v>
      </c>
      <c r="T77" s="142">
        <f>Mitigation_Industry!$G$367</f>
        <v>0</v>
      </c>
      <c r="U77" s="142">
        <f>Mitigation_Industry!$G$367</f>
        <v>0</v>
      </c>
      <c r="V77" s="142">
        <f>Mitigation_Industry!$G$367</f>
        <v>0</v>
      </c>
      <c r="W77" s="142">
        <f>Mitigation_Industry!$G$367</f>
        <v>0</v>
      </c>
      <c r="X77" s="142">
        <f>Mitigation_Industry!$G$367</f>
        <v>0</v>
      </c>
      <c r="Y77" s="142">
        <f>Mitigation_Industry!$G$367</f>
        <v>0</v>
      </c>
      <c r="Z77" s="142">
        <f>Mitigation_Industry!$G$367</f>
        <v>0</v>
      </c>
      <c r="AA77" s="142">
        <f>Mitigation_Industry!$G$367</f>
        <v>0</v>
      </c>
      <c r="AB77" s="142">
        <f>Mitigation_Industry!$G$367</f>
        <v>0</v>
      </c>
      <c r="AC77" s="142">
        <f>Mitigation_Industry!$G$367</f>
        <v>0</v>
      </c>
      <c r="AD77" s="142">
        <f>Mitigation_Industry!$G$367</f>
        <v>0</v>
      </c>
      <c r="AE77" s="142">
        <f>Mitigation_Industry!$G$367</f>
        <v>0</v>
      </c>
      <c r="AF77" s="141"/>
      <c r="AG77" s="141"/>
      <c r="AH77" s="141"/>
      <c r="AI77" s="141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8" t="str">
        <f>Settings!$B$3&amp;".mit.bp.frt.ure.no.1"</f>
        <v>egy.mit.bp.frt.ure.no.1</v>
      </c>
      <c r="K78" s="139"/>
      <c r="L78" s="142">
        <f>Mitigation_Industry!$G$368</f>
        <v>0</v>
      </c>
      <c r="M78" s="142">
        <f>Mitigation_Industry!$G$368</f>
        <v>0</v>
      </c>
      <c r="N78" s="142">
        <f>Mitigation_Industry!$G$368</f>
        <v>0</v>
      </c>
      <c r="O78" s="142">
        <f>Mitigation_Industry!$G$368</f>
        <v>0</v>
      </c>
      <c r="P78" s="142">
        <f>Mitigation_Industry!$G$368</f>
        <v>0</v>
      </c>
      <c r="Q78" s="142">
        <f>Mitigation_Industry!$G$368</f>
        <v>0</v>
      </c>
      <c r="R78" s="142">
        <f>Mitigation_Industry!$G$368</f>
        <v>0</v>
      </c>
      <c r="S78" s="142">
        <f>Mitigation_Industry!$G$368</f>
        <v>0</v>
      </c>
      <c r="T78" s="142">
        <f>Mitigation_Industry!$G$368</f>
        <v>0</v>
      </c>
      <c r="U78" s="142">
        <f>Mitigation_Industry!$G$368</f>
        <v>0</v>
      </c>
      <c r="V78" s="142">
        <f>Mitigation_Industry!$G$368</f>
        <v>0</v>
      </c>
      <c r="W78" s="142">
        <f>Mitigation_Industry!$G$368</f>
        <v>0</v>
      </c>
      <c r="X78" s="142">
        <f>Mitigation_Industry!$G$368</f>
        <v>0</v>
      </c>
      <c r="Y78" s="142">
        <f>Mitigation_Industry!$G$368</f>
        <v>0</v>
      </c>
      <c r="Z78" s="142">
        <f>Mitigation_Industry!$G$368</f>
        <v>0</v>
      </c>
      <c r="AA78" s="142">
        <f>Mitigation_Industry!$G$368</f>
        <v>0</v>
      </c>
      <c r="AB78" s="142">
        <f>Mitigation_Industry!$G$368</f>
        <v>0</v>
      </c>
      <c r="AC78" s="142">
        <f>Mitigation_Industry!$G$368</f>
        <v>0</v>
      </c>
      <c r="AD78" s="142">
        <f>Mitigation_Industry!$G$368</f>
        <v>0</v>
      </c>
      <c r="AE78" s="142">
        <f>Mitigation_Industry!$G$368</f>
        <v>0</v>
      </c>
      <c r="AF78" s="141"/>
      <c r="AG78" s="141"/>
      <c r="AH78" s="141"/>
      <c r="AI78" s="141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8" t="str">
        <f>Settings!$B$3&amp;".mit.bp.frt.nit.no.1"</f>
        <v>egy.mit.bp.frt.nit.no.1</v>
      </c>
      <c r="K79" s="139"/>
      <c r="L79" s="142">
        <f>Mitigation_Industry!$G$369</f>
        <v>7.8858436436826454E-3</v>
      </c>
      <c r="M79" s="142">
        <f>Mitigation_Industry!$G$369</f>
        <v>7.8858436436826454E-3</v>
      </c>
      <c r="N79" s="142">
        <f>Mitigation_Industry!$G$369</f>
        <v>7.8858436436826454E-3</v>
      </c>
      <c r="O79" s="142">
        <f>Mitigation_Industry!$G$369</f>
        <v>7.8858436436826454E-3</v>
      </c>
      <c r="P79" s="142">
        <f>Mitigation_Industry!$G$369</f>
        <v>7.8858436436826454E-3</v>
      </c>
      <c r="Q79" s="142">
        <f>Mitigation_Industry!$G$369</f>
        <v>7.8858436436826454E-3</v>
      </c>
      <c r="R79" s="142">
        <f>Mitigation_Industry!$G$369</f>
        <v>7.8858436436826454E-3</v>
      </c>
      <c r="S79" s="142">
        <f>Mitigation_Industry!$G$369</f>
        <v>7.8858436436826454E-3</v>
      </c>
      <c r="T79" s="142">
        <f>Mitigation_Industry!$G$369</f>
        <v>7.8858436436826454E-3</v>
      </c>
      <c r="U79" s="142">
        <f>Mitigation_Industry!$G$369</f>
        <v>7.8858436436826454E-3</v>
      </c>
      <c r="V79" s="142">
        <f>Mitigation_Industry!$G$369</f>
        <v>7.8858436436826454E-3</v>
      </c>
      <c r="W79" s="142">
        <f>Mitigation_Industry!$G$369</f>
        <v>7.8858436436826454E-3</v>
      </c>
      <c r="X79" s="142">
        <f>Mitigation_Industry!$G$369</f>
        <v>7.8858436436826454E-3</v>
      </c>
      <c r="Y79" s="142">
        <f>Mitigation_Industry!$G$369</f>
        <v>7.8858436436826454E-3</v>
      </c>
      <c r="Z79" s="142">
        <f>Mitigation_Industry!$G$369</f>
        <v>7.8858436436826454E-3</v>
      </c>
      <c r="AA79" s="142">
        <f>Mitigation_Industry!$G$369</f>
        <v>7.8858436436826454E-3</v>
      </c>
      <c r="AB79" s="142">
        <f>Mitigation_Industry!$G$369</f>
        <v>7.8858436436826454E-3</v>
      </c>
      <c r="AC79" s="142">
        <f>Mitigation_Industry!$G$369</f>
        <v>7.8858436436826454E-3</v>
      </c>
      <c r="AD79" s="142">
        <f>Mitigation_Industry!$G$369</f>
        <v>7.8858436436826454E-3</v>
      </c>
      <c r="AE79" s="142">
        <f>Mitigation_Industry!$G$369</f>
        <v>7.8858436436826454E-3</v>
      </c>
      <c r="AF79" s="141"/>
      <c r="AG79" s="141"/>
      <c r="AH79" s="141"/>
      <c r="AI79" s="141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8" t="str">
        <f>Settings!$B$3&amp;".mit.bp.alu.prp.no.1"</f>
        <v>egy.mit.bp.alu.prp.no.1</v>
      </c>
      <c r="K80" s="139"/>
      <c r="L80" s="142">
        <f>Mitigation_Industry!$G$370</f>
        <v>1.9988245320635362E-3</v>
      </c>
      <c r="M80" s="142">
        <f>Mitigation_Industry!$G$370</f>
        <v>1.9988245320635362E-3</v>
      </c>
      <c r="N80" s="142">
        <f>Mitigation_Industry!$G$370</f>
        <v>1.9988245320635362E-3</v>
      </c>
      <c r="O80" s="142">
        <f>Mitigation_Industry!$G$370</f>
        <v>1.9988245320635362E-3</v>
      </c>
      <c r="P80" s="142">
        <f>Mitigation_Industry!$G$370</f>
        <v>1.9988245320635362E-3</v>
      </c>
      <c r="Q80" s="142">
        <f>Mitigation_Industry!$G$370</f>
        <v>1.9988245320635362E-3</v>
      </c>
      <c r="R80" s="142">
        <f>Mitigation_Industry!$G$370</f>
        <v>1.9988245320635362E-3</v>
      </c>
      <c r="S80" s="142">
        <f>Mitigation_Industry!$G$370</f>
        <v>1.9988245320635362E-3</v>
      </c>
      <c r="T80" s="142">
        <f>Mitigation_Industry!$G$370</f>
        <v>1.9988245320635362E-3</v>
      </c>
      <c r="U80" s="142">
        <f>Mitigation_Industry!$G$370</f>
        <v>1.9988245320635362E-3</v>
      </c>
      <c r="V80" s="142">
        <f>Mitigation_Industry!$G$370</f>
        <v>1.9988245320635362E-3</v>
      </c>
      <c r="W80" s="142">
        <f>Mitigation_Industry!$G$370</f>
        <v>1.9988245320635362E-3</v>
      </c>
      <c r="X80" s="142">
        <f>Mitigation_Industry!$G$370</f>
        <v>1.9988245320635362E-3</v>
      </c>
      <c r="Y80" s="142">
        <f>Mitigation_Industry!$G$370</f>
        <v>1.9988245320635362E-3</v>
      </c>
      <c r="Z80" s="142">
        <f>Mitigation_Industry!$G$370</f>
        <v>1.9988245320635362E-3</v>
      </c>
      <c r="AA80" s="142">
        <f>Mitigation_Industry!$G$370</f>
        <v>1.9988245320635362E-3</v>
      </c>
      <c r="AB80" s="142">
        <f>Mitigation_Industry!$G$370</f>
        <v>1.9988245320635362E-3</v>
      </c>
      <c r="AC80" s="142">
        <f>Mitigation_Industry!$G$370</f>
        <v>1.9988245320635362E-3</v>
      </c>
      <c r="AD80" s="142">
        <f>Mitigation_Industry!$G$370</f>
        <v>1.9988245320635362E-3</v>
      </c>
      <c r="AE80" s="142">
        <f>Mitigation_Industry!$G$370</f>
        <v>1.9988245320635362E-3</v>
      </c>
      <c r="AF80" s="141"/>
      <c r="AG80" s="141"/>
      <c r="AH80" s="141"/>
      <c r="AI80" s="141"/>
    </row>
    <row r="81" spans="1:35" x14ac:dyDescent="0.35"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7">
        <v>2021</v>
      </c>
      <c r="L82" s="138">
        <v>2022</v>
      </c>
      <c r="M82" s="137">
        <v>2023</v>
      </c>
      <c r="N82" s="137">
        <v>2024</v>
      </c>
      <c r="O82" s="137">
        <v>2025</v>
      </c>
      <c r="P82" s="137">
        <v>2026</v>
      </c>
      <c r="Q82" s="137">
        <v>2027</v>
      </c>
      <c r="R82" s="137">
        <v>2028</v>
      </c>
      <c r="S82" s="137">
        <v>2029</v>
      </c>
      <c r="T82" s="137">
        <v>2030</v>
      </c>
      <c r="U82" s="137">
        <v>2031</v>
      </c>
      <c r="V82" s="137">
        <v>2032</v>
      </c>
      <c r="W82" s="137">
        <v>2033</v>
      </c>
      <c r="X82" s="137">
        <v>2034</v>
      </c>
      <c r="Y82" s="137">
        <v>2035</v>
      </c>
      <c r="Z82" s="137">
        <v>2036</v>
      </c>
      <c r="AA82" s="137">
        <v>2037</v>
      </c>
      <c r="AB82" s="137">
        <v>2038</v>
      </c>
      <c r="AC82" s="137">
        <v>2039</v>
      </c>
      <c r="AD82" s="137">
        <v>2040</v>
      </c>
      <c r="AE82" s="137">
        <v>2041</v>
      </c>
      <c r="AF82" s="137">
        <v>2042</v>
      </c>
      <c r="AG82" s="137">
        <v>2043</v>
      </c>
      <c r="AH82" s="137">
        <v>2044</v>
      </c>
      <c r="AI82" s="137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8" t="str">
        <f>Settings!$B$3&amp;".mit.wm.stl.drg.np.1"</f>
        <v>egy.mit.wm.stl.drg.np.1</v>
      </c>
      <c r="I83" t="s">
        <v>2639</v>
      </c>
      <c r="K83" s="139"/>
      <c r="L83" s="140">
        <f>Mitigation_Industry!L$276*Mitigation_Industry!$J$273*MAX(Mitigation_Industry!$J$264,0)*Mitigation_Industry!$F$363/1000</f>
        <v>0.17734546065090059</v>
      </c>
      <c r="M83" s="140">
        <f>Mitigation_Industry!M$276*Mitigation_Industry!$J$273*MAX(Mitigation_Industry!$J$264,0)*Mitigation_Industry!$F$363/1000</f>
        <v>0.18514866091954021</v>
      </c>
      <c r="N83" s="140">
        <f>Mitigation_Industry!N$276*Mitigation_Industry!$J$273*MAX(Mitigation_Industry!$J$264,0)*Mitigation_Industry!$F$363/1000</f>
        <v>0.193295202</v>
      </c>
      <c r="O83" s="140">
        <f>Mitigation_Industry!O$276*Mitigation_Industry!$J$273*MAX(Mitigation_Industry!$J$264,0)*Mitigation_Industry!$F$363/1000</f>
        <v>0.20180019088800003</v>
      </c>
      <c r="P83" s="140">
        <f>Mitigation_Industry!P$276*Mitigation_Industry!$J$273*MAX(Mitigation_Industry!$J$264,0)*Mitigation_Industry!$F$363/1000</f>
        <v>0.21067939928707202</v>
      </c>
      <c r="Q83" s="140">
        <f>Mitigation_Industry!Q$276*Mitigation_Industry!$J$273*MAX(Mitigation_Industry!$J$264,0)*Mitigation_Industry!$F$363/1000</f>
        <v>0.21994929285570322</v>
      </c>
      <c r="R83" s="140">
        <f>Mitigation_Industry!R$276*Mitigation_Industry!$J$273*MAX(Mitigation_Industry!$J$264,0)*Mitigation_Industry!$F$363/1000</f>
        <v>0.22962706174135414</v>
      </c>
      <c r="S83" s="140">
        <f>Mitigation_Industry!S$276*Mitigation_Industry!$J$273*MAX(Mitigation_Industry!$J$264,0)*Mitigation_Industry!$F$363/1000</f>
        <v>0.2397306524579737</v>
      </c>
      <c r="T83" s="140">
        <f>Mitigation_Industry!T$276*Mitigation_Industry!$J$273*MAX(Mitigation_Industry!$J$264,0)*Mitigation_Industry!$F$363/1000</f>
        <v>0.25027880116612461</v>
      </c>
      <c r="U83" s="140">
        <f>Mitigation_Industry!U$276*Mitigation_Industry!$J$273*MAX(Mitigation_Industry!$J$264,0)*Mitigation_Industry!$F$363/1000</f>
        <v>0.2612910684174341</v>
      </c>
      <c r="V83" s="140">
        <f>Mitigation_Industry!V$276*Mitigation_Industry!$J$273*MAX(Mitigation_Industry!$J$264,0)*Mitigation_Industry!$F$363/1000</f>
        <v>0.27278787542780114</v>
      </c>
      <c r="W83" s="140">
        <f>Mitigation_Industry!W$276*Mitigation_Industry!$J$273*MAX(Mitigation_Industry!$J$264,0)*Mitigation_Industry!$F$363/1000</f>
        <v>0.28479054194662445</v>
      </c>
      <c r="X83" s="140">
        <f>Mitigation_Industry!X$276*Mitigation_Industry!$J$273*MAX(Mitigation_Industry!$J$264,0)*Mitigation_Industry!$F$363/1000</f>
        <v>0.29732132579227588</v>
      </c>
      <c r="Y83" s="140">
        <f>Mitigation_Industry!Y$276*Mitigation_Industry!$J$273*MAX(Mitigation_Industry!$J$264,0)*Mitigation_Industry!$F$363/1000</f>
        <v>0.3104034641271361</v>
      </c>
      <c r="Z83" s="140">
        <f>Mitigation_Industry!Z$276*Mitigation_Industry!$J$273*MAX(Mitigation_Industry!$J$264,0)*Mitigation_Industry!$F$363/1000</f>
        <v>0.32406121654872999</v>
      </c>
      <c r="AA83" s="140">
        <f>Mitigation_Industry!AA$276*Mitigation_Industry!$J$273*MAX(Mitigation_Industry!$J$264,0)*Mitigation_Industry!$F$363/1000</f>
        <v>0.33831991007687412</v>
      </c>
      <c r="AB83" s="140">
        <f>Mitigation_Industry!AB$276*Mitigation_Industry!$J$273*MAX(Mitigation_Industry!$J$264,0)*Mitigation_Industry!$F$363/1000</f>
        <v>0.35320598612025667</v>
      </c>
      <c r="AC83" s="140">
        <f>Mitigation_Industry!AC$276*Mitigation_Industry!$J$273*MAX(Mitigation_Industry!$J$264,0)*Mitigation_Industry!$F$363/1000</f>
        <v>0.36874704950954795</v>
      </c>
      <c r="AD83" s="140">
        <f>Mitigation_Industry!AD$276*Mitigation_Industry!$J$273*MAX(Mitigation_Industry!$J$264,0)*Mitigation_Industry!$F$363/1000</f>
        <v>0.38497191968796801</v>
      </c>
      <c r="AE83" s="140">
        <f>Mitigation_Industry!AE$276*Mitigation_Industry!$J$273*MAX(Mitigation_Industry!$J$264,0)*Mitigation_Industry!$F$363/1000</f>
        <v>0.40191068415423858</v>
      </c>
      <c r="AF83" s="141"/>
      <c r="AG83" s="141"/>
      <c r="AH83" s="141"/>
      <c r="AI83" s="141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8" t="str">
        <f>Settings!$B$3&amp;".mit.wm.stl.scr.np.1"</f>
        <v>egy.mit.wm.stl.scr.np.1</v>
      </c>
      <c r="K84" s="139"/>
      <c r="L84" s="140">
        <f>Mitigation_Industry!L$277*Mitigation_Industry!$J$273*MAX(Mitigation_Industry!$J$265,0)*Mitigation_Industry!$F$364/1000</f>
        <v>0.19368983132954593</v>
      </c>
      <c r="M84" s="140">
        <f>Mitigation_Industry!M$277*Mitigation_Industry!$J$273*MAX(Mitigation_Industry!$J$265,0)*Mitigation_Industry!$F$364/1000</f>
        <v>0.20221218390804596</v>
      </c>
      <c r="N84" s="140">
        <f>Mitigation_Industry!N$277*Mitigation_Industry!$J$273*MAX(Mitigation_Industry!$J$265,0)*Mitigation_Industry!$F$364/1000</f>
        <v>0.21110951999999997</v>
      </c>
      <c r="O84" s="140">
        <f>Mitigation_Industry!O$277*Mitigation_Industry!$J$273*MAX(Mitigation_Industry!$J$265,0)*Mitigation_Industry!$F$364/1000</f>
        <v>0.22039833887999999</v>
      </c>
      <c r="P84" s="140">
        <f>Mitigation_Industry!P$277*Mitigation_Industry!$J$273*MAX(Mitigation_Industry!$J$265,0)*Mitigation_Industry!$F$364/1000</f>
        <v>0.23009586579071997</v>
      </c>
      <c r="Q84" s="140">
        <f>Mitigation_Industry!Q$277*Mitigation_Industry!$J$273*MAX(Mitigation_Industry!$J$265,0)*Mitigation_Industry!$F$364/1000</f>
        <v>0.24022008388551169</v>
      </c>
      <c r="R84" s="140">
        <f>Mitigation_Industry!R$277*Mitigation_Industry!$J$273*MAX(Mitigation_Industry!$J$265,0)*Mitigation_Industry!$F$364/1000</f>
        <v>0.25078976757647414</v>
      </c>
      <c r="S84" s="140">
        <f>Mitigation_Industry!S$277*Mitigation_Industry!$J$273*MAX(Mitigation_Industry!$J$265,0)*Mitigation_Industry!$F$364/1000</f>
        <v>0.26182451734983908</v>
      </c>
      <c r="T84" s="140">
        <f>Mitigation_Industry!T$277*Mitigation_Industry!$J$273*MAX(Mitigation_Industry!$J$265,0)*Mitigation_Industry!$F$364/1000</f>
        <v>0.27334479611323198</v>
      </c>
      <c r="U84" s="140">
        <f>Mitigation_Industry!U$277*Mitigation_Industry!$J$273*MAX(Mitigation_Industry!$J$265,0)*Mitigation_Industry!$F$364/1000</f>
        <v>0.28537196714221424</v>
      </c>
      <c r="V84" s="140">
        <f>Mitigation_Industry!V$277*Mitigation_Industry!$J$273*MAX(Mitigation_Industry!$J$265,0)*Mitigation_Industry!$F$364/1000</f>
        <v>0.29792833369647159</v>
      </c>
      <c r="W84" s="140">
        <f>Mitigation_Industry!W$277*Mitigation_Industry!$J$273*MAX(Mitigation_Industry!$J$265,0)*Mitigation_Industry!$F$364/1000</f>
        <v>0.31103718037911643</v>
      </c>
      <c r="X84" s="140">
        <f>Mitigation_Industry!X$277*Mitigation_Industry!$J$273*MAX(Mitigation_Industry!$J$265,0)*Mitigation_Industry!$F$364/1000</f>
        <v>0.32472281631579752</v>
      </c>
      <c r="Y84" s="140">
        <f>Mitigation_Industry!Y$277*Mitigation_Industry!$J$273*MAX(Mitigation_Industry!$J$265,0)*Mitigation_Industry!$F$364/1000</f>
        <v>0.33901062023369266</v>
      </c>
      <c r="Z84" s="140">
        <f>Mitigation_Industry!Z$277*Mitigation_Industry!$J$273*MAX(Mitigation_Industry!$J$265,0)*Mitigation_Industry!$F$364/1000</f>
        <v>0.35392708752397511</v>
      </c>
      <c r="AA84" s="140">
        <f>Mitigation_Industry!AA$277*Mitigation_Industry!$J$273*MAX(Mitigation_Industry!$J$265,0)*Mitigation_Industry!$F$364/1000</f>
        <v>0.36949987937502998</v>
      </c>
      <c r="AB84" s="140">
        <f>Mitigation_Industry!AB$277*Mitigation_Industry!$J$273*MAX(Mitigation_Industry!$J$265,0)*Mitigation_Industry!$F$364/1000</f>
        <v>0.38575787406753137</v>
      </c>
      <c r="AC84" s="140">
        <f>Mitigation_Industry!AC$277*Mitigation_Industry!$J$273*MAX(Mitigation_Industry!$J$265,0)*Mitigation_Industry!$F$364/1000</f>
        <v>0.40273122052650273</v>
      </c>
      <c r="AD84" s="140">
        <f>Mitigation_Industry!AD$277*Mitigation_Industry!$J$273*MAX(Mitigation_Industry!$J$265,0)*Mitigation_Industry!$F$364/1000</f>
        <v>0.42045139422966882</v>
      </c>
      <c r="AE84" s="140">
        <f>Mitigation_Industry!AE$277*Mitigation_Industry!$J$273*MAX(Mitigation_Industry!$J$265,0)*Mitigation_Industry!$F$364/1000</f>
        <v>0.43895125557577425</v>
      </c>
      <c r="AF84" s="141"/>
      <c r="AG84" s="141"/>
      <c r="AH84" s="141"/>
      <c r="AI84" s="141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8" t="str">
        <f>Settings!$B$3&amp;".mit.wm.stl.bof.np.1"</f>
        <v>egy.mit.wm.stl.bof.np.1</v>
      </c>
      <c r="K85" s="139"/>
      <c r="L85" s="140">
        <f>Mitigation_Industry!L$278*Mitigation_Industry!$J$273*MAX(Mitigation_Industry!$J$266,0)*Mitigation_Industry!$F$365/1000</f>
        <v>0</v>
      </c>
      <c r="M85" s="140">
        <f>Mitigation_Industry!M$278*Mitigation_Industry!$J$273*MAX(Mitigation_Industry!$J$266,0)*Mitigation_Industry!$F$365/1000</f>
        <v>0</v>
      </c>
      <c r="N85" s="140">
        <f>Mitigation_Industry!N$278*Mitigation_Industry!$J$273*MAX(Mitigation_Industry!$J$266,0)*Mitigation_Industry!$F$365/1000</f>
        <v>0</v>
      </c>
      <c r="O85" s="140">
        <f>Mitigation_Industry!O$278*Mitigation_Industry!$J$273*MAX(Mitigation_Industry!$J$266,0)*Mitigation_Industry!$F$365/1000</f>
        <v>0</v>
      </c>
      <c r="P85" s="140">
        <f>Mitigation_Industry!P$278*Mitigation_Industry!$J$273*MAX(Mitigation_Industry!$J$266,0)*Mitigation_Industry!$F$365/1000</f>
        <v>0</v>
      </c>
      <c r="Q85" s="140">
        <f>Mitigation_Industry!Q$278*Mitigation_Industry!$J$273*MAX(Mitigation_Industry!$J$266,0)*Mitigation_Industry!$F$365/1000</f>
        <v>0</v>
      </c>
      <c r="R85" s="140">
        <f>Mitigation_Industry!R$278*Mitigation_Industry!$J$273*MAX(Mitigation_Industry!$J$266,0)*Mitigation_Industry!$F$365/1000</f>
        <v>0</v>
      </c>
      <c r="S85" s="140">
        <f>Mitigation_Industry!S$278*Mitigation_Industry!$J$273*MAX(Mitigation_Industry!$J$266,0)*Mitigation_Industry!$F$365/1000</f>
        <v>0</v>
      </c>
      <c r="T85" s="140">
        <f>Mitigation_Industry!T$278*Mitigation_Industry!$J$273*MAX(Mitigation_Industry!$J$266,0)*Mitigation_Industry!$F$365/1000</f>
        <v>0</v>
      </c>
      <c r="U85" s="140">
        <f>Mitigation_Industry!U$278*Mitigation_Industry!$J$273*MAX(Mitigation_Industry!$J$266,0)*Mitigation_Industry!$F$365/1000</f>
        <v>0</v>
      </c>
      <c r="V85" s="140">
        <f>Mitigation_Industry!V$278*Mitigation_Industry!$J$273*MAX(Mitigation_Industry!$J$266,0)*Mitigation_Industry!$F$365/1000</f>
        <v>0</v>
      </c>
      <c r="W85" s="140">
        <f>Mitigation_Industry!W$278*Mitigation_Industry!$J$273*MAX(Mitigation_Industry!$J$266,0)*Mitigation_Industry!$F$365/1000</f>
        <v>0</v>
      </c>
      <c r="X85" s="140">
        <f>Mitigation_Industry!X$278*Mitigation_Industry!$J$273*MAX(Mitigation_Industry!$J$266,0)*Mitigation_Industry!$F$365/1000</f>
        <v>0</v>
      </c>
      <c r="Y85" s="140">
        <f>Mitigation_Industry!Y$278*Mitigation_Industry!$J$273*MAX(Mitigation_Industry!$J$266,0)*Mitigation_Industry!$F$365/1000</f>
        <v>0</v>
      </c>
      <c r="Z85" s="140">
        <f>Mitigation_Industry!Z$278*Mitigation_Industry!$J$273*MAX(Mitigation_Industry!$J$266,0)*Mitigation_Industry!$F$365/1000</f>
        <v>0</v>
      </c>
      <c r="AA85" s="140">
        <f>Mitigation_Industry!AA$278*Mitigation_Industry!$J$273*MAX(Mitigation_Industry!$J$266,0)*Mitigation_Industry!$F$365/1000</f>
        <v>0</v>
      </c>
      <c r="AB85" s="140">
        <f>Mitigation_Industry!AB$278*Mitigation_Industry!$J$273*MAX(Mitigation_Industry!$J$266,0)*Mitigation_Industry!$F$365/1000</f>
        <v>0</v>
      </c>
      <c r="AC85" s="140">
        <f>Mitigation_Industry!AC$278*Mitigation_Industry!$J$273*MAX(Mitigation_Industry!$J$266,0)*Mitigation_Industry!$F$365/1000</f>
        <v>0</v>
      </c>
      <c r="AD85" s="140">
        <f>Mitigation_Industry!AD$278*Mitigation_Industry!$J$273*MAX(Mitigation_Industry!$J$266,0)*Mitigation_Industry!$F$365/1000</f>
        <v>0</v>
      </c>
      <c r="AE85" s="140">
        <f>Mitigation_Industry!AE$278*Mitigation_Industry!$J$273*MAX(Mitigation_Industry!$J$266,0)*Mitigation_Industry!$F$365/1000</f>
        <v>0</v>
      </c>
      <c r="AF85" s="141"/>
      <c r="AG85" s="141"/>
      <c r="AH85" s="141"/>
      <c r="AI85" s="141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8" t="str">
        <f>Settings!$B$3&amp;".mit.wm.cmt.dry.np.1"</f>
        <v>egy.mit.wm.cmt.dry.np.1</v>
      </c>
      <c r="K86" s="139"/>
      <c r="L86" s="140">
        <f>Mitigation_Industry!L$279*Mitigation_Industry!$J$273*MAX(Mitigation_Industry!$J$267,0)*Mitigation_Industry!$F$366/1000</f>
        <v>25.163138219961041</v>
      </c>
      <c r="M86" s="140">
        <f>Mitigation_Industry!M$279*Mitigation_Industry!$J$273*MAX(Mitigation_Industry!$J$267,0)*Mitigation_Industry!$F$366/1000</f>
        <v>25.993521781219755</v>
      </c>
      <c r="N86" s="140">
        <f>Mitigation_Industry!N$279*Mitigation_Industry!$J$273*MAX(Mitigation_Industry!$J$267,0)*Mitigation_Industry!$F$366/1000</f>
        <v>26.851308</v>
      </c>
      <c r="O86" s="140">
        <f>Mitigation_Industry!O$279*Mitigation_Industry!$J$273*MAX(Mitigation_Industry!$J$267,0)*Mitigation_Industry!$F$366/1000</f>
        <v>27.737401163999998</v>
      </c>
      <c r="P86" s="140">
        <f>Mitigation_Industry!P$279*Mitigation_Industry!$J$273*MAX(Mitigation_Industry!$J$267,0)*Mitigation_Industry!$F$366/1000</f>
        <v>28.652735402411995</v>
      </c>
      <c r="Q86" s="140">
        <f>Mitigation_Industry!Q$279*Mitigation_Industry!$J$273*MAX(Mitigation_Industry!$J$267,0)*Mitigation_Industry!$F$366/1000</f>
        <v>29.598275670691589</v>
      </c>
      <c r="R86" s="140">
        <f>Mitigation_Industry!R$279*Mitigation_Industry!$J$273*MAX(Mitigation_Industry!$J$267,0)*Mitigation_Industry!$F$366/1000</f>
        <v>30.575018767824407</v>
      </c>
      <c r="S86" s="140">
        <f>Mitigation_Industry!S$279*Mitigation_Industry!$J$273*MAX(Mitigation_Industry!$J$267,0)*Mitigation_Industry!$F$366/1000</f>
        <v>31.583994387162612</v>
      </c>
      <c r="T86" s="140">
        <f>Mitigation_Industry!T$279*Mitigation_Industry!$J$273*MAX(Mitigation_Industry!$J$267,0)*Mitigation_Industry!$F$366/1000</f>
        <v>32.626266201938975</v>
      </c>
      <c r="U86" s="140">
        <f>Mitigation_Industry!U$279*Mitigation_Industry!$J$273*MAX(Mitigation_Industry!$J$267,0)*Mitigation_Industry!$F$366/1000</f>
        <v>33.70293298660296</v>
      </c>
      <c r="V86" s="140">
        <f>Mitigation_Industry!V$279*Mitigation_Industry!$J$273*MAX(Mitigation_Industry!$J$267,0)*Mitigation_Industry!$F$366/1000</f>
        <v>34.815129775160841</v>
      </c>
      <c r="W86" s="140">
        <f>Mitigation_Industry!W$279*Mitigation_Industry!$J$273*MAX(Mitigation_Industry!$J$267,0)*Mitigation_Industry!$F$366/1000</f>
        <v>35.964029057741151</v>
      </c>
      <c r="X86" s="140">
        <f>Mitigation_Industry!X$279*Mitigation_Industry!$J$273*MAX(Mitigation_Industry!$J$267,0)*Mitigation_Industry!$F$366/1000</f>
        <v>37.150842016646592</v>
      </c>
      <c r="Y86" s="140">
        <f>Mitigation_Industry!Y$279*Mitigation_Industry!$J$273*MAX(Mitigation_Industry!$J$267,0)*Mitigation_Industry!$F$366/1000</f>
        <v>38.376819803195943</v>
      </c>
      <c r="Z86" s="140">
        <f>Mitigation_Industry!Z$279*Mitigation_Industry!$J$273*MAX(Mitigation_Industry!$J$267,0)*Mitigation_Industry!$F$366/1000</f>
        <v>39.643254856701404</v>
      </c>
      <c r="AA86" s="140">
        <f>Mitigation_Industry!AA$279*Mitigation_Industry!$J$273*MAX(Mitigation_Industry!$J$267,0)*Mitigation_Industry!$F$366/1000</f>
        <v>40.951482266972548</v>
      </c>
      <c r="AB86" s="140">
        <f>Mitigation_Industry!AB$279*Mitigation_Industry!$J$273*MAX(Mitigation_Industry!$J$267,0)*Mitigation_Industry!$F$366/1000</f>
        <v>42.302881181782631</v>
      </c>
      <c r="AC86" s="140">
        <f>Mitigation_Industry!AC$279*Mitigation_Industry!$J$273*MAX(Mitigation_Industry!$J$267,0)*Mitigation_Industry!$F$366/1000</f>
        <v>43.698876260781446</v>
      </c>
      <c r="AD86" s="140">
        <f>Mitigation_Industry!AD$279*Mitigation_Industry!$J$273*MAX(Mitigation_Industry!$J$267,0)*Mitigation_Industry!$F$366/1000</f>
        <v>45.140939177387231</v>
      </c>
      <c r="AE86" s="140">
        <f>Mitigation_Industry!AE$279*Mitigation_Industry!$J$273*MAX(Mitigation_Industry!$J$267,0)*Mitigation_Industry!$F$366/1000</f>
        <v>46.630590170241007</v>
      </c>
      <c r="AF86" s="141"/>
      <c r="AG86" s="141"/>
      <c r="AH86" s="141"/>
      <c r="AI86" s="141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8" t="str">
        <f>Settings!$B$3&amp;".mit.wm.frt.amc.np.1"</f>
        <v>egy.mit.wm.frt.amc.np.1</v>
      </c>
      <c r="K87" s="139"/>
      <c r="L87" s="140">
        <f>Mitigation_Industry!L$280*Mitigation_Industry!$J$273*MAX(Mitigation_Industry!$J$268,0)*Mitigation_Industry!$F$367/1000</f>
        <v>0</v>
      </c>
      <c r="M87" s="140">
        <f>Mitigation_Industry!M$280*Mitigation_Industry!$J$273*MAX(Mitigation_Industry!$J$268,0)*Mitigation_Industry!$F$367/1000</f>
        <v>0</v>
      </c>
      <c r="N87" s="140">
        <f>Mitigation_Industry!N$280*Mitigation_Industry!$J$273*MAX(Mitigation_Industry!$J$268,0)*Mitigation_Industry!$F$367/1000</f>
        <v>0</v>
      </c>
      <c r="O87" s="140">
        <f>Mitigation_Industry!O$280*Mitigation_Industry!$J$273*MAX(Mitigation_Industry!$J$268,0)*Mitigation_Industry!$F$367/1000</f>
        <v>0</v>
      </c>
      <c r="P87" s="140">
        <f>Mitigation_Industry!P$280*Mitigation_Industry!$J$273*MAX(Mitigation_Industry!$J$268,0)*Mitigation_Industry!$F$367/1000</f>
        <v>0</v>
      </c>
      <c r="Q87" s="140">
        <f>Mitigation_Industry!Q$280*Mitigation_Industry!$J$273*MAX(Mitigation_Industry!$J$268,0)*Mitigation_Industry!$F$367/1000</f>
        <v>0</v>
      </c>
      <c r="R87" s="140">
        <f>Mitigation_Industry!R$280*Mitigation_Industry!$J$273*MAX(Mitigation_Industry!$J$268,0)*Mitigation_Industry!$F$367/1000</f>
        <v>0</v>
      </c>
      <c r="S87" s="140">
        <f>Mitigation_Industry!S$280*Mitigation_Industry!$J$273*MAX(Mitigation_Industry!$J$268,0)*Mitigation_Industry!$F$367/1000</f>
        <v>0</v>
      </c>
      <c r="T87" s="140">
        <f>Mitigation_Industry!T$280*Mitigation_Industry!$J$273*MAX(Mitigation_Industry!$J$268,0)*Mitigation_Industry!$F$367/1000</f>
        <v>0</v>
      </c>
      <c r="U87" s="140">
        <f>Mitigation_Industry!U$280*Mitigation_Industry!$J$273*MAX(Mitigation_Industry!$J$268,0)*Mitigation_Industry!$F$367/1000</f>
        <v>0</v>
      </c>
      <c r="V87" s="140">
        <f>Mitigation_Industry!V$280*Mitigation_Industry!$J$273*MAX(Mitigation_Industry!$J$268,0)*Mitigation_Industry!$F$367/1000</f>
        <v>0</v>
      </c>
      <c r="W87" s="140">
        <f>Mitigation_Industry!W$280*Mitigation_Industry!$J$273*MAX(Mitigation_Industry!$J$268,0)*Mitigation_Industry!$F$367/1000</f>
        <v>0</v>
      </c>
      <c r="X87" s="140">
        <f>Mitigation_Industry!X$280*Mitigation_Industry!$J$273*MAX(Mitigation_Industry!$J$268,0)*Mitigation_Industry!$F$367/1000</f>
        <v>0</v>
      </c>
      <c r="Y87" s="140">
        <f>Mitigation_Industry!Y$280*Mitigation_Industry!$J$273*MAX(Mitigation_Industry!$J$268,0)*Mitigation_Industry!$F$367/1000</f>
        <v>0</v>
      </c>
      <c r="Z87" s="140">
        <f>Mitigation_Industry!Z$280*Mitigation_Industry!$J$273*MAX(Mitigation_Industry!$J$268,0)*Mitigation_Industry!$F$367/1000</f>
        <v>0</v>
      </c>
      <c r="AA87" s="140">
        <f>Mitigation_Industry!AA$280*Mitigation_Industry!$J$273*MAX(Mitigation_Industry!$J$268,0)*Mitigation_Industry!$F$367/1000</f>
        <v>0</v>
      </c>
      <c r="AB87" s="140">
        <f>Mitigation_Industry!AB$280*Mitigation_Industry!$J$273*MAX(Mitigation_Industry!$J$268,0)*Mitigation_Industry!$F$367/1000</f>
        <v>0</v>
      </c>
      <c r="AC87" s="140">
        <f>Mitigation_Industry!AC$280*Mitigation_Industry!$J$273*MAX(Mitigation_Industry!$J$268,0)*Mitigation_Industry!$F$367/1000</f>
        <v>0</v>
      </c>
      <c r="AD87" s="140">
        <f>Mitigation_Industry!AD$280*Mitigation_Industry!$J$273*MAX(Mitigation_Industry!$J$268,0)*Mitigation_Industry!$F$367/1000</f>
        <v>0</v>
      </c>
      <c r="AE87" s="140">
        <f>Mitigation_Industry!AE$280*Mitigation_Industry!$J$273*MAX(Mitigation_Industry!$J$268,0)*Mitigation_Industry!$F$367/1000</f>
        <v>0</v>
      </c>
      <c r="AF87" s="141"/>
      <c r="AG87" s="141"/>
      <c r="AH87" s="141"/>
      <c r="AI87" s="141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8" t="str">
        <f>Settings!$B$3&amp;".mit.wm.frt.ure.np.1"</f>
        <v>egy.mit.wm.frt.ure.np.1</v>
      </c>
      <c r="K88" s="139"/>
      <c r="L88" s="140">
        <f>Mitigation_Industry!L$281*Mitigation_Industry!$J$273*MAX(Mitigation_Industry!$J$269,0)*Mitigation_Industry!$F$368/1000</f>
        <v>0</v>
      </c>
      <c r="M88" s="140">
        <f>Mitigation_Industry!M$281*Mitigation_Industry!$J$273*MAX(Mitigation_Industry!$J$269,0)*Mitigation_Industry!$F$368/1000</f>
        <v>0</v>
      </c>
      <c r="N88" s="140">
        <f>Mitigation_Industry!N$281*Mitigation_Industry!$J$273*MAX(Mitigation_Industry!$J$269,0)*Mitigation_Industry!$F$368/1000</f>
        <v>0</v>
      </c>
      <c r="O88" s="140">
        <f>Mitigation_Industry!O$281*Mitigation_Industry!$J$273*MAX(Mitigation_Industry!$J$269,0)*Mitigation_Industry!$F$368/1000</f>
        <v>0</v>
      </c>
      <c r="P88" s="140">
        <f>Mitigation_Industry!P$281*Mitigation_Industry!$J$273*MAX(Mitigation_Industry!$J$269,0)*Mitigation_Industry!$F$368/1000</f>
        <v>0</v>
      </c>
      <c r="Q88" s="140">
        <f>Mitigation_Industry!Q$281*Mitigation_Industry!$J$273*MAX(Mitigation_Industry!$J$269,0)*Mitigation_Industry!$F$368/1000</f>
        <v>0</v>
      </c>
      <c r="R88" s="140">
        <f>Mitigation_Industry!R$281*Mitigation_Industry!$J$273*MAX(Mitigation_Industry!$J$269,0)*Mitigation_Industry!$F$368/1000</f>
        <v>0</v>
      </c>
      <c r="S88" s="140">
        <f>Mitigation_Industry!S$281*Mitigation_Industry!$J$273*MAX(Mitigation_Industry!$J$269,0)*Mitigation_Industry!$F$368/1000</f>
        <v>0</v>
      </c>
      <c r="T88" s="140">
        <f>Mitigation_Industry!T$281*Mitigation_Industry!$J$273*MAX(Mitigation_Industry!$J$269,0)*Mitigation_Industry!$F$368/1000</f>
        <v>0</v>
      </c>
      <c r="U88" s="140">
        <f>Mitigation_Industry!U$281*Mitigation_Industry!$J$273*MAX(Mitigation_Industry!$J$269,0)*Mitigation_Industry!$F$368/1000</f>
        <v>0</v>
      </c>
      <c r="V88" s="140">
        <f>Mitigation_Industry!V$281*Mitigation_Industry!$J$273*MAX(Mitigation_Industry!$J$269,0)*Mitigation_Industry!$F$368/1000</f>
        <v>0</v>
      </c>
      <c r="W88" s="140">
        <f>Mitigation_Industry!W$281*Mitigation_Industry!$J$273*MAX(Mitigation_Industry!$J$269,0)*Mitigation_Industry!$F$368/1000</f>
        <v>0</v>
      </c>
      <c r="X88" s="140">
        <f>Mitigation_Industry!X$281*Mitigation_Industry!$J$273*MAX(Mitigation_Industry!$J$269,0)*Mitigation_Industry!$F$368/1000</f>
        <v>0</v>
      </c>
      <c r="Y88" s="140">
        <f>Mitigation_Industry!Y$281*Mitigation_Industry!$J$273*MAX(Mitigation_Industry!$J$269,0)*Mitigation_Industry!$F$368/1000</f>
        <v>0</v>
      </c>
      <c r="Z88" s="140">
        <f>Mitigation_Industry!Z$281*Mitigation_Industry!$J$273*MAX(Mitigation_Industry!$J$269,0)*Mitigation_Industry!$F$368/1000</f>
        <v>0</v>
      </c>
      <c r="AA88" s="140">
        <f>Mitigation_Industry!AA$281*Mitigation_Industry!$J$273*MAX(Mitigation_Industry!$J$269,0)*Mitigation_Industry!$F$368/1000</f>
        <v>0</v>
      </c>
      <c r="AB88" s="140">
        <f>Mitigation_Industry!AB$281*Mitigation_Industry!$J$273*MAX(Mitigation_Industry!$J$269,0)*Mitigation_Industry!$F$368/1000</f>
        <v>0</v>
      </c>
      <c r="AC88" s="140">
        <f>Mitigation_Industry!AC$281*Mitigation_Industry!$J$273*MAX(Mitigation_Industry!$J$269,0)*Mitigation_Industry!$F$368/1000</f>
        <v>0</v>
      </c>
      <c r="AD88" s="140">
        <f>Mitigation_Industry!AD$281*Mitigation_Industry!$J$273*MAX(Mitigation_Industry!$J$269,0)*Mitigation_Industry!$F$368/1000</f>
        <v>0</v>
      </c>
      <c r="AE88" s="140">
        <f>Mitigation_Industry!AE$281*Mitigation_Industry!$J$273*MAX(Mitigation_Industry!$J$269,0)*Mitigation_Industry!$F$368/1000</f>
        <v>0</v>
      </c>
      <c r="AF88" s="141"/>
      <c r="AG88" s="141"/>
      <c r="AH88" s="141"/>
      <c r="AI88" s="141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8" t="str">
        <f>Settings!$B$3&amp;".mit.wm.frt.nit.np.1"</f>
        <v>egy.mit.wm.frt.nit.np.1</v>
      </c>
      <c r="K89" s="139"/>
      <c r="L89" s="140">
        <f>Mitigation_Industry!L$282*Mitigation_Industry!$J$273*MAX(Mitigation_Industry!$J$270,0)*Mitigation_Industry!$F$369/1000</f>
        <v>0</v>
      </c>
      <c r="M89" s="140">
        <f>Mitigation_Industry!M$282*Mitigation_Industry!$J$273*MAX(Mitigation_Industry!$J$270,0)*Mitigation_Industry!$F$369/1000</f>
        <v>0</v>
      </c>
      <c r="N89" s="140">
        <f>Mitigation_Industry!N$282*Mitigation_Industry!$J$273*MAX(Mitigation_Industry!$J$270,0)*Mitigation_Industry!$F$369/1000</f>
        <v>0</v>
      </c>
      <c r="O89" s="140">
        <f>Mitigation_Industry!O$282*Mitigation_Industry!$J$273*MAX(Mitigation_Industry!$J$270,0)*Mitigation_Industry!$F$369/1000</f>
        <v>0</v>
      </c>
      <c r="P89" s="140">
        <f>Mitigation_Industry!P$282*Mitigation_Industry!$J$273*MAX(Mitigation_Industry!$J$270,0)*Mitigation_Industry!$F$369/1000</f>
        <v>0</v>
      </c>
      <c r="Q89" s="140">
        <f>Mitigation_Industry!Q$282*Mitigation_Industry!$J$273*MAX(Mitigation_Industry!$J$270,0)*Mitigation_Industry!$F$369/1000</f>
        <v>0</v>
      </c>
      <c r="R89" s="140">
        <f>Mitigation_Industry!R$282*Mitigation_Industry!$J$273*MAX(Mitigation_Industry!$J$270,0)*Mitigation_Industry!$F$369/1000</f>
        <v>0</v>
      </c>
      <c r="S89" s="140">
        <f>Mitigation_Industry!S$282*Mitigation_Industry!$J$273*MAX(Mitigation_Industry!$J$270,0)*Mitigation_Industry!$F$369/1000</f>
        <v>0</v>
      </c>
      <c r="T89" s="140">
        <f>Mitigation_Industry!T$282*Mitigation_Industry!$J$273*MAX(Mitigation_Industry!$J$270,0)*Mitigation_Industry!$F$369/1000</f>
        <v>0</v>
      </c>
      <c r="U89" s="140">
        <f>Mitigation_Industry!U$282*Mitigation_Industry!$J$273*MAX(Mitigation_Industry!$J$270,0)*Mitigation_Industry!$F$369/1000</f>
        <v>0</v>
      </c>
      <c r="V89" s="140">
        <f>Mitigation_Industry!V$282*Mitigation_Industry!$J$273*MAX(Mitigation_Industry!$J$270,0)*Mitigation_Industry!$F$369/1000</f>
        <v>0</v>
      </c>
      <c r="W89" s="140">
        <f>Mitigation_Industry!W$282*Mitigation_Industry!$J$273*MAX(Mitigation_Industry!$J$270,0)*Mitigation_Industry!$F$369/1000</f>
        <v>0</v>
      </c>
      <c r="X89" s="140">
        <f>Mitigation_Industry!X$282*Mitigation_Industry!$J$273*MAX(Mitigation_Industry!$J$270,0)*Mitigation_Industry!$F$369/1000</f>
        <v>0</v>
      </c>
      <c r="Y89" s="140">
        <f>Mitigation_Industry!Y$282*Mitigation_Industry!$J$273*MAX(Mitigation_Industry!$J$270,0)*Mitigation_Industry!$F$369/1000</f>
        <v>0</v>
      </c>
      <c r="Z89" s="140">
        <f>Mitigation_Industry!Z$282*Mitigation_Industry!$J$273*MAX(Mitigation_Industry!$J$270,0)*Mitigation_Industry!$F$369/1000</f>
        <v>0</v>
      </c>
      <c r="AA89" s="140">
        <f>Mitigation_Industry!AA$282*Mitigation_Industry!$J$273*MAX(Mitigation_Industry!$J$270,0)*Mitigation_Industry!$F$369/1000</f>
        <v>0</v>
      </c>
      <c r="AB89" s="140">
        <f>Mitigation_Industry!AB$282*Mitigation_Industry!$J$273*MAX(Mitigation_Industry!$J$270,0)*Mitigation_Industry!$F$369/1000</f>
        <v>0</v>
      </c>
      <c r="AC89" s="140">
        <f>Mitigation_Industry!AC$282*Mitigation_Industry!$J$273*MAX(Mitigation_Industry!$J$270,0)*Mitigation_Industry!$F$369/1000</f>
        <v>0</v>
      </c>
      <c r="AD89" s="140">
        <f>Mitigation_Industry!AD$282*Mitigation_Industry!$J$273*MAX(Mitigation_Industry!$J$270,0)*Mitigation_Industry!$F$369/1000</f>
        <v>0</v>
      </c>
      <c r="AE89" s="140">
        <f>Mitigation_Industry!AE$282*Mitigation_Industry!$J$273*MAX(Mitigation_Industry!$J$270,0)*Mitigation_Industry!$F$369/1000</f>
        <v>0</v>
      </c>
      <c r="AF89" s="141"/>
      <c r="AG89" s="141"/>
      <c r="AH89" s="141"/>
      <c r="AI89" s="141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8" t="str">
        <f>Settings!$B$3&amp;".mit.wm.alu.prp.np.1"</f>
        <v>egy.mit.wm.alu.prp.np.1</v>
      </c>
      <c r="K90" s="139"/>
      <c r="L90" s="140">
        <f>Mitigation_Industry!L$283*Mitigation_Industry!$J$273*MAX(Mitigation_Industry!$J$271,0)*Mitigation_Industry!$F$370/1000</f>
        <v>0.43758937310482698</v>
      </c>
      <c r="M90" s="140">
        <f>Mitigation_Industry!M$283*Mitigation_Industry!$J$273*MAX(Mitigation_Industry!$J$271,0)*Mitigation_Industry!$F$370/1000</f>
        <v>0.4616567886255924</v>
      </c>
      <c r="N90" s="140">
        <f>Mitigation_Industry!N$283*Mitigation_Industry!$J$273*MAX(Mitigation_Industry!$J$271,0)*Mitigation_Industry!$F$370/1000</f>
        <v>0.48704791199999997</v>
      </c>
      <c r="O90" s="140">
        <f>Mitigation_Industry!O$283*Mitigation_Industry!$J$273*MAX(Mitigation_Industry!$J$271,0)*Mitigation_Industry!$F$370/1000</f>
        <v>0.51383554716000002</v>
      </c>
      <c r="P90" s="140">
        <f>Mitigation_Industry!P$283*Mitigation_Industry!$J$273*MAX(Mitigation_Industry!$J$271,0)*Mitigation_Industry!$F$370/1000</f>
        <v>0.54209650225379991</v>
      </c>
      <c r="Q90" s="140">
        <f>Mitigation_Industry!Q$283*Mitigation_Industry!$J$273*MAX(Mitigation_Industry!$J$271,0)*Mitigation_Industry!$F$370/1000</f>
        <v>0.5719118098777588</v>
      </c>
      <c r="R90" s="140">
        <f>Mitigation_Industry!R$283*Mitigation_Industry!$J$273*MAX(Mitigation_Industry!$J$271,0)*Mitigation_Industry!$F$370/1000</f>
        <v>0.6033669594210358</v>
      </c>
      <c r="S90" s="140">
        <f>Mitigation_Industry!S$283*Mitigation_Industry!$J$273*MAX(Mitigation_Industry!$J$271,0)*Mitigation_Industry!$F$370/1000</f>
        <v>0.63655214218919254</v>
      </c>
      <c r="T90" s="140">
        <f>Mitigation_Industry!T$283*Mitigation_Industry!$J$273*MAX(Mitigation_Industry!$J$271,0)*Mitigation_Industry!$F$370/1000</f>
        <v>0.6715625100095981</v>
      </c>
      <c r="U90" s="140">
        <f>Mitigation_Industry!U$283*Mitigation_Industry!$J$273*MAX(Mitigation_Industry!$J$271,0)*Mitigation_Industry!$F$370/1000</f>
        <v>0.70849844806012596</v>
      </c>
      <c r="V90" s="140">
        <f>Mitigation_Industry!V$283*Mitigation_Industry!$J$273*MAX(Mitigation_Industry!$J$271,0)*Mitigation_Industry!$F$370/1000</f>
        <v>0.74746586270343296</v>
      </c>
      <c r="W90" s="140">
        <f>Mitigation_Industry!W$283*Mitigation_Industry!$J$273*MAX(Mitigation_Industry!$J$271,0)*Mitigation_Industry!$F$370/1000</f>
        <v>0.78857648515212175</v>
      </c>
      <c r="X90" s="140">
        <f>Mitigation_Industry!X$283*Mitigation_Industry!$J$273*MAX(Mitigation_Industry!$J$271,0)*Mitigation_Industry!$F$370/1000</f>
        <v>0.83194819183548852</v>
      </c>
      <c r="Y90" s="140">
        <f>Mitigation_Industry!Y$283*Mitigation_Industry!$J$273*MAX(Mitigation_Industry!$J$271,0)*Mitigation_Industry!$F$370/1000</f>
        <v>0.87770534238644027</v>
      </c>
      <c r="Z90" s="140">
        <f>Mitigation_Industry!Z$283*Mitigation_Industry!$J$273*MAX(Mitigation_Industry!$J$271,0)*Mitigation_Industry!$F$370/1000</f>
        <v>0.92597913621769457</v>
      </c>
      <c r="AA90" s="140">
        <f>Mitigation_Industry!AA$283*Mitigation_Industry!$J$273*MAX(Mitigation_Industry!$J$271,0)*Mitigation_Industry!$F$370/1000</f>
        <v>0.97690798870966755</v>
      </c>
      <c r="AB90" s="140">
        <f>Mitigation_Industry!AB$283*Mitigation_Industry!$J$273*MAX(Mitigation_Industry!$J$271,0)*Mitigation_Industry!$F$370/1000</f>
        <v>1.0306379280886993</v>
      </c>
      <c r="AC90" s="140">
        <f>Mitigation_Industry!AC$283*Mitigation_Industry!$J$273*MAX(Mitigation_Industry!$J$271,0)*Mitigation_Industry!$F$370/1000</f>
        <v>1.0873230141335775</v>
      </c>
      <c r="AD90" s="140">
        <f>Mitigation_Industry!AD$283*Mitigation_Industry!$J$273*MAX(Mitigation_Industry!$J$271,0)*Mitigation_Industry!$F$370/1000</f>
        <v>1.1471257799109245</v>
      </c>
      <c r="AE90" s="140">
        <f>Mitigation_Industry!AE$283*Mitigation_Industry!$J$273*MAX(Mitigation_Industry!$J$271,0)*Mitigation_Industry!$F$370/1000</f>
        <v>1.2102176978060251</v>
      </c>
      <c r="AF90" s="141"/>
      <c r="AG90" s="141"/>
      <c r="AH90" s="141"/>
      <c r="AI90" s="141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8" t="str">
        <f>Settings!$B$3&amp;".mit.wm.stl.drg.no.1"</f>
        <v>egy.mit.wm.stl.drg.no.1</v>
      </c>
      <c r="K91" s="139"/>
      <c r="L91" s="140">
        <f>Mitigation_Industry!L$276*Mitigation_Industry!$K$273*MAX(Mitigation_Industry!$K$264,0)*Mitigation_Industry!$H$363/1000</f>
        <v>0</v>
      </c>
      <c r="M91" s="140">
        <f>Mitigation_Industry!M$276*Mitigation_Industry!$K$273*MAX(Mitigation_Industry!$K$264,0)*Mitigation_Industry!$H$363/1000</f>
        <v>0</v>
      </c>
      <c r="N91" s="140">
        <f>Mitigation_Industry!N$276*Mitigation_Industry!$K$273*MAX(Mitigation_Industry!$K$264,0)*Mitigation_Industry!$H$363/1000</f>
        <v>0</v>
      </c>
      <c r="O91" s="140">
        <f>Mitigation_Industry!O$276*Mitigation_Industry!$K$273*MAX(Mitigation_Industry!$K$264,0)*Mitigation_Industry!$H$363/1000</f>
        <v>0</v>
      </c>
      <c r="P91" s="140">
        <f>Mitigation_Industry!P$276*Mitigation_Industry!$K$273*MAX(Mitigation_Industry!$K$264,0)*Mitigation_Industry!$H$363/1000</f>
        <v>0</v>
      </c>
      <c r="Q91" s="140">
        <f>Mitigation_Industry!Q$276*Mitigation_Industry!$K$273*MAX(Mitigation_Industry!$K$264,0)*Mitigation_Industry!$H$363/1000</f>
        <v>0</v>
      </c>
      <c r="R91" s="140">
        <f>Mitigation_Industry!R$276*Mitigation_Industry!$K$273*MAX(Mitigation_Industry!$K$264,0)*Mitigation_Industry!$H$363/1000</f>
        <v>0</v>
      </c>
      <c r="S91" s="140">
        <f>Mitigation_Industry!S$276*Mitigation_Industry!$K$273*MAX(Mitigation_Industry!$K$264,0)*Mitigation_Industry!$H$363/1000</f>
        <v>0</v>
      </c>
      <c r="T91" s="140">
        <f>Mitigation_Industry!T$276*Mitigation_Industry!$K$273*MAX(Mitigation_Industry!$K$264,0)*Mitigation_Industry!$H$363/1000</f>
        <v>0</v>
      </c>
      <c r="U91" s="140">
        <f>Mitigation_Industry!U$276*Mitigation_Industry!$K$273*MAX(Mitigation_Industry!$K$264,0)*Mitigation_Industry!$H$363/1000</f>
        <v>0</v>
      </c>
      <c r="V91" s="140">
        <f>Mitigation_Industry!V$276*Mitigation_Industry!$K$273*MAX(Mitigation_Industry!$K$264,0)*Mitigation_Industry!$H$363/1000</f>
        <v>0</v>
      </c>
      <c r="W91" s="140">
        <f>Mitigation_Industry!W$276*Mitigation_Industry!$K$273*MAX(Mitigation_Industry!$K$264,0)*Mitigation_Industry!$H$363/1000</f>
        <v>0</v>
      </c>
      <c r="X91" s="140">
        <f>Mitigation_Industry!X$276*Mitigation_Industry!$K$273*MAX(Mitigation_Industry!$K$264,0)*Mitigation_Industry!$H$363/1000</f>
        <v>0</v>
      </c>
      <c r="Y91" s="140">
        <f>Mitigation_Industry!Y$276*Mitigation_Industry!$K$273*MAX(Mitigation_Industry!$K$264,0)*Mitigation_Industry!$H$363/1000</f>
        <v>0</v>
      </c>
      <c r="Z91" s="140">
        <f>Mitigation_Industry!Z$276*Mitigation_Industry!$K$273*MAX(Mitigation_Industry!$K$264,0)*Mitigation_Industry!$H$363/1000</f>
        <v>0</v>
      </c>
      <c r="AA91" s="140">
        <f>Mitigation_Industry!AA$276*Mitigation_Industry!$K$273*MAX(Mitigation_Industry!$K$264,0)*Mitigation_Industry!$H$363/1000</f>
        <v>0</v>
      </c>
      <c r="AB91" s="140">
        <f>Mitigation_Industry!AB$276*Mitigation_Industry!$K$273*MAX(Mitigation_Industry!$K$264,0)*Mitigation_Industry!$H$363/1000</f>
        <v>0</v>
      </c>
      <c r="AC91" s="140">
        <f>Mitigation_Industry!AC$276*Mitigation_Industry!$K$273*MAX(Mitigation_Industry!$K$264,0)*Mitigation_Industry!$H$363/1000</f>
        <v>0</v>
      </c>
      <c r="AD91" s="140">
        <f>Mitigation_Industry!AD$276*Mitigation_Industry!$K$273*MAX(Mitigation_Industry!$K$264,0)*Mitigation_Industry!$H$363/1000</f>
        <v>0</v>
      </c>
      <c r="AE91" s="140">
        <f>Mitigation_Industry!AE$276*Mitigation_Industry!$K$273*MAX(Mitigation_Industry!$K$264,0)*Mitigation_Industry!$H$363/1000</f>
        <v>0</v>
      </c>
      <c r="AF91" s="141"/>
      <c r="AG91" s="141"/>
      <c r="AH91" s="141"/>
      <c r="AI91" s="141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8" t="str">
        <f>Settings!$B$3&amp;".mit.wm.stl.scr.no.1"</f>
        <v>egy.mit.wm.stl.scr.no.1</v>
      </c>
      <c r="K92" s="139"/>
      <c r="L92" s="140">
        <f>Mitigation_Industry!L$277*Mitigation_Industry!$K$273*MAX(Mitigation_Industry!$K$265,0)*Mitigation_Industry!$H$364/1000</f>
        <v>0</v>
      </c>
      <c r="M92" s="140">
        <f>Mitigation_Industry!M$277*Mitigation_Industry!$K$273*MAX(Mitigation_Industry!$K$265,0)*Mitigation_Industry!$H$364/1000</f>
        <v>0</v>
      </c>
      <c r="N92" s="140">
        <f>Mitigation_Industry!N$277*Mitigation_Industry!$K$273*MAX(Mitigation_Industry!$K$265,0)*Mitigation_Industry!$H$364/1000</f>
        <v>0</v>
      </c>
      <c r="O92" s="140">
        <f>Mitigation_Industry!O$277*Mitigation_Industry!$K$273*MAX(Mitigation_Industry!$K$265,0)*Mitigation_Industry!$H$364/1000</f>
        <v>0</v>
      </c>
      <c r="P92" s="140">
        <f>Mitigation_Industry!P$277*Mitigation_Industry!$K$273*MAX(Mitigation_Industry!$K$265,0)*Mitigation_Industry!$H$364/1000</f>
        <v>0</v>
      </c>
      <c r="Q92" s="140">
        <f>Mitigation_Industry!Q$277*Mitigation_Industry!$K$273*MAX(Mitigation_Industry!$K$265,0)*Mitigation_Industry!$H$364/1000</f>
        <v>0</v>
      </c>
      <c r="R92" s="140">
        <f>Mitigation_Industry!R$277*Mitigation_Industry!$K$273*MAX(Mitigation_Industry!$K$265,0)*Mitigation_Industry!$H$364/1000</f>
        <v>0</v>
      </c>
      <c r="S92" s="140">
        <f>Mitigation_Industry!S$277*Mitigation_Industry!$K$273*MAX(Mitigation_Industry!$K$265,0)*Mitigation_Industry!$H$364/1000</f>
        <v>0</v>
      </c>
      <c r="T92" s="140">
        <f>Mitigation_Industry!T$277*Mitigation_Industry!$K$273*MAX(Mitigation_Industry!$K$265,0)*Mitigation_Industry!$H$364/1000</f>
        <v>0</v>
      </c>
      <c r="U92" s="140">
        <f>Mitigation_Industry!U$277*Mitigation_Industry!$K$273*MAX(Mitigation_Industry!$K$265,0)*Mitigation_Industry!$H$364/1000</f>
        <v>0</v>
      </c>
      <c r="V92" s="140">
        <f>Mitigation_Industry!V$277*Mitigation_Industry!$K$273*MAX(Mitigation_Industry!$K$265,0)*Mitigation_Industry!$H$364/1000</f>
        <v>0</v>
      </c>
      <c r="W92" s="140">
        <f>Mitigation_Industry!W$277*Mitigation_Industry!$K$273*MAX(Mitigation_Industry!$K$265,0)*Mitigation_Industry!$H$364/1000</f>
        <v>0</v>
      </c>
      <c r="X92" s="140">
        <f>Mitigation_Industry!X$277*Mitigation_Industry!$K$273*MAX(Mitigation_Industry!$K$265,0)*Mitigation_Industry!$H$364/1000</f>
        <v>0</v>
      </c>
      <c r="Y92" s="140">
        <f>Mitigation_Industry!Y$277*Mitigation_Industry!$K$273*MAX(Mitigation_Industry!$K$265,0)*Mitigation_Industry!$H$364/1000</f>
        <v>0</v>
      </c>
      <c r="Z92" s="140">
        <f>Mitigation_Industry!Z$277*Mitigation_Industry!$K$273*MAX(Mitigation_Industry!$K$265,0)*Mitigation_Industry!$H$364/1000</f>
        <v>0</v>
      </c>
      <c r="AA92" s="140">
        <f>Mitigation_Industry!AA$277*Mitigation_Industry!$K$273*MAX(Mitigation_Industry!$K$265,0)*Mitigation_Industry!$H$364/1000</f>
        <v>0</v>
      </c>
      <c r="AB92" s="140">
        <f>Mitigation_Industry!AB$277*Mitigation_Industry!$K$273*MAX(Mitigation_Industry!$K$265,0)*Mitigation_Industry!$H$364/1000</f>
        <v>0</v>
      </c>
      <c r="AC92" s="140">
        <f>Mitigation_Industry!AC$277*Mitigation_Industry!$K$273*MAX(Mitigation_Industry!$K$265,0)*Mitigation_Industry!$H$364/1000</f>
        <v>0</v>
      </c>
      <c r="AD92" s="140">
        <f>Mitigation_Industry!AD$277*Mitigation_Industry!$K$273*MAX(Mitigation_Industry!$K$265,0)*Mitigation_Industry!$H$364/1000</f>
        <v>0</v>
      </c>
      <c r="AE92" s="140">
        <f>Mitigation_Industry!AE$277*Mitigation_Industry!$K$273*MAX(Mitigation_Industry!$K$265,0)*Mitigation_Industry!$H$364/1000</f>
        <v>0</v>
      </c>
      <c r="AF92" s="141"/>
      <c r="AG92" s="141"/>
      <c r="AH92" s="141"/>
      <c r="AI92" s="141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8" t="str">
        <f>Settings!$B$3&amp;".mit.wm.stl.bof.no.1"</f>
        <v>egy.mit.wm.stl.bof.no.1</v>
      </c>
      <c r="K93" s="139"/>
      <c r="L93" s="140">
        <f>Mitigation_Industry!L$278*Mitigation_Industry!$K$273*MAX(Mitigation_Industry!$K$266,0)*Mitigation_Industry!$H$365/1000</f>
        <v>0</v>
      </c>
      <c r="M93" s="140">
        <f>Mitigation_Industry!M$278*Mitigation_Industry!$K$273*MAX(Mitigation_Industry!$K$266,0)*Mitigation_Industry!$H$365/1000</f>
        <v>0</v>
      </c>
      <c r="N93" s="140">
        <f>Mitigation_Industry!N$278*Mitigation_Industry!$K$273*MAX(Mitigation_Industry!$K$266,0)*Mitigation_Industry!$H$365/1000</f>
        <v>0</v>
      </c>
      <c r="O93" s="140">
        <f>Mitigation_Industry!O$278*Mitigation_Industry!$K$273*MAX(Mitigation_Industry!$K$266,0)*Mitigation_Industry!$H$365/1000</f>
        <v>0</v>
      </c>
      <c r="P93" s="140">
        <f>Mitigation_Industry!P$278*Mitigation_Industry!$K$273*MAX(Mitigation_Industry!$K$266,0)*Mitigation_Industry!$H$365/1000</f>
        <v>0</v>
      </c>
      <c r="Q93" s="140">
        <f>Mitigation_Industry!Q$278*Mitigation_Industry!$K$273*MAX(Mitigation_Industry!$K$266,0)*Mitigation_Industry!$H$365/1000</f>
        <v>0</v>
      </c>
      <c r="R93" s="140">
        <f>Mitigation_Industry!R$278*Mitigation_Industry!$K$273*MAX(Mitigation_Industry!$K$266,0)*Mitigation_Industry!$H$365/1000</f>
        <v>0</v>
      </c>
      <c r="S93" s="140">
        <f>Mitigation_Industry!S$278*Mitigation_Industry!$K$273*MAX(Mitigation_Industry!$K$266,0)*Mitigation_Industry!$H$365/1000</f>
        <v>0</v>
      </c>
      <c r="T93" s="140">
        <f>Mitigation_Industry!T$278*Mitigation_Industry!$K$273*MAX(Mitigation_Industry!$K$266,0)*Mitigation_Industry!$H$365/1000</f>
        <v>0</v>
      </c>
      <c r="U93" s="140">
        <f>Mitigation_Industry!U$278*Mitigation_Industry!$K$273*MAX(Mitigation_Industry!$K$266,0)*Mitigation_Industry!$H$365/1000</f>
        <v>0</v>
      </c>
      <c r="V93" s="140">
        <f>Mitigation_Industry!V$278*Mitigation_Industry!$K$273*MAX(Mitigation_Industry!$K$266,0)*Mitigation_Industry!$H$365/1000</f>
        <v>0</v>
      </c>
      <c r="W93" s="140">
        <f>Mitigation_Industry!W$278*Mitigation_Industry!$K$273*MAX(Mitigation_Industry!$K$266,0)*Mitigation_Industry!$H$365/1000</f>
        <v>0</v>
      </c>
      <c r="X93" s="140">
        <f>Mitigation_Industry!X$278*Mitigation_Industry!$K$273*MAX(Mitigation_Industry!$K$266,0)*Mitigation_Industry!$H$365/1000</f>
        <v>0</v>
      </c>
      <c r="Y93" s="140">
        <f>Mitigation_Industry!Y$278*Mitigation_Industry!$K$273*MAX(Mitigation_Industry!$K$266,0)*Mitigation_Industry!$H$365/1000</f>
        <v>0</v>
      </c>
      <c r="Z93" s="140">
        <f>Mitigation_Industry!Z$278*Mitigation_Industry!$K$273*MAX(Mitigation_Industry!$K$266,0)*Mitigation_Industry!$H$365/1000</f>
        <v>0</v>
      </c>
      <c r="AA93" s="140">
        <f>Mitigation_Industry!AA$278*Mitigation_Industry!$K$273*MAX(Mitigation_Industry!$K$266,0)*Mitigation_Industry!$H$365/1000</f>
        <v>0</v>
      </c>
      <c r="AB93" s="140">
        <f>Mitigation_Industry!AB$278*Mitigation_Industry!$K$273*MAX(Mitigation_Industry!$K$266,0)*Mitigation_Industry!$H$365/1000</f>
        <v>0</v>
      </c>
      <c r="AC93" s="140">
        <f>Mitigation_Industry!AC$278*Mitigation_Industry!$K$273*MAX(Mitigation_Industry!$K$266,0)*Mitigation_Industry!$H$365/1000</f>
        <v>0</v>
      </c>
      <c r="AD93" s="140">
        <f>Mitigation_Industry!AD$278*Mitigation_Industry!$K$273*MAX(Mitigation_Industry!$K$266,0)*Mitigation_Industry!$H$365/1000</f>
        <v>0</v>
      </c>
      <c r="AE93" s="140">
        <f>Mitigation_Industry!AE$278*Mitigation_Industry!$K$273*MAX(Mitigation_Industry!$K$266,0)*Mitigation_Industry!$H$365/1000</f>
        <v>0</v>
      </c>
      <c r="AF93" s="141"/>
      <c r="AG93" s="141"/>
      <c r="AH93" s="141"/>
      <c r="AI93" s="141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8" t="str">
        <f>Settings!$B$3&amp;".mit.wm.cmt.dry.no.1"</f>
        <v>egy.mit.wm.cmt.dry.no.1</v>
      </c>
      <c r="K94" s="139"/>
      <c r="L94" s="140">
        <f>Mitigation_Industry!L$279*Mitigation_Industry!$K$273*MAX(Mitigation_Industry!$K$267,0)*Mitigation_Industry!$H$366/1000</f>
        <v>0</v>
      </c>
      <c r="M94" s="140">
        <f>Mitigation_Industry!M$279*Mitigation_Industry!$K$273*MAX(Mitigation_Industry!$K$267,0)*Mitigation_Industry!$H$366/1000</f>
        <v>0</v>
      </c>
      <c r="N94" s="140">
        <f>Mitigation_Industry!N$279*Mitigation_Industry!$K$273*MAX(Mitigation_Industry!$K$267,0)*Mitigation_Industry!$H$366/1000</f>
        <v>0</v>
      </c>
      <c r="O94" s="140">
        <f>Mitigation_Industry!O$279*Mitigation_Industry!$K$273*MAX(Mitigation_Industry!$K$267,0)*Mitigation_Industry!$H$366/1000</f>
        <v>0</v>
      </c>
      <c r="P94" s="140">
        <f>Mitigation_Industry!P$279*Mitigation_Industry!$K$273*MAX(Mitigation_Industry!$K$267,0)*Mitigation_Industry!$H$366/1000</f>
        <v>0</v>
      </c>
      <c r="Q94" s="140">
        <f>Mitigation_Industry!Q$279*Mitigation_Industry!$K$273*MAX(Mitigation_Industry!$K$267,0)*Mitigation_Industry!$H$366/1000</f>
        <v>0</v>
      </c>
      <c r="R94" s="140">
        <f>Mitigation_Industry!R$279*Mitigation_Industry!$K$273*MAX(Mitigation_Industry!$K$267,0)*Mitigation_Industry!$H$366/1000</f>
        <v>0</v>
      </c>
      <c r="S94" s="140">
        <f>Mitigation_Industry!S$279*Mitigation_Industry!$K$273*MAX(Mitigation_Industry!$K$267,0)*Mitigation_Industry!$H$366/1000</f>
        <v>0</v>
      </c>
      <c r="T94" s="140">
        <f>Mitigation_Industry!T$279*Mitigation_Industry!$K$273*MAX(Mitigation_Industry!$K$267,0)*Mitigation_Industry!$H$366/1000</f>
        <v>0</v>
      </c>
      <c r="U94" s="140">
        <f>Mitigation_Industry!U$279*Mitigation_Industry!$K$273*MAX(Mitigation_Industry!$K$267,0)*Mitigation_Industry!$H$366/1000</f>
        <v>0</v>
      </c>
      <c r="V94" s="140">
        <f>Mitigation_Industry!V$279*Mitigation_Industry!$K$273*MAX(Mitigation_Industry!$K$267,0)*Mitigation_Industry!$H$366/1000</f>
        <v>0</v>
      </c>
      <c r="W94" s="140">
        <f>Mitigation_Industry!W$279*Mitigation_Industry!$K$273*MAX(Mitigation_Industry!$K$267,0)*Mitigation_Industry!$H$366/1000</f>
        <v>0</v>
      </c>
      <c r="X94" s="140">
        <f>Mitigation_Industry!X$279*Mitigation_Industry!$K$273*MAX(Mitigation_Industry!$K$267,0)*Mitigation_Industry!$H$366/1000</f>
        <v>0</v>
      </c>
      <c r="Y94" s="140">
        <f>Mitigation_Industry!Y$279*Mitigation_Industry!$K$273*MAX(Mitigation_Industry!$K$267,0)*Mitigation_Industry!$H$366/1000</f>
        <v>0</v>
      </c>
      <c r="Z94" s="140">
        <f>Mitigation_Industry!Z$279*Mitigation_Industry!$K$273*MAX(Mitigation_Industry!$K$267,0)*Mitigation_Industry!$H$366/1000</f>
        <v>0</v>
      </c>
      <c r="AA94" s="140">
        <f>Mitigation_Industry!AA$279*Mitigation_Industry!$K$273*MAX(Mitigation_Industry!$K$267,0)*Mitigation_Industry!$H$366/1000</f>
        <v>0</v>
      </c>
      <c r="AB94" s="140">
        <f>Mitigation_Industry!AB$279*Mitigation_Industry!$K$273*MAX(Mitigation_Industry!$K$267,0)*Mitigation_Industry!$H$366/1000</f>
        <v>0</v>
      </c>
      <c r="AC94" s="140">
        <f>Mitigation_Industry!AC$279*Mitigation_Industry!$K$273*MAX(Mitigation_Industry!$K$267,0)*Mitigation_Industry!$H$366/1000</f>
        <v>0</v>
      </c>
      <c r="AD94" s="140">
        <f>Mitigation_Industry!AD$279*Mitigation_Industry!$K$273*MAX(Mitigation_Industry!$K$267,0)*Mitigation_Industry!$H$366/1000</f>
        <v>0</v>
      </c>
      <c r="AE94" s="140">
        <f>Mitigation_Industry!AE$279*Mitigation_Industry!$K$273*MAX(Mitigation_Industry!$K$267,0)*Mitigation_Industry!$H$366/1000</f>
        <v>0</v>
      </c>
      <c r="AF94" s="141"/>
      <c r="AG94" s="141"/>
      <c r="AH94" s="141"/>
      <c r="AI94" s="141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8" t="str">
        <f>Settings!$B$3&amp;".mit.wm.frt.amc.no.1"</f>
        <v>egy.mit.wm.frt.amc.no.1</v>
      </c>
      <c r="K95" s="139"/>
      <c r="L95" s="140">
        <f>Mitigation_Industry!L$280*Mitigation_Industry!$K$273*MAX(Mitigation_Industry!$K$268,0)*Mitigation_Industry!$H$367/1000</f>
        <v>0</v>
      </c>
      <c r="M95" s="140">
        <f>Mitigation_Industry!M$280*Mitigation_Industry!$K$273*MAX(Mitigation_Industry!$K$268,0)*Mitigation_Industry!$H$367/1000</f>
        <v>0</v>
      </c>
      <c r="N95" s="140">
        <f>Mitigation_Industry!N$280*Mitigation_Industry!$K$273*MAX(Mitigation_Industry!$K$268,0)*Mitigation_Industry!$H$367/1000</f>
        <v>0</v>
      </c>
      <c r="O95" s="140">
        <f>Mitigation_Industry!O$280*Mitigation_Industry!$K$273*MAX(Mitigation_Industry!$K$268,0)*Mitigation_Industry!$H$367/1000</f>
        <v>0</v>
      </c>
      <c r="P95" s="140">
        <f>Mitigation_Industry!P$280*Mitigation_Industry!$K$273*MAX(Mitigation_Industry!$K$268,0)*Mitigation_Industry!$H$367/1000</f>
        <v>0</v>
      </c>
      <c r="Q95" s="140">
        <f>Mitigation_Industry!Q$280*Mitigation_Industry!$K$273*MAX(Mitigation_Industry!$K$268,0)*Mitigation_Industry!$H$367/1000</f>
        <v>0</v>
      </c>
      <c r="R95" s="140">
        <f>Mitigation_Industry!R$280*Mitigation_Industry!$K$273*MAX(Mitigation_Industry!$K$268,0)*Mitigation_Industry!$H$367/1000</f>
        <v>0</v>
      </c>
      <c r="S95" s="140">
        <f>Mitigation_Industry!S$280*Mitigation_Industry!$K$273*MAX(Mitigation_Industry!$K$268,0)*Mitigation_Industry!$H$367/1000</f>
        <v>0</v>
      </c>
      <c r="T95" s="140">
        <f>Mitigation_Industry!T$280*Mitigation_Industry!$K$273*MAX(Mitigation_Industry!$K$268,0)*Mitigation_Industry!$H$367/1000</f>
        <v>0</v>
      </c>
      <c r="U95" s="140">
        <f>Mitigation_Industry!U$280*Mitigation_Industry!$K$273*MAX(Mitigation_Industry!$K$268,0)*Mitigation_Industry!$H$367/1000</f>
        <v>0</v>
      </c>
      <c r="V95" s="140">
        <f>Mitigation_Industry!V$280*Mitigation_Industry!$K$273*MAX(Mitigation_Industry!$K$268,0)*Mitigation_Industry!$H$367/1000</f>
        <v>0</v>
      </c>
      <c r="W95" s="140">
        <f>Mitigation_Industry!W$280*Mitigation_Industry!$K$273*MAX(Mitigation_Industry!$K$268,0)*Mitigation_Industry!$H$367/1000</f>
        <v>0</v>
      </c>
      <c r="X95" s="140">
        <f>Mitigation_Industry!X$280*Mitigation_Industry!$K$273*MAX(Mitigation_Industry!$K$268,0)*Mitigation_Industry!$H$367/1000</f>
        <v>0</v>
      </c>
      <c r="Y95" s="140">
        <f>Mitigation_Industry!Y$280*Mitigation_Industry!$K$273*MAX(Mitigation_Industry!$K$268,0)*Mitigation_Industry!$H$367/1000</f>
        <v>0</v>
      </c>
      <c r="Z95" s="140">
        <f>Mitigation_Industry!Z$280*Mitigation_Industry!$K$273*MAX(Mitigation_Industry!$K$268,0)*Mitigation_Industry!$H$367/1000</f>
        <v>0</v>
      </c>
      <c r="AA95" s="140">
        <f>Mitigation_Industry!AA$280*Mitigation_Industry!$K$273*MAX(Mitigation_Industry!$K$268,0)*Mitigation_Industry!$H$367/1000</f>
        <v>0</v>
      </c>
      <c r="AB95" s="140">
        <f>Mitigation_Industry!AB$280*Mitigation_Industry!$K$273*MAX(Mitigation_Industry!$K$268,0)*Mitigation_Industry!$H$367/1000</f>
        <v>0</v>
      </c>
      <c r="AC95" s="140">
        <f>Mitigation_Industry!AC$280*Mitigation_Industry!$K$273*MAX(Mitigation_Industry!$K$268,0)*Mitigation_Industry!$H$367/1000</f>
        <v>0</v>
      </c>
      <c r="AD95" s="140">
        <f>Mitigation_Industry!AD$280*Mitigation_Industry!$K$273*MAX(Mitigation_Industry!$K$268,0)*Mitigation_Industry!$H$367/1000</f>
        <v>0</v>
      </c>
      <c r="AE95" s="140">
        <f>Mitigation_Industry!AE$280*Mitigation_Industry!$K$273*MAX(Mitigation_Industry!$K$268,0)*Mitigation_Industry!$H$367/1000</f>
        <v>0</v>
      </c>
      <c r="AF95" s="141"/>
      <c r="AG95" s="141"/>
      <c r="AH95" s="141"/>
      <c r="AI95" s="141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8" t="str">
        <f>Settings!$B$3&amp;".mit.wm.frt.ure.no.1"</f>
        <v>egy.mit.wm.frt.ure.no.1</v>
      </c>
      <c r="K96" s="139"/>
      <c r="L96" s="140">
        <f>Mitigation_Industry!L$281*Mitigation_Industry!$K$273*MAX(Mitigation_Industry!$K$269,0)*Mitigation_Industry!$H$368/1000</f>
        <v>0</v>
      </c>
      <c r="M96" s="140">
        <f>Mitigation_Industry!M$281*Mitigation_Industry!$K$273*MAX(Mitigation_Industry!$K$269,0)*Mitigation_Industry!$H$368/1000</f>
        <v>0</v>
      </c>
      <c r="N96" s="140">
        <f>Mitigation_Industry!N$281*Mitigation_Industry!$K$273*MAX(Mitigation_Industry!$K$269,0)*Mitigation_Industry!$H$368/1000</f>
        <v>0</v>
      </c>
      <c r="O96" s="140">
        <f>Mitigation_Industry!O$281*Mitigation_Industry!$K$273*MAX(Mitigation_Industry!$K$269,0)*Mitigation_Industry!$H$368/1000</f>
        <v>0</v>
      </c>
      <c r="P96" s="140">
        <f>Mitigation_Industry!P$281*Mitigation_Industry!$K$273*MAX(Mitigation_Industry!$K$269,0)*Mitigation_Industry!$H$368/1000</f>
        <v>0</v>
      </c>
      <c r="Q96" s="140">
        <f>Mitigation_Industry!Q$281*Mitigation_Industry!$K$273*MAX(Mitigation_Industry!$K$269,0)*Mitigation_Industry!$H$368/1000</f>
        <v>0</v>
      </c>
      <c r="R96" s="140">
        <f>Mitigation_Industry!R$281*Mitigation_Industry!$K$273*MAX(Mitigation_Industry!$K$269,0)*Mitigation_Industry!$H$368/1000</f>
        <v>0</v>
      </c>
      <c r="S96" s="140">
        <f>Mitigation_Industry!S$281*Mitigation_Industry!$K$273*MAX(Mitigation_Industry!$K$269,0)*Mitigation_Industry!$H$368/1000</f>
        <v>0</v>
      </c>
      <c r="T96" s="140">
        <f>Mitigation_Industry!T$281*Mitigation_Industry!$K$273*MAX(Mitigation_Industry!$K$269,0)*Mitigation_Industry!$H$368/1000</f>
        <v>0</v>
      </c>
      <c r="U96" s="140">
        <f>Mitigation_Industry!U$281*Mitigation_Industry!$K$273*MAX(Mitigation_Industry!$K$269,0)*Mitigation_Industry!$H$368/1000</f>
        <v>0</v>
      </c>
      <c r="V96" s="140">
        <f>Mitigation_Industry!V$281*Mitigation_Industry!$K$273*MAX(Mitigation_Industry!$K$269,0)*Mitigation_Industry!$H$368/1000</f>
        <v>0</v>
      </c>
      <c r="W96" s="140">
        <f>Mitigation_Industry!W$281*Mitigation_Industry!$K$273*MAX(Mitigation_Industry!$K$269,0)*Mitigation_Industry!$H$368/1000</f>
        <v>0</v>
      </c>
      <c r="X96" s="140">
        <f>Mitigation_Industry!X$281*Mitigation_Industry!$K$273*MAX(Mitigation_Industry!$K$269,0)*Mitigation_Industry!$H$368/1000</f>
        <v>0</v>
      </c>
      <c r="Y96" s="140">
        <f>Mitigation_Industry!Y$281*Mitigation_Industry!$K$273*MAX(Mitigation_Industry!$K$269,0)*Mitigation_Industry!$H$368/1000</f>
        <v>0</v>
      </c>
      <c r="Z96" s="140">
        <f>Mitigation_Industry!Z$281*Mitigation_Industry!$K$273*MAX(Mitigation_Industry!$K$269,0)*Mitigation_Industry!$H$368/1000</f>
        <v>0</v>
      </c>
      <c r="AA96" s="140">
        <f>Mitigation_Industry!AA$281*Mitigation_Industry!$K$273*MAX(Mitigation_Industry!$K$269,0)*Mitigation_Industry!$H$368/1000</f>
        <v>0</v>
      </c>
      <c r="AB96" s="140">
        <f>Mitigation_Industry!AB$281*Mitigation_Industry!$K$273*MAX(Mitigation_Industry!$K$269,0)*Mitigation_Industry!$H$368/1000</f>
        <v>0</v>
      </c>
      <c r="AC96" s="140">
        <f>Mitigation_Industry!AC$281*Mitigation_Industry!$K$273*MAX(Mitigation_Industry!$K$269,0)*Mitigation_Industry!$H$368/1000</f>
        <v>0</v>
      </c>
      <c r="AD96" s="140">
        <f>Mitigation_Industry!AD$281*Mitigation_Industry!$K$273*MAX(Mitigation_Industry!$K$269,0)*Mitigation_Industry!$H$368/1000</f>
        <v>0</v>
      </c>
      <c r="AE96" s="140">
        <f>Mitigation_Industry!AE$281*Mitigation_Industry!$K$273*MAX(Mitigation_Industry!$K$269,0)*Mitigation_Industry!$H$368/1000</f>
        <v>0</v>
      </c>
      <c r="AF96" s="141"/>
      <c r="AG96" s="141"/>
      <c r="AH96" s="141"/>
      <c r="AI96" s="141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8" t="str">
        <f>Settings!$B$3&amp;".mit.wm.frt.nit.no.1"</f>
        <v>egy.mit.wm.frt.nit.no.1</v>
      </c>
      <c r="K97" s="139"/>
      <c r="L97" s="140">
        <f>Mitigation_Industry!L$282*Mitigation_Industry!$K$273*MAX(Mitigation_Industry!$K$270,0)*Mitigation_Industry!$H$369/1000</f>
        <v>0.57123661061347031</v>
      </c>
      <c r="M97" s="140">
        <f>Mitigation_Industry!M$282*Mitigation_Industry!$K$273*MAX(Mitigation_Industry!$K$270,0)*Mitigation_Industry!$H$369/1000</f>
        <v>0.58380381604696674</v>
      </c>
      <c r="N97" s="140">
        <f>Mitigation_Industry!N$282*Mitigation_Industry!$K$273*MAX(Mitigation_Industry!$K$270,0)*Mitigation_Industry!$H$369/1000</f>
        <v>0.5966475</v>
      </c>
      <c r="O97" s="140">
        <f>Mitigation_Industry!O$282*Mitigation_Industry!$K$273*MAX(Mitigation_Industry!$K$270,0)*Mitigation_Industry!$H$369/1000</f>
        <v>0.60977374500000003</v>
      </c>
      <c r="P97" s="140">
        <f>Mitigation_Industry!P$282*Mitigation_Industry!$K$273*MAX(Mitigation_Industry!$K$270,0)*Mitigation_Industry!$H$369/1000</f>
        <v>0.62318876738999995</v>
      </c>
      <c r="Q97" s="140">
        <f>Mitigation_Industry!Q$282*Mitigation_Industry!$K$273*MAX(Mitigation_Industry!$K$270,0)*Mitigation_Industry!$H$369/1000</f>
        <v>0.6368989202725801</v>
      </c>
      <c r="R97" s="140">
        <f>Mitigation_Industry!R$282*Mitigation_Industry!$K$273*MAX(Mitigation_Industry!$K$270,0)*Mitigation_Industry!$H$369/1000</f>
        <v>0.65091069651857669</v>
      </c>
      <c r="S97" s="140">
        <f>Mitigation_Industry!S$282*Mitigation_Industry!$K$273*MAX(Mitigation_Industry!$K$270,0)*Mitigation_Industry!$H$369/1000</f>
        <v>0.66523073184198556</v>
      </c>
      <c r="T97" s="140">
        <f>Mitigation_Industry!T$282*Mitigation_Industry!$K$273*MAX(Mitigation_Industry!$K$270,0)*Mitigation_Industry!$H$369/1000</f>
        <v>0.67986580794250906</v>
      </c>
      <c r="U97" s="140">
        <f>Mitigation_Industry!U$282*Mitigation_Industry!$K$273*MAX(Mitigation_Industry!$K$270,0)*Mitigation_Industry!$H$369/1000</f>
        <v>0.69482285571724434</v>
      </c>
      <c r="V97" s="140">
        <f>Mitigation_Industry!V$282*Mitigation_Industry!$K$273*MAX(Mitigation_Industry!$K$270,0)*Mitigation_Industry!$H$369/1000</f>
        <v>0.7101089585430238</v>
      </c>
      <c r="W97" s="140">
        <f>Mitigation_Industry!W$282*Mitigation_Industry!$K$273*MAX(Mitigation_Industry!$K$270,0)*Mitigation_Industry!$H$369/1000</f>
        <v>0.72573135563097024</v>
      </c>
      <c r="X97" s="140">
        <f>Mitigation_Industry!X$282*Mitigation_Industry!$K$273*MAX(Mitigation_Industry!$K$270,0)*Mitigation_Industry!$H$369/1000</f>
        <v>0.74169744545485172</v>
      </c>
      <c r="Y97" s="140">
        <f>Mitigation_Industry!Y$282*Mitigation_Industry!$K$273*MAX(Mitigation_Industry!$K$270,0)*Mitigation_Industry!$H$369/1000</f>
        <v>0.75801478925485843</v>
      </c>
      <c r="Z97" s="140">
        <f>Mitigation_Industry!Z$282*Mitigation_Industry!$K$273*MAX(Mitigation_Industry!$K$270,0)*Mitigation_Industry!$H$369/1000</f>
        <v>0.7746911146184654</v>
      </c>
      <c r="AA97" s="140">
        <f>Mitigation_Industry!AA$282*Mitigation_Industry!$K$273*MAX(Mitigation_Industry!$K$270,0)*Mitigation_Industry!$H$369/1000</f>
        <v>0.79173431914007153</v>
      </c>
      <c r="AB97" s="140">
        <f>Mitigation_Industry!AB$282*Mitigation_Industry!$K$273*MAX(Mitigation_Industry!$K$270,0)*Mitigation_Industry!$H$369/1000</f>
        <v>0.8091524741611531</v>
      </c>
      <c r="AC97" s="140">
        <f>Mitigation_Industry!AC$282*Mitigation_Industry!$K$273*MAX(Mitigation_Industry!$K$270,0)*Mitigation_Industry!$H$369/1000</f>
        <v>0.8269538285926985</v>
      </c>
      <c r="AD97" s="140">
        <f>Mitigation_Industry!AD$282*Mitigation_Industry!$K$273*MAX(Mitigation_Industry!$K$270,0)*Mitigation_Industry!$H$369/1000</f>
        <v>0.84514681282173787</v>
      </c>
      <c r="AE97" s="140">
        <f>Mitigation_Industry!AE$282*Mitigation_Industry!$K$273*MAX(Mitigation_Industry!$K$270,0)*Mitigation_Industry!$H$369/1000</f>
        <v>0.8637400427038161</v>
      </c>
      <c r="AF97" s="141"/>
      <c r="AG97" s="141"/>
      <c r="AH97" s="141"/>
      <c r="AI97" s="141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8" t="str">
        <f>Settings!$B$3&amp;".mit.wm.alu.prp.no.1"</f>
        <v>egy.mit.wm.alu.prp.no.1</v>
      </c>
      <c r="K98" s="139"/>
      <c r="L98" s="140">
        <f>Mitigation_Industry!L$283*Mitigation_Industry!$K$273*MAX(Mitigation_Industry!$K$271,0)*Mitigation_Industry!$H$370/1000</f>
        <v>0.20862065092877519</v>
      </c>
      <c r="M98" s="140">
        <f>Mitigation_Industry!M$283*Mitigation_Industry!$K$273*MAX(Mitigation_Industry!$K$271,0)*Mitigation_Industry!$H$370/1000</f>
        <v>0.22009478672985783</v>
      </c>
      <c r="N98" s="140">
        <f>Mitigation_Industry!N$283*Mitigation_Industry!$K$273*MAX(Mitigation_Industry!$K$271,0)*Mitigation_Industry!$H$370/1000</f>
        <v>0.23220000000000002</v>
      </c>
      <c r="O98" s="140">
        <f>Mitigation_Industry!O$283*Mitigation_Industry!$K$273*MAX(Mitigation_Industry!$K$271,0)*Mitigation_Industry!$H$370/1000</f>
        <v>0.24497099999999999</v>
      </c>
      <c r="P98" s="140">
        <f>Mitigation_Industry!P$283*Mitigation_Industry!$K$273*MAX(Mitigation_Industry!$K$271,0)*Mitigation_Industry!$H$370/1000</f>
        <v>0.25844440499999999</v>
      </c>
      <c r="Q98" s="140">
        <f>Mitigation_Industry!Q$283*Mitigation_Industry!$K$273*MAX(Mitigation_Industry!$K$271,0)*Mitigation_Industry!$H$370/1000</f>
        <v>0.27265884727499995</v>
      </c>
      <c r="R98" s="140">
        <f>Mitigation_Industry!R$283*Mitigation_Industry!$K$273*MAX(Mitigation_Industry!$K$271,0)*Mitigation_Industry!$H$370/1000</f>
        <v>0.28765508387512501</v>
      </c>
      <c r="S98" s="140">
        <f>Mitigation_Industry!S$283*Mitigation_Industry!$K$273*MAX(Mitigation_Industry!$K$271,0)*Mitigation_Industry!$H$370/1000</f>
        <v>0.30347611348825682</v>
      </c>
      <c r="T98" s="140">
        <f>Mitigation_Industry!T$283*Mitigation_Industry!$K$273*MAX(Mitigation_Industry!$K$271,0)*Mitigation_Industry!$H$370/1000</f>
        <v>0.32016729973011093</v>
      </c>
      <c r="U98" s="140">
        <f>Mitigation_Industry!U$283*Mitigation_Industry!$K$273*MAX(Mitigation_Industry!$K$271,0)*Mitigation_Industry!$H$370/1000</f>
        <v>0.33777650121526698</v>
      </c>
      <c r="V98" s="140">
        <f>Mitigation_Industry!V$283*Mitigation_Industry!$K$273*MAX(Mitigation_Industry!$K$271,0)*Mitigation_Industry!$H$370/1000</f>
        <v>0.35635420878210672</v>
      </c>
      <c r="W98" s="140">
        <f>Mitigation_Industry!W$283*Mitigation_Industry!$K$273*MAX(Mitigation_Industry!$K$271,0)*Mitigation_Industry!$H$370/1000</f>
        <v>0.37595369026512254</v>
      </c>
      <c r="X98" s="140">
        <f>Mitigation_Industry!X$283*Mitigation_Industry!$K$273*MAX(Mitigation_Industry!$K$271,0)*Mitigation_Industry!$H$370/1000</f>
        <v>0.39663114322970433</v>
      </c>
      <c r="Y98" s="140">
        <f>Mitigation_Industry!Y$283*Mitigation_Industry!$K$273*MAX(Mitigation_Industry!$K$271,0)*Mitigation_Industry!$H$370/1000</f>
        <v>0.41844585610733798</v>
      </c>
      <c r="Z98" s="140">
        <f>Mitigation_Industry!Z$283*Mitigation_Industry!$K$273*MAX(Mitigation_Industry!$K$271,0)*Mitigation_Industry!$H$370/1000</f>
        <v>0.44146037819324158</v>
      </c>
      <c r="AA98" s="140">
        <f>Mitigation_Industry!AA$283*Mitigation_Industry!$K$273*MAX(Mitigation_Industry!$K$271,0)*Mitigation_Industry!$H$370/1000</f>
        <v>0.46574069899386977</v>
      </c>
      <c r="AB98" s="140">
        <f>Mitigation_Industry!AB$283*Mitigation_Industry!$K$273*MAX(Mitigation_Industry!$K$271,0)*Mitigation_Industry!$H$370/1000</f>
        <v>0.49135643743853269</v>
      </c>
      <c r="AC98" s="140">
        <f>Mitigation_Industry!AC$283*Mitigation_Industry!$K$273*MAX(Mitigation_Industry!$K$271,0)*Mitigation_Industry!$H$370/1000</f>
        <v>0.51838104149765185</v>
      </c>
      <c r="AD98" s="140">
        <f>Mitigation_Industry!AD$283*Mitigation_Industry!$K$273*MAX(Mitigation_Industry!$K$271,0)*Mitigation_Industry!$H$370/1000</f>
        <v>0.5468919987800227</v>
      </c>
      <c r="AE98" s="140">
        <f>Mitigation_Industry!AE$283*Mitigation_Industry!$K$273*MAX(Mitigation_Industry!$K$271,0)*Mitigation_Industry!$H$370/1000</f>
        <v>0.57697105871292398</v>
      </c>
      <c r="AF98" s="141"/>
      <c r="AG98" s="141"/>
      <c r="AH98" s="141"/>
      <c r="AI98" s="141"/>
    </row>
    <row r="99" spans="1:35" x14ac:dyDescent="0.35"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7">
        <v>2021</v>
      </c>
      <c r="L100" s="138">
        <v>2022</v>
      </c>
      <c r="M100" s="137">
        <v>2023</v>
      </c>
      <c r="N100" s="137">
        <v>2024</v>
      </c>
      <c r="O100" s="137">
        <v>2025</v>
      </c>
      <c r="P100" s="137">
        <v>2026</v>
      </c>
      <c r="Q100" s="137">
        <v>2027</v>
      </c>
      <c r="R100" s="137">
        <v>2028</v>
      </c>
      <c r="S100" s="137">
        <v>2029</v>
      </c>
      <c r="T100" s="137">
        <v>2030</v>
      </c>
      <c r="U100" s="137">
        <v>2031</v>
      </c>
      <c r="V100" s="137">
        <v>2032</v>
      </c>
      <c r="W100" s="137">
        <v>2033</v>
      </c>
      <c r="X100" s="137">
        <v>2034</v>
      </c>
      <c r="Y100" s="137">
        <v>2035</v>
      </c>
      <c r="Z100" s="137">
        <v>2036</v>
      </c>
      <c r="AA100" s="137">
        <v>2037</v>
      </c>
      <c r="AB100" s="137">
        <v>2038</v>
      </c>
      <c r="AC100" s="137">
        <v>2039</v>
      </c>
      <c r="AD100" s="137">
        <v>2040</v>
      </c>
      <c r="AE100" s="137">
        <v>2041</v>
      </c>
      <c r="AF100" s="137">
        <v>2042</v>
      </c>
      <c r="AG100" s="137">
        <v>2043</v>
      </c>
      <c r="AH100" s="137">
        <v>2044</v>
      </c>
      <c r="AI100" s="137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8" t="str">
        <f>Settings!$B$3&amp;".mit.wp.stl.drg.np.1"</f>
        <v>egy.mit.wp.stl.drg.np.1</v>
      </c>
      <c r="I101" t="s">
        <v>2657</v>
      </c>
      <c r="K101" s="139"/>
      <c r="L101" s="140">
        <f t="shared" ref="L101:AE101" si="0">L$83*EXP(-L$65*L$27)</f>
        <v>0.17734546065090059</v>
      </c>
      <c r="M101" s="140">
        <f t="shared" si="0"/>
        <v>0.18514866091954021</v>
      </c>
      <c r="N101" s="140">
        <f t="shared" si="0"/>
        <v>0.193295202</v>
      </c>
      <c r="O101" s="140">
        <f t="shared" si="0"/>
        <v>0.20180019088800003</v>
      </c>
      <c r="P101" s="140">
        <f t="shared" si="0"/>
        <v>0.21067939928707202</v>
      </c>
      <c r="Q101" s="140">
        <f t="shared" si="0"/>
        <v>0.21994929285570322</v>
      </c>
      <c r="R101" s="140">
        <f t="shared" si="0"/>
        <v>0.22962706174135414</v>
      </c>
      <c r="S101" s="140">
        <f t="shared" si="0"/>
        <v>0.2397306524579737</v>
      </c>
      <c r="T101" s="140">
        <f t="shared" si="0"/>
        <v>0.25027880116612461</v>
      </c>
      <c r="U101" s="140">
        <f t="shared" si="0"/>
        <v>0.2612910684174341</v>
      </c>
      <c r="V101" s="140">
        <f t="shared" si="0"/>
        <v>0.27278787542780114</v>
      </c>
      <c r="W101" s="140">
        <f t="shared" si="0"/>
        <v>0.28479054194662445</v>
      </c>
      <c r="X101" s="140">
        <f t="shared" si="0"/>
        <v>0.29732132579227588</v>
      </c>
      <c r="Y101" s="140">
        <f t="shared" si="0"/>
        <v>0.3104034641271361</v>
      </c>
      <c r="Z101" s="140">
        <f t="shared" si="0"/>
        <v>0.32406121654872999</v>
      </c>
      <c r="AA101" s="140">
        <f t="shared" si="0"/>
        <v>0.33831991007687412</v>
      </c>
      <c r="AB101" s="140">
        <f t="shared" si="0"/>
        <v>0.35320598612025667</v>
      </c>
      <c r="AC101" s="140">
        <f t="shared" si="0"/>
        <v>0.36874704950954795</v>
      </c>
      <c r="AD101" s="140">
        <f t="shared" si="0"/>
        <v>0.38497191968796801</v>
      </c>
      <c r="AE101" s="140">
        <f t="shared" si="0"/>
        <v>0.40191068415423858</v>
      </c>
      <c r="AF101" s="141"/>
      <c r="AG101" s="141"/>
      <c r="AH101" s="141"/>
      <c r="AI101" s="141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8" t="str">
        <f>Settings!$B$3&amp;".mit.wp.stl.scr.np.1"</f>
        <v>egy.mit.wp.stl.scr.np.1</v>
      </c>
      <c r="K102" s="139"/>
      <c r="L102" s="140">
        <f t="shared" ref="L102:AE102" si="1">L$84*EXP(-L$66*L$28)</f>
        <v>0.19368983132954593</v>
      </c>
      <c r="M102" s="140">
        <f t="shared" si="1"/>
        <v>0.20221218390804596</v>
      </c>
      <c r="N102" s="140">
        <f t="shared" si="1"/>
        <v>0.21110951999999997</v>
      </c>
      <c r="O102" s="140">
        <f t="shared" si="1"/>
        <v>0.22039833887999999</v>
      </c>
      <c r="P102" s="140">
        <f t="shared" si="1"/>
        <v>0.23009586579071997</v>
      </c>
      <c r="Q102" s="140">
        <f t="shared" si="1"/>
        <v>0.24022008388551169</v>
      </c>
      <c r="R102" s="140">
        <f t="shared" si="1"/>
        <v>0.25078976757647414</v>
      </c>
      <c r="S102" s="140">
        <f t="shared" si="1"/>
        <v>0.26182451734983908</v>
      </c>
      <c r="T102" s="140">
        <f t="shared" si="1"/>
        <v>0.27334479611323198</v>
      </c>
      <c r="U102" s="140">
        <f t="shared" si="1"/>
        <v>0.28537196714221424</v>
      </c>
      <c r="V102" s="140">
        <f t="shared" si="1"/>
        <v>0.29792833369647159</v>
      </c>
      <c r="W102" s="140">
        <f t="shared" si="1"/>
        <v>0.31103718037911643</v>
      </c>
      <c r="X102" s="140">
        <f t="shared" si="1"/>
        <v>0.32472281631579752</v>
      </c>
      <c r="Y102" s="140">
        <f t="shared" si="1"/>
        <v>0.33901062023369266</v>
      </c>
      <c r="Z102" s="140">
        <f t="shared" si="1"/>
        <v>0.35392708752397511</v>
      </c>
      <c r="AA102" s="140">
        <f t="shared" si="1"/>
        <v>0.36949987937502998</v>
      </c>
      <c r="AB102" s="140">
        <f t="shared" si="1"/>
        <v>0.38575787406753137</v>
      </c>
      <c r="AC102" s="140">
        <f t="shared" si="1"/>
        <v>0.40273122052650273</v>
      </c>
      <c r="AD102" s="140">
        <f t="shared" si="1"/>
        <v>0.42045139422966882</v>
      </c>
      <c r="AE102" s="140">
        <f t="shared" si="1"/>
        <v>0.43895125557577425</v>
      </c>
      <c r="AF102" s="141"/>
      <c r="AG102" s="141"/>
      <c r="AH102" s="141"/>
      <c r="AI102" s="141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8" t="str">
        <f>Settings!$B$3&amp;".mit.wp.stl.bof.np.1"</f>
        <v>egy.mit.wp.stl.bof.np.1</v>
      </c>
      <c r="K103" s="139"/>
      <c r="L103" s="140">
        <f t="shared" ref="L103:AE103" si="2">L$85*EXP(-L$67*L$29)</f>
        <v>0</v>
      </c>
      <c r="M103" s="140">
        <f t="shared" si="2"/>
        <v>0</v>
      </c>
      <c r="N103" s="140">
        <f t="shared" si="2"/>
        <v>0</v>
      </c>
      <c r="O103" s="140">
        <f t="shared" si="2"/>
        <v>0</v>
      </c>
      <c r="P103" s="140">
        <f t="shared" si="2"/>
        <v>0</v>
      </c>
      <c r="Q103" s="140">
        <f t="shared" si="2"/>
        <v>0</v>
      </c>
      <c r="R103" s="140">
        <f t="shared" si="2"/>
        <v>0</v>
      </c>
      <c r="S103" s="140">
        <f t="shared" si="2"/>
        <v>0</v>
      </c>
      <c r="T103" s="140">
        <f t="shared" si="2"/>
        <v>0</v>
      </c>
      <c r="U103" s="140">
        <f t="shared" si="2"/>
        <v>0</v>
      </c>
      <c r="V103" s="140">
        <f t="shared" si="2"/>
        <v>0</v>
      </c>
      <c r="W103" s="140">
        <f t="shared" si="2"/>
        <v>0</v>
      </c>
      <c r="X103" s="140">
        <f t="shared" si="2"/>
        <v>0</v>
      </c>
      <c r="Y103" s="140">
        <f t="shared" si="2"/>
        <v>0</v>
      </c>
      <c r="Z103" s="140">
        <f t="shared" si="2"/>
        <v>0</v>
      </c>
      <c r="AA103" s="140">
        <f t="shared" si="2"/>
        <v>0</v>
      </c>
      <c r="AB103" s="140">
        <f t="shared" si="2"/>
        <v>0</v>
      </c>
      <c r="AC103" s="140">
        <f t="shared" si="2"/>
        <v>0</v>
      </c>
      <c r="AD103" s="140">
        <f t="shared" si="2"/>
        <v>0</v>
      </c>
      <c r="AE103" s="140">
        <f t="shared" si="2"/>
        <v>0</v>
      </c>
      <c r="AF103" s="141"/>
      <c r="AG103" s="141"/>
      <c r="AH103" s="141"/>
      <c r="AI103" s="141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8" t="str">
        <f>Settings!$B$3&amp;".mit.wp.cmt.dry.np.1"</f>
        <v>egy.mit.wp.cmt.dry.np.1</v>
      </c>
      <c r="K104" s="139"/>
      <c r="L104" s="140">
        <f t="shared" ref="L104:AE104" si="3">L$86*EXP(-L$68*L$30)</f>
        <v>25.163138219961041</v>
      </c>
      <c r="M104" s="140">
        <f t="shared" si="3"/>
        <v>25.993521781219755</v>
      </c>
      <c r="N104" s="140">
        <f t="shared" si="3"/>
        <v>26.851308</v>
      </c>
      <c r="O104" s="140">
        <f t="shared" si="3"/>
        <v>27.737401163999998</v>
      </c>
      <c r="P104" s="140">
        <f t="shared" si="3"/>
        <v>28.652735402411995</v>
      </c>
      <c r="Q104" s="140">
        <f t="shared" si="3"/>
        <v>29.598275670691589</v>
      </c>
      <c r="R104" s="140">
        <f t="shared" si="3"/>
        <v>30.575018767824407</v>
      </c>
      <c r="S104" s="140">
        <f t="shared" si="3"/>
        <v>31.583994387162612</v>
      </c>
      <c r="T104" s="140">
        <f t="shared" si="3"/>
        <v>32.626266201938975</v>
      </c>
      <c r="U104" s="140">
        <f t="shared" si="3"/>
        <v>33.70293298660296</v>
      </c>
      <c r="V104" s="140">
        <f t="shared" si="3"/>
        <v>34.815129775160841</v>
      </c>
      <c r="W104" s="140">
        <f t="shared" si="3"/>
        <v>35.964029057741151</v>
      </c>
      <c r="X104" s="140">
        <f t="shared" si="3"/>
        <v>37.150842016646592</v>
      </c>
      <c r="Y104" s="140">
        <f t="shared" si="3"/>
        <v>38.376819803195943</v>
      </c>
      <c r="Z104" s="140">
        <f t="shared" si="3"/>
        <v>39.643254856701404</v>
      </c>
      <c r="AA104" s="140">
        <f t="shared" si="3"/>
        <v>40.951482266972548</v>
      </c>
      <c r="AB104" s="140">
        <f t="shared" si="3"/>
        <v>42.302881181782631</v>
      </c>
      <c r="AC104" s="140">
        <f t="shared" si="3"/>
        <v>43.698876260781446</v>
      </c>
      <c r="AD104" s="140">
        <f t="shared" si="3"/>
        <v>45.140939177387231</v>
      </c>
      <c r="AE104" s="140">
        <f t="shared" si="3"/>
        <v>46.630590170241007</v>
      </c>
      <c r="AF104" s="141"/>
      <c r="AG104" s="141"/>
      <c r="AH104" s="141"/>
      <c r="AI104" s="141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8" t="str">
        <f>Settings!$B$3&amp;".mit.wp.frt.amc.np.1"</f>
        <v>egy.mit.wp.frt.amc.np.1</v>
      </c>
      <c r="K105" s="139"/>
      <c r="L105" s="140">
        <f t="shared" ref="L105:AE105" si="4">L$87*EXP(-L$69*L$31)</f>
        <v>0</v>
      </c>
      <c r="M105" s="140">
        <f t="shared" si="4"/>
        <v>0</v>
      </c>
      <c r="N105" s="140">
        <f t="shared" si="4"/>
        <v>0</v>
      </c>
      <c r="O105" s="140">
        <f t="shared" si="4"/>
        <v>0</v>
      </c>
      <c r="P105" s="140">
        <f t="shared" si="4"/>
        <v>0</v>
      </c>
      <c r="Q105" s="140">
        <f t="shared" si="4"/>
        <v>0</v>
      </c>
      <c r="R105" s="140">
        <f t="shared" si="4"/>
        <v>0</v>
      </c>
      <c r="S105" s="140">
        <f t="shared" si="4"/>
        <v>0</v>
      </c>
      <c r="T105" s="140">
        <f t="shared" si="4"/>
        <v>0</v>
      </c>
      <c r="U105" s="140">
        <f t="shared" si="4"/>
        <v>0</v>
      </c>
      <c r="V105" s="140">
        <f t="shared" si="4"/>
        <v>0</v>
      </c>
      <c r="W105" s="140">
        <f t="shared" si="4"/>
        <v>0</v>
      </c>
      <c r="X105" s="140">
        <f t="shared" si="4"/>
        <v>0</v>
      </c>
      <c r="Y105" s="140">
        <f t="shared" si="4"/>
        <v>0</v>
      </c>
      <c r="Z105" s="140">
        <f t="shared" si="4"/>
        <v>0</v>
      </c>
      <c r="AA105" s="140">
        <f t="shared" si="4"/>
        <v>0</v>
      </c>
      <c r="AB105" s="140">
        <f t="shared" si="4"/>
        <v>0</v>
      </c>
      <c r="AC105" s="140">
        <f t="shared" si="4"/>
        <v>0</v>
      </c>
      <c r="AD105" s="140">
        <f t="shared" si="4"/>
        <v>0</v>
      </c>
      <c r="AE105" s="140">
        <f t="shared" si="4"/>
        <v>0</v>
      </c>
      <c r="AF105" s="141"/>
      <c r="AG105" s="141"/>
      <c r="AH105" s="141"/>
      <c r="AI105" s="141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8" t="str">
        <f>Settings!$B$3&amp;".mit.wp.frt.ure.np.1"</f>
        <v>egy.mit.wp.frt.ure.np.1</v>
      </c>
      <c r="K106" s="139"/>
      <c r="L106" s="140">
        <f t="shared" ref="L106:AE106" si="5">L$88*EXP(-L$70*L$32)</f>
        <v>0</v>
      </c>
      <c r="M106" s="140">
        <f t="shared" si="5"/>
        <v>0</v>
      </c>
      <c r="N106" s="140">
        <f t="shared" si="5"/>
        <v>0</v>
      </c>
      <c r="O106" s="140">
        <f t="shared" si="5"/>
        <v>0</v>
      </c>
      <c r="P106" s="140">
        <f t="shared" si="5"/>
        <v>0</v>
      </c>
      <c r="Q106" s="140">
        <f t="shared" si="5"/>
        <v>0</v>
      </c>
      <c r="R106" s="140">
        <f t="shared" si="5"/>
        <v>0</v>
      </c>
      <c r="S106" s="140">
        <f t="shared" si="5"/>
        <v>0</v>
      </c>
      <c r="T106" s="140">
        <f t="shared" si="5"/>
        <v>0</v>
      </c>
      <c r="U106" s="140">
        <f t="shared" si="5"/>
        <v>0</v>
      </c>
      <c r="V106" s="140">
        <f t="shared" si="5"/>
        <v>0</v>
      </c>
      <c r="W106" s="140">
        <f t="shared" si="5"/>
        <v>0</v>
      </c>
      <c r="X106" s="140">
        <f t="shared" si="5"/>
        <v>0</v>
      </c>
      <c r="Y106" s="140">
        <f t="shared" si="5"/>
        <v>0</v>
      </c>
      <c r="Z106" s="140">
        <f t="shared" si="5"/>
        <v>0</v>
      </c>
      <c r="AA106" s="140">
        <f t="shared" si="5"/>
        <v>0</v>
      </c>
      <c r="AB106" s="140">
        <f t="shared" si="5"/>
        <v>0</v>
      </c>
      <c r="AC106" s="140">
        <f t="shared" si="5"/>
        <v>0</v>
      </c>
      <c r="AD106" s="140">
        <f t="shared" si="5"/>
        <v>0</v>
      </c>
      <c r="AE106" s="140">
        <f t="shared" si="5"/>
        <v>0</v>
      </c>
      <c r="AF106" s="141"/>
      <c r="AG106" s="141"/>
      <c r="AH106" s="141"/>
      <c r="AI106" s="141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8" t="str">
        <f>Settings!$B$3&amp;".mit.wp.frt.nit.np.1"</f>
        <v>egy.mit.wp.frt.nit.np.1</v>
      </c>
      <c r="K107" s="139"/>
      <c r="L107" s="140">
        <f t="shared" ref="L107:AE107" si="6">L$89*EXP(-L$71*L$33)</f>
        <v>0</v>
      </c>
      <c r="M107" s="140">
        <f t="shared" si="6"/>
        <v>0</v>
      </c>
      <c r="N107" s="140">
        <f t="shared" si="6"/>
        <v>0</v>
      </c>
      <c r="O107" s="140">
        <f t="shared" si="6"/>
        <v>0</v>
      </c>
      <c r="P107" s="140">
        <f t="shared" si="6"/>
        <v>0</v>
      </c>
      <c r="Q107" s="140">
        <f t="shared" si="6"/>
        <v>0</v>
      </c>
      <c r="R107" s="140">
        <f t="shared" si="6"/>
        <v>0</v>
      </c>
      <c r="S107" s="140">
        <f t="shared" si="6"/>
        <v>0</v>
      </c>
      <c r="T107" s="140">
        <f t="shared" si="6"/>
        <v>0</v>
      </c>
      <c r="U107" s="140">
        <f t="shared" si="6"/>
        <v>0</v>
      </c>
      <c r="V107" s="140">
        <f t="shared" si="6"/>
        <v>0</v>
      </c>
      <c r="W107" s="140">
        <f t="shared" si="6"/>
        <v>0</v>
      </c>
      <c r="X107" s="140">
        <f t="shared" si="6"/>
        <v>0</v>
      </c>
      <c r="Y107" s="140">
        <f t="shared" si="6"/>
        <v>0</v>
      </c>
      <c r="Z107" s="140">
        <f t="shared" si="6"/>
        <v>0</v>
      </c>
      <c r="AA107" s="140">
        <f t="shared" si="6"/>
        <v>0</v>
      </c>
      <c r="AB107" s="140">
        <f t="shared" si="6"/>
        <v>0</v>
      </c>
      <c r="AC107" s="140">
        <f t="shared" si="6"/>
        <v>0</v>
      </c>
      <c r="AD107" s="140">
        <f t="shared" si="6"/>
        <v>0</v>
      </c>
      <c r="AE107" s="140">
        <f t="shared" si="6"/>
        <v>0</v>
      </c>
      <c r="AF107" s="141"/>
      <c r="AG107" s="141"/>
      <c r="AH107" s="141"/>
      <c r="AI107" s="141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8" t="str">
        <f>Settings!$B$3&amp;".mit.wp.alu.prp.np.1"</f>
        <v>egy.mit.wp.alu.prp.np.1</v>
      </c>
      <c r="K108" s="139"/>
      <c r="L108" s="140">
        <f t="shared" ref="L108:AE108" si="7">L$90*EXP(-L$72*L$34)</f>
        <v>0.43758937310482698</v>
      </c>
      <c r="M108" s="140">
        <f t="shared" si="7"/>
        <v>0.4616567886255924</v>
      </c>
      <c r="N108" s="140">
        <f t="shared" si="7"/>
        <v>0.48704791199999997</v>
      </c>
      <c r="O108" s="140">
        <f t="shared" si="7"/>
        <v>0.51383554716000002</v>
      </c>
      <c r="P108" s="140">
        <f t="shared" si="7"/>
        <v>0.54209650225379991</v>
      </c>
      <c r="Q108" s="140">
        <f t="shared" si="7"/>
        <v>0.5719118098777588</v>
      </c>
      <c r="R108" s="140">
        <f t="shared" si="7"/>
        <v>0.6033669594210358</v>
      </c>
      <c r="S108" s="140">
        <f t="shared" si="7"/>
        <v>0.63655214218919254</v>
      </c>
      <c r="T108" s="140">
        <f t="shared" si="7"/>
        <v>0.6715625100095981</v>
      </c>
      <c r="U108" s="140">
        <f t="shared" si="7"/>
        <v>0.70849844806012596</v>
      </c>
      <c r="V108" s="140">
        <f t="shared" si="7"/>
        <v>0.74746586270343296</v>
      </c>
      <c r="W108" s="140">
        <f t="shared" si="7"/>
        <v>0.78857648515212175</v>
      </c>
      <c r="X108" s="140">
        <f t="shared" si="7"/>
        <v>0.83194819183548852</v>
      </c>
      <c r="Y108" s="140">
        <f t="shared" si="7"/>
        <v>0.87770534238644027</v>
      </c>
      <c r="Z108" s="140">
        <f t="shared" si="7"/>
        <v>0.92597913621769457</v>
      </c>
      <c r="AA108" s="140">
        <f t="shared" si="7"/>
        <v>0.97690798870966755</v>
      </c>
      <c r="AB108" s="140">
        <f t="shared" si="7"/>
        <v>1.0306379280886993</v>
      </c>
      <c r="AC108" s="140">
        <f t="shared" si="7"/>
        <v>1.0873230141335775</v>
      </c>
      <c r="AD108" s="140">
        <f t="shared" si="7"/>
        <v>1.1471257799109245</v>
      </c>
      <c r="AE108" s="140">
        <f t="shared" si="7"/>
        <v>1.2102176978060251</v>
      </c>
      <c r="AF108" s="141"/>
      <c r="AG108" s="141"/>
      <c r="AH108" s="141"/>
      <c r="AI108" s="141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8" t="str">
        <f>Settings!$B$3&amp;".mit.wp.stl.drg.no.1"</f>
        <v>egy.mit.wp.stl.drg.no.1</v>
      </c>
      <c r="K109" s="139"/>
      <c r="L109" s="140">
        <f t="shared" ref="L109:AE109" si="8">L$91*EXP(-L$73*L$35)</f>
        <v>0</v>
      </c>
      <c r="M109" s="140">
        <f t="shared" si="8"/>
        <v>0</v>
      </c>
      <c r="N109" s="140">
        <f t="shared" si="8"/>
        <v>0</v>
      </c>
      <c r="O109" s="140">
        <f t="shared" si="8"/>
        <v>0</v>
      </c>
      <c r="P109" s="140">
        <f t="shared" si="8"/>
        <v>0</v>
      </c>
      <c r="Q109" s="140">
        <f t="shared" si="8"/>
        <v>0</v>
      </c>
      <c r="R109" s="140">
        <f t="shared" si="8"/>
        <v>0</v>
      </c>
      <c r="S109" s="140">
        <f t="shared" si="8"/>
        <v>0</v>
      </c>
      <c r="T109" s="140">
        <f t="shared" si="8"/>
        <v>0</v>
      </c>
      <c r="U109" s="140">
        <f t="shared" si="8"/>
        <v>0</v>
      </c>
      <c r="V109" s="140">
        <f t="shared" si="8"/>
        <v>0</v>
      </c>
      <c r="W109" s="140">
        <f t="shared" si="8"/>
        <v>0</v>
      </c>
      <c r="X109" s="140">
        <f t="shared" si="8"/>
        <v>0</v>
      </c>
      <c r="Y109" s="140">
        <f t="shared" si="8"/>
        <v>0</v>
      </c>
      <c r="Z109" s="140">
        <f t="shared" si="8"/>
        <v>0</v>
      </c>
      <c r="AA109" s="140">
        <f t="shared" si="8"/>
        <v>0</v>
      </c>
      <c r="AB109" s="140">
        <f t="shared" si="8"/>
        <v>0</v>
      </c>
      <c r="AC109" s="140">
        <f t="shared" si="8"/>
        <v>0</v>
      </c>
      <c r="AD109" s="140">
        <f t="shared" si="8"/>
        <v>0</v>
      </c>
      <c r="AE109" s="140">
        <f t="shared" si="8"/>
        <v>0</v>
      </c>
      <c r="AF109" s="141"/>
      <c r="AG109" s="141"/>
      <c r="AH109" s="141"/>
      <c r="AI109" s="141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8" t="str">
        <f>Settings!$B$3&amp;".mit.wp.stl.scr.no.1"</f>
        <v>egy.mit.wp.stl.scr.no.1</v>
      </c>
      <c r="K110" s="139"/>
      <c r="L110" s="140">
        <f t="shared" ref="L110:AE110" si="9">L$92*EXP(-L$74*L$36)</f>
        <v>0</v>
      </c>
      <c r="M110" s="140">
        <f t="shared" si="9"/>
        <v>0</v>
      </c>
      <c r="N110" s="140">
        <f t="shared" si="9"/>
        <v>0</v>
      </c>
      <c r="O110" s="140">
        <f t="shared" si="9"/>
        <v>0</v>
      </c>
      <c r="P110" s="140">
        <f t="shared" si="9"/>
        <v>0</v>
      </c>
      <c r="Q110" s="140">
        <f t="shared" si="9"/>
        <v>0</v>
      </c>
      <c r="R110" s="140">
        <f t="shared" si="9"/>
        <v>0</v>
      </c>
      <c r="S110" s="140">
        <f t="shared" si="9"/>
        <v>0</v>
      </c>
      <c r="T110" s="140">
        <f t="shared" si="9"/>
        <v>0</v>
      </c>
      <c r="U110" s="140">
        <f t="shared" si="9"/>
        <v>0</v>
      </c>
      <c r="V110" s="140">
        <f t="shared" si="9"/>
        <v>0</v>
      </c>
      <c r="W110" s="140">
        <f t="shared" si="9"/>
        <v>0</v>
      </c>
      <c r="X110" s="140">
        <f t="shared" si="9"/>
        <v>0</v>
      </c>
      <c r="Y110" s="140">
        <f t="shared" si="9"/>
        <v>0</v>
      </c>
      <c r="Z110" s="140">
        <f t="shared" si="9"/>
        <v>0</v>
      </c>
      <c r="AA110" s="140">
        <f t="shared" si="9"/>
        <v>0</v>
      </c>
      <c r="AB110" s="140">
        <f t="shared" si="9"/>
        <v>0</v>
      </c>
      <c r="AC110" s="140">
        <f t="shared" si="9"/>
        <v>0</v>
      </c>
      <c r="AD110" s="140">
        <f t="shared" si="9"/>
        <v>0</v>
      </c>
      <c r="AE110" s="140">
        <f t="shared" si="9"/>
        <v>0</v>
      </c>
      <c r="AF110" s="141"/>
      <c r="AG110" s="141"/>
      <c r="AH110" s="141"/>
      <c r="AI110" s="141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8" t="str">
        <f>Settings!$B$3&amp;".mit.wp.stl.bof.no.1"</f>
        <v>egy.mit.wp.stl.bof.no.1</v>
      </c>
      <c r="K111" s="139"/>
      <c r="L111" s="140">
        <f t="shared" ref="L111:AE111" si="10">L$93*EXP(-L$75*L$37)</f>
        <v>0</v>
      </c>
      <c r="M111" s="140">
        <f t="shared" si="10"/>
        <v>0</v>
      </c>
      <c r="N111" s="140">
        <f t="shared" si="10"/>
        <v>0</v>
      </c>
      <c r="O111" s="140">
        <f t="shared" si="10"/>
        <v>0</v>
      </c>
      <c r="P111" s="140">
        <f t="shared" si="10"/>
        <v>0</v>
      </c>
      <c r="Q111" s="140">
        <f t="shared" si="10"/>
        <v>0</v>
      </c>
      <c r="R111" s="140">
        <f t="shared" si="10"/>
        <v>0</v>
      </c>
      <c r="S111" s="140">
        <f t="shared" si="10"/>
        <v>0</v>
      </c>
      <c r="T111" s="140">
        <f t="shared" si="10"/>
        <v>0</v>
      </c>
      <c r="U111" s="140">
        <f t="shared" si="10"/>
        <v>0</v>
      </c>
      <c r="V111" s="140">
        <f t="shared" si="10"/>
        <v>0</v>
      </c>
      <c r="W111" s="140">
        <f t="shared" si="10"/>
        <v>0</v>
      </c>
      <c r="X111" s="140">
        <f t="shared" si="10"/>
        <v>0</v>
      </c>
      <c r="Y111" s="140">
        <f t="shared" si="10"/>
        <v>0</v>
      </c>
      <c r="Z111" s="140">
        <f t="shared" si="10"/>
        <v>0</v>
      </c>
      <c r="AA111" s="140">
        <f t="shared" si="10"/>
        <v>0</v>
      </c>
      <c r="AB111" s="140">
        <f t="shared" si="10"/>
        <v>0</v>
      </c>
      <c r="AC111" s="140">
        <f t="shared" si="10"/>
        <v>0</v>
      </c>
      <c r="AD111" s="140">
        <f t="shared" si="10"/>
        <v>0</v>
      </c>
      <c r="AE111" s="140">
        <f t="shared" si="10"/>
        <v>0</v>
      </c>
      <c r="AF111" s="141"/>
      <c r="AG111" s="141"/>
      <c r="AH111" s="141"/>
      <c r="AI111" s="141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8" t="str">
        <f>Settings!$B$3&amp;".mit.wp.cmt.dry.no.1"</f>
        <v>egy.mit.wp.cmt.dry.no.1</v>
      </c>
      <c r="K112" s="139"/>
      <c r="L112" s="140">
        <f t="shared" ref="L112:AE112" si="11">L$94*EXP(-L$76*L$38)</f>
        <v>0</v>
      </c>
      <c r="M112" s="140">
        <f t="shared" si="11"/>
        <v>0</v>
      </c>
      <c r="N112" s="140">
        <f t="shared" si="11"/>
        <v>0</v>
      </c>
      <c r="O112" s="140">
        <f t="shared" si="11"/>
        <v>0</v>
      </c>
      <c r="P112" s="140">
        <f t="shared" si="11"/>
        <v>0</v>
      </c>
      <c r="Q112" s="140">
        <f t="shared" si="11"/>
        <v>0</v>
      </c>
      <c r="R112" s="140">
        <f t="shared" si="11"/>
        <v>0</v>
      </c>
      <c r="S112" s="140">
        <f t="shared" si="11"/>
        <v>0</v>
      </c>
      <c r="T112" s="140">
        <f t="shared" si="11"/>
        <v>0</v>
      </c>
      <c r="U112" s="140">
        <f t="shared" si="11"/>
        <v>0</v>
      </c>
      <c r="V112" s="140">
        <f t="shared" si="11"/>
        <v>0</v>
      </c>
      <c r="W112" s="140">
        <f t="shared" si="11"/>
        <v>0</v>
      </c>
      <c r="X112" s="140">
        <f t="shared" si="11"/>
        <v>0</v>
      </c>
      <c r="Y112" s="140">
        <f t="shared" si="11"/>
        <v>0</v>
      </c>
      <c r="Z112" s="140">
        <f t="shared" si="11"/>
        <v>0</v>
      </c>
      <c r="AA112" s="140">
        <f t="shared" si="11"/>
        <v>0</v>
      </c>
      <c r="AB112" s="140">
        <f t="shared" si="11"/>
        <v>0</v>
      </c>
      <c r="AC112" s="140">
        <f t="shared" si="11"/>
        <v>0</v>
      </c>
      <c r="AD112" s="140">
        <f t="shared" si="11"/>
        <v>0</v>
      </c>
      <c r="AE112" s="140">
        <f t="shared" si="11"/>
        <v>0</v>
      </c>
      <c r="AF112" s="141"/>
      <c r="AG112" s="141"/>
      <c r="AH112" s="141"/>
      <c r="AI112" s="141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8" t="str">
        <f>Settings!$B$3&amp;".mit.wp.frt.amc.no.1"</f>
        <v>egy.mit.wp.frt.amc.no.1</v>
      </c>
      <c r="K113" s="139"/>
      <c r="L113" s="140">
        <f t="shared" ref="L113:AE113" si="12">L$95*EXP(-L$77*L$39)</f>
        <v>0</v>
      </c>
      <c r="M113" s="140">
        <f t="shared" si="12"/>
        <v>0</v>
      </c>
      <c r="N113" s="140">
        <f t="shared" si="12"/>
        <v>0</v>
      </c>
      <c r="O113" s="140">
        <f t="shared" si="12"/>
        <v>0</v>
      </c>
      <c r="P113" s="140">
        <f t="shared" si="12"/>
        <v>0</v>
      </c>
      <c r="Q113" s="140">
        <f t="shared" si="12"/>
        <v>0</v>
      </c>
      <c r="R113" s="140">
        <f t="shared" si="12"/>
        <v>0</v>
      </c>
      <c r="S113" s="140">
        <f t="shared" si="12"/>
        <v>0</v>
      </c>
      <c r="T113" s="140">
        <f t="shared" si="12"/>
        <v>0</v>
      </c>
      <c r="U113" s="140">
        <f t="shared" si="12"/>
        <v>0</v>
      </c>
      <c r="V113" s="140">
        <f t="shared" si="12"/>
        <v>0</v>
      </c>
      <c r="W113" s="140">
        <f t="shared" si="12"/>
        <v>0</v>
      </c>
      <c r="X113" s="140">
        <f t="shared" si="12"/>
        <v>0</v>
      </c>
      <c r="Y113" s="140">
        <f t="shared" si="12"/>
        <v>0</v>
      </c>
      <c r="Z113" s="140">
        <f t="shared" si="12"/>
        <v>0</v>
      </c>
      <c r="AA113" s="140">
        <f t="shared" si="12"/>
        <v>0</v>
      </c>
      <c r="AB113" s="140">
        <f t="shared" si="12"/>
        <v>0</v>
      </c>
      <c r="AC113" s="140">
        <f t="shared" si="12"/>
        <v>0</v>
      </c>
      <c r="AD113" s="140">
        <f t="shared" si="12"/>
        <v>0</v>
      </c>
      <c r="AE113" s="140">
        <f t="shared" si="12"/>
        <v>0</v>
      </c>
      <c r="AF113" s="141"/>
      <c r="AG113" s="141"/>
      <c r="AH113" s="141"/>
      <c r="AI113" s="141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8" t="str">
        <f>Settings!$B$3&amp;".mit.wp.frt.ure.no.1"</f>
        <v>egy.mit.wp.frt.ure.no.1</v>
      </c>
      <c r="K114" s="139"/>
      <c r="L114" s="140">
        <f t="shared" ref="L114:AE114" si="13">L$96*EXP(-L$78*L$40)</f>
        <v>0</v>
      </c>
      <c r="M114" s="140">
        <f t="shared" si="13"/>
        <v>0</v>
      </c>
      <c r="N114" s="140">
        <f t="shared" si="13"/>
        <v>0</v>
      </c>
      <c r="O114" s="140">
        <f t="shared" si="13"/>
        <v>0</v>
      </c>
      <c r="P114" s="140">
        <f t="shared" si="13"/>
        <v>0</v>
      </c>
      <c r="Q114" s="140">
        <f t="shared" si="13"/>
        <v>0</v>
      </c>
      <c r="R114" s="140">
        <f t="shared" si="13"/>
        <v>0</v>
      </c>
      <c r="S114" s="140">
        <f t="shared" si="13"/>
        <v>0</v>
      </c>
      <c r="T114" s="140">
        <f t="shared" si="13"/>
        <v>0</v>
      </c>
      <c r="U114" s="140">
        <f t="shared" si="13"/>
        <v>0</v>
      </c>
      <c r="V114" s="140">
        <f t="shared" si="13"/>
        <v>0</v>
      </c>
      <c r="W114" s="140">
        <f t="shared" si="13"/>
        <v>0</v>
      </c>
      <c r="X114" s="140">
        <f t="shared" si="13"/>
        <v>0</v>
      </c>
      <c r="Y114" s="140">
        <f t="shared" si="13"/>
        <v>0</v>
      </c>
      <c r="Z114" s="140">
        <f t="shared" si="13"/>
        <v>0</v>
      </c>
      <c r="AA114" s="140">
        <f t="shared" si="13"/>
        <v>0</v>
      </c>
      <c r="AB114" s="140">
        <f t="shared" si="13"/>
        <v>0</v>
      </c>
      <c r="AC114" s="140">
        <f t="shared" si="13"/>
        <v>0</v>
      </c>
      <c r="AD114" s="140">
        <f t="shared" si="13"/>
        <v>0</v>
      </c>
      <c r="AE114" s="140">
        <f t="shared" si="13"/>
        <v>0</v>
      </c>
      <c r="AF114" s="141"/>
      <c r="AG114" s="141"/>
      <c r="AH114" s="141"/>
      <c r="AI114" s="141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8" t="str">
        <f>Settings!$B$3&amp;".mit.wp.frt.nit.no.1"</f>
        <v>egy.mit.wp.frt.nit.no.1</v>
      </c>
      <c r="K115" s="139"/>
      <c r="L115" s="140">
        <f t="shared" ref="L115:AE115" si="14">L$97*EXP(-L$79*L$41)</f>
        <v>0.57123661061347031</v>
      </c>
      <c r="M115" s="140">
        <f t="shared" si="14"/>
        <v>0.58380381604696674</v>
      </c>
      <c r="N115" s="140">
        <f t="shared" si="14"/>
        <v>0.5966475</v>
      </c>
      <c r="O115" s="140">
        <f t="shared" si="14"/>
        <v>0.60977374500000003</v>
      </c>
      <c r="P115" s="140">
        <f t="shared" si="14"/>
        <v>0.62318876738999995</v>
      </c>
      <c r="Q115" s="140">
        <f t="shared" si="14"/>
        <v>0.6368989202725801</v>
      </c>
      <c r="R115" s="140">
        <f t="shared" si="14"/>
        <v>0.65091069651857669</v>
      </c>
      <c r="S115" s="140">
        <f t="shared" si="14"/>
        <v>0.66523073184198556</v>
      </c>
      <c r="T115" s="140">
        <f t="shared" si="14"/>
        <v>0.67986580794250906</v>
      </c>
      <c r="U115" s="140">
        <f t="shared" si="14"/>
        <v>0.69482285571724434</v>
      </c>
      <c r="V115" s="140">
        <f t="shared" si="14"/>
        <v>0.7101089585430238</v>
      </c>
      <c r="W115" s="140">
        <f t="shared" si="14"/>
        <v>0.72573135563097024</v>
      </c>
      <c r="X115" s="140">
        <f t="shared" si="14"/>
        <v>0.74169744545485172</v>
      </c>
      <c r="Y115" s="140">
        <f t="shared" si="14"/>
        <v>0.75801478925485843</v>
      </c>
      <c r="Z115" s="140">
        <f t="shared" si="14"/>
        <v>0.7746911146184654</v>
      </c>
      <c r="AA115" s="140">
        <f t="shared" si="14"/>
        <v>0.79173431914007153</v>
      </c>
      <c r="AB115" s="140">
        <f t="shared" si="14"/>
        <v>0.8091524741611531</v>
      </c>
      <c r="AC115" s="140">
        <f t="shared" si="14"/>
        <v>0.8269538285926985</v>
      </c>
      <c r="AD115" s="140">
        <f t="shared" si="14"/>
        <v>0.84514681282173787</v>
      </c>
      <c r="AE115" s="140">
        <f t="shared" si="14"/>
        <v>0.8637400427038161</v>
      </c>
      <c r="AF115" s="141"/>
      <c r="AG115" s="141"/>
      <c r="AH115" s="141"/>
      <c r="AI115" s="141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8" t="str">
        <f>Settings!$B$3&amp;".mit.wp.alu.prp.no.1"</f>
        <v>egy.mit.wp.alu.prp.no.1</v>
      </c>
      <c r="K116" s="139"/>
      <c r="L116" s="140">
        <f t="shared" ref="L116:AE116" si="15">L$98*EXP(-L$80*L$42)</f>
        <v>0.20862065092877519</v>
      </c>
      <c r="M116" s="140">
        <f t="shared" si="15"/>
        <v>0.22009478672985783</v>
      </c>
      <c r="N116" s="140">
        <f t="shared" si="15"/>
        <v>0.23220000000000002</v>
      </c>
      <c r="O116" s="140">
        <f t="shared" si="15"/>
        <v>0.24497099999999999</v>
      </c>
      <c r="P116" s="140">
        <f t="shared" si="15"/>
        <v>0.25844440499999999</v>
      </c>
      <c r="Q116" s="140">
        <f t="shared" si="15"/>
        <v>0.27265884727499995</v>
      </c>
      <c r="R116" s="140">
        <f t="shared" si="15"/>
        <v>0.28765508387512501</v>
      </c>
      <c r="S116" s="140">
        <f t="shared" si="15"/>
        <v>0.30347611348825682</v>
      </c>
      <c r="T116" s="140">
        <f t="shared" si="15"/>
        <v>0.32016729973011093</v>
      </c>
      <c r="U116" s="140">
        <f t="shared" si="15"/>
        <v>0.33777650121526698</v>
      </c>
      <c r="V116" s="140">
        <f t="shared" si="15"/>
        <v>0.35635420878210672</v>
      </c>
      <c r="W116" s="140">
        <f t="shared" si="15"/>
        <v>0.37595369026512254</v>
      </c>
      <c r="X116" s="140">
        <f t="shared" si="15"/>
        <v>0.39663114322970433</v>
      </c>
      <c r="Y116" s="140">
        <f t="shared" si="15"/>
        <v>0.41844585610733798</v>
      </c>
      <c r="Z116" s="140">
        <f t="shared" si="15"/>
        <v>0.44146037819324158</v>
      </c>
      <c r="AA116" s="140">
        <f t="shared" si="15"/>
        <v>0.46574069899386977</v>
      </c>
      <c r="AB116" s="140">
        <f t="shared" si="15"/>
        <v>0.49135643743853269</v>
      </c>
      <c r="AC116" s="140">
        <f t="shared" si="15"/>
        <v>0.51838104149765185</v>
      </c>
      <c r="AD116" s="140">
        <f t="shared" si="15"/>
        <v>0.5468919987800227</v>
      </c>
      <c r="AE116" s="140">
        <f t="shared" si="15"/>
        <v>0.57697105871292398</v>
      </c>
      <c r="AF116" s="141"/>
      <c r="AG116" s="141"/>
      <c r="AH116" s="141"/>
      <c r="AI116" s="141"/>
    </row>
    <row r="117" spans="1:35" x14ac:dyDescent="0.35"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7">
        <v>2021</v>
      </c>
      <c r="L118" s="138">
        <v>2022</v>
      </c>
      <c r="M118" s="137">
        <v>2023</v>
      </c>
      <c r="N118" s="137">
        <v>2024</v>
      </c>
      <c r="O118" s="137">
        <v>2025</v>
      </c>
      <c r="P118" s="137">
        <v>2026</v>
      </c>
      <c r="Q118" s="137">
        <v>2027</v>
      </c>
      <c r="R118" s="137">
        <v>2028</v>
      </c>
      <c r="S118" s="137">
        <v>2029</v>
      </c>
      <c r="T118" s="137">
        <v>2030</v>
      </c>
      <c r="U118" s="137">
        <v>2031</v>
      </c>
      <c r="V118" s="137">
        <v>2032</v>
      </c>
      <c r="W118" s="137">
        <v>2033</v>
      </c>
      <c r="X118" s="137">
        <v>2034</v>
      </c>
      <c r="Y118" s="137">
        <v>2035</v>
      </c>
      <c r="Z118" s="137">
        <v>2036</v>
      </c>
      <c r="AA118" s="137">
        <v>2037</v>
      </c>
      <c r="AB118" s="137">
        <v>2038</v>
      </c>
      <c r="AC118" s="137">
        <v>2039</v>
      </c>
      <c r="AD118" s="137">
        <v>2040</v>
      </c>
      <c r="AE118" s="137">
        <v>2041</v>
      </c>
      <c r="AF118" s="137">
        <v>2042</v>
      </c>
      <c r="AG118" s="137">
        <v>2043</v>
      </c>
      <c r="AH118" s="137">
        <v>2044</v>
      </c>
      <c r="AI118" s="137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8" t="str">
        <f>Settings!$B$3&amp;".mit.revf0.cbam.tot.1"</f>
        <v>egy.mit.revf0.cbam.tot.1</v>
      </c>
      <c r="I119" t="s">
        <v>2677</v>
      </c>
      <c r="K119" s="139"/>
      <c r="L119" s="143">
        <f>SUMPRODUCT(L$45:L$52*Mitigation_Industry!$I$330:$I$337*L$17:L$24)</f>
        <v>0</v>
      </c>
      <c r="M119" s="143">
        <f>SUMPRODUCT(M$45:M$52*Mitigation_Industry!$I$330:$I$337*M$17:M$24)</f>
        <v>0</v>
      </c>
      <c r="N119" s="143">
        <f>SUMPRODUCT(N$45:N$52*Mitigation_Industry!$I$330:$I$337*N$17:N$24)</f>
        <v>0</v>
      </c>
      <c r="O119" s="143">
        <f>SUMPRODUCT(O$45:O$52*Mitigation_Industry!$I$330:$I$337*O$17:O$24)</f>
        <v>0</v>
      </c>
      <c r="P119" s="143">
        <f>SUMPRODUCT(P$45:P$52*Mitigation_Industry!$I$330:$I$337*P$17:P$24)</f>
        <v>0</v>
      </c>
      <c r="Q119" s="143">
        <f>SUMPRODUCT(Q$45:Q$52*Mitigation_Industry!$I$330:$I$337*Q$17:Q$24)</f>
        <v>0</v>
      </c>
      <c r="R119" s="143">
        <f>SUMPRODUCT(R$45:R$52*Mitigation_Industry!$I$330:$I$337*R$17:R$24)</f>
        <v>0</v>
      </c>
      <c r="S119" s="143">
        <f>SUMPRODUCT(S$45:S$52*Mitigation_Industry!$I$330:$I$337*S$17:S$24)</f>
        <v>0</v>
      </c>
      <c r="T119" s="143">
        <f>SUMPRODUCT(T$45:T$52*Mitigation_Industry!$I$330:$I$337*T$17:T$24)</f>
        <v>0</v>
      </c>
      <c r="U119" s="143">
        <f>SUMPRODUCT(U$45:U$52*Mitigation_Industry!$I$330:$I$337*U$17:U$24)</f>
        <v>0</v>
      </c>
      <c r="V119" s="143">
        <f>SUMPRODUCT(V$45:V$52*Mitigation_Industry!$I$330:$I$337*V$17:V$24)</f>
        <v>0</v>
      </c>
      <c r="W119" s="143">
        <f>SUMPRODUCT(W$45:W$52*Mitigation_Industry!$I$330:$I$337*W$17:W$24)</f>
        <v>0</v>
      </c>
      <c r="X119" s="143">
        <f>SUMPRODUCT(X$45:X$52*Mitigation_Industry!$I$330:$I$337*X$17:X$24)</f>
        <v>0</v>
      </c>
      <c r="Y119" s="143">
        <f>SUMPRODUCT(Y$45:Y$52*Mitigation_Industry!$I$330:$I$337*Y$17:Y$24)</f>
        <v>0</v>
      </c>
      <c r="Z119" s="143">
        <f>SUMPRODUCT(Z$45:Z$52*Mitigation_Industry!$I$330:$I$337*Z$17:Z$24)</f>
        <v>0</v>
      </c>
      <c r="AA119" s="143">
        <f>SUMPRODUCT(AA$45:AA$52*Mitigation_Industry!$I$330:$I$337*AA$17:AA$24)</f>
        <v>0</v>
      </c>
      <c r="AB119" s="143">
        <f>SUMPRODUCT(AB$45:AB$52*Mitigation_Industry!$I$330:$I$337*AB$17:AB$24)</f>
        <v>0</v>
      </c>
      <c r="AC119" s="143">
        <f>SUMPRODUCT(AC$45:AC$52*Mitigation_Industry!$I$330:$I$337*AC$17:AC$24)</f>
        <v>0</v>
      </c>
      <c r="AD119" s="143">
        <f>SUMPRODUCT(AD$45:AD$52*Mitigation_Industry!$I$330:$I$337*AD$17:AD$24)</f>
        <v>0</v>
      </c>
      <c r="AE119" s="143">
        <f>SUMPRODUCT(AE$45:AE$52*Mitigation_Industry!$I$330:$I$337*AE$17:AE$24)</f>
        <v>0</v>
      </c>
      <c r="AF119" s="141"/>
      <c r="AG119" s="141"/>
      <c r="AH119" s="141"/>
      <c r="AI119" s="141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8" t="str">
        <f>Settings!$B$3&amp;".mit.revp0.cbam.tot.1"</f>
        <v>egy.mit.revp0.cbam.tot.1</v>
      </c>
      <c r="I120" t="s">
        <v>2680</v>
      </c>
      <c r="K120" s="139"/>
      <c r="L120" s="143">
        <f>SUMPRODUCT(Mitigation_Industry!L$341:L$348*Mitigation_Industry!$J$330:$J$337*L$27:L$34)-SUMPRODUCT((L$83:L$98-L$101:L$116)*L$27:L$42)</f>
        <v>0</v>
      </c>
      <c r="M120" s="143">
        <f>SUMPRODUCT(Mitigation_Industry!M$341:M$348*Mitigation_Industry!$J$330:$J$337*M$27:M$34)-SUMPRODUCT((M$83:M$98-M$101:M$116)*M$27:M$42)</f>
        <v>0</v>
      </c>
      <c r="N120" s="143">
        <f>SUMPRODUCT(Mitigation_Industry!N$341:N$348*Mitigation_Industry!$J$330:$J$337*N$27:N$34)-SUMPRODUCT((N$83:N$98-N$101:N$116)*N$27:N$42)</f>
        <v>0</v>
      </c>
      <c r="O120" s="143">
        <f>SUMPRODUCT(Mitigation_Industry!O$341:O$348*Mitigation_Industry!$J$330:$J$337*O$27:O$34)-SUMPRODUCT((O$83:O$98-O$101:O$116)*O$27:O$42)</f>
        <v>0</v>
      </c>
      <c r="P120" s="143">
        <f>SUMPRODUCT(Mitigation_Industry!P$341:P$348*Mitigation_Industry!$J$330:$J$337*P$27:P$34)-SUMPRODUCT((P$83:P$98-P$101:P$116)*P$27:P$42)</f>
        <v>0</v>
      </c>
      <c r="Q120" s="143">
        <f>SUMPRODUCT(Mitigation_Industry!Q$341:Q$348*Mitigation_Industry!$J$330:$J$337*Q$27:Q$34)-SUMPRODUCT((Q$83:Q$98-Q$101:Q$116)*Q$27:Q$42)</f>
        <v>0</v>
      </c>
      <c r="R120" s="143">
        <f>SUMPRODUCT(Mitigation_Industry!R$341:R$348*Mitigation_Industry!$J$330:$J$337*R$27:R$34)-SUMPRODUCT((R$83:R$98-R$101:R$116)*R$27:R$42)</f>
        <v>0</v>
      </c>
      <c r="S120" s="143">
        <f>SUMPRODUCT(Mitigation_Industry!S$341:S$348*Mitigation_Industry!$J$330:$J$337*S$27:S$34)-SUMPRODUCT((S$83:S$98-S$101:S$116)*S$27:S$42)</f>
        <v>0</v>
      </c>
      <c r="T120" s="143">
        <f>SUMPRODUCT(Mitigation_Industry!T$341:T$348*Mitigation_Industry!$J$330:$J$337*T$27:T$34)-SUMPRODUCT((T$83:T$98-T$101:T$116)*T$27:T$42)</f>
        <v>0</v>
      </c>
      <c r="U120" s="143">
        <f>SUMPRODUCT(Mitigation_Industry!U$341:U$348*Mitigation_Industry!$J$330:$J$337*U$27:U$34)-SUMPRODUCT((U$83:U$98-U$101:U$116)*U$27:U$42)</f>
        <v>0</v>
      </c>
      <c r="V120" s="143">
        <f>SUMPRODUCT(Mitigation_Industry!V$341:V$348*Mitigation_Industry!$J$330:$J$337*V$27:V$34)-SUMPRODUCT((V$83:V$98-V$101:V$116)*V$27:V$42)</f>
        <v>0</v>
      </c>
      <c r="W120" s="143">
        <f>SUMPRODUCT(Mitigation_Industry!W$341:W$348*Mitigation_Industry!$J$330:$J$337*W$27:W$34)-SUMPRODUCT((W$83:W$98-W$101:W$116)*W$27:W$42)</f>
        <v>0</v>
      </c>
      <c r="X120" s="143">
        <f>SUMPRODUCT(Mitigation_Industry!X$341:X$348*Mitigation_Industry!$J$330:$J$337*X$27:X$34)-SUMPRODUCT((X$83:X$98-X$101:X$116)*X$27:X$42)</f>
        <v>0</v>
      </c>
      <c r="Y120" s="143">
        <f>SUMPRODUCT(Mitigation_Industry!Y$341:Y$348*Mitigation_Industry!$J$330:$J$337*Y$27:Y$34)-SUMPRODUCT((Y$83:Y$98-Y$101:Y$116)*Y$27:Y$42)</f>
        <v>0</v>
      </c>
      <c r="Z120" s="143">
        <f>SUMPRODUCT(Mitigation_Industry!Z$341:Z$348*Mitigation_Industry!$J$330:$J$337*Z$27:Z$34)-SUMPRODUCT((Z$83:Z$98-Z$101:Z$116)*Z$27:Z$42)</f>
        <v>0</v>
      </c>
      <c r="AA120" s="143">
        <f>SUMPRODUCT(Mitigation_Industry!AA$341:AA$348*Mitigation_Industry!$J$330:$J$337*AA$27:AA$34)-SUMPRODUCT((AA$83:AA$98-AA$101:AA$116)*AA$27:AA$42)</f>
        <v>0</v>
      </c>
      <c r="AB120" s="143">
        <f>SUMPRODUCT(Mitigation_Industry!AB$341:AB$348*Mitigation_Industry!$J$330:$J$337*AB$27:AB$34)-SUMPRODUCT((AB$83:AB$98-AB$101:AB$116)*AB$27:AB$42)</f>
        <v>0</v>
      </c>
      <c r="AC120" s="143">
        <f>SUMPRODUCT(Mitigation_Industry!AC$341:AC$348*Mitigation_Industry!$J$330:$J$337*AC$27:AC$34)-SUMPRODUCT((AC$83:AC$98-AC$101:AC$116)*AC$27:AC$42)</f>
        <v>0</v>
      </c>
      <c r="AD120" s="143">
        <f>SUMPRODUCT(Mitigation_Industry!AD$341:AD$348*Mitigation_Industry!$J$330:$J$337*AD$27:AD$34)-SUMPRODUCT((AD$83:AD$98-AD$101:AD$116)*AD$27:AD$42)</f>
        <v>0</v>
      </c>
      <c r="AE120" s="143">
        <f>SUMPRODUCT(Mitigation_Industry!AE$341:AE$348*Mitigation_Industry!$J$330:$J$337*AE$27:AE$34)-SUMPRODUCT((AE$83:AE$98-AE$101:AE$116)*AE$27:AE$42)</f>
        <v>0</v>
      </c>
      <c r="AF120" s="141"/>
      <c r="AG120" s="141"/>
      <c r="AH120" s="141"/>
      <c r="AI120" s="141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8" t="str">
        <f>Settings!$B$3&amp;".mit.rev0.cbam.tot.1"</f>
        <v>egy.mit.rev0.cbam.tot.1</v>
      </c>
      <c r="I121" t="s">
        <v>2683</v>
      </c>
      <c r="K121" s="139"/>
      <c r="L121" s="143">
        <f t="shared" ref="L121:AE121" si="16">L119+L120</f>
        <v>0</v>
      </c>
      <c r="M121" s="143">
        <f t="shared" si="16"/>
        <v>0</v>
      </c>
      <c r="N121" s="143">
        <f t="shared" si="16"/>
        <v>0</v>
      </c>
      <c r="O121" s="143">
        <f t="shared" si="16"/>
        <v>0</v>
      </c>
      <c r="P121" s="143">
        <f t="shared" si="16"/>
        <v>0</v>
      </c>
      <c r="Q121" s="143">
        <f t="shared" si="16"/>
        <v>0</v>
      </c>
      <c r="R121" s="143">
        <f t="shared" si="16"/>
        <v>0</v>
      </c>
      <c r="S121" s="143">
        <f t="shared" si="16"/>
        <v>0</v>
      </c>
      <c r="T121" s="143">
        <f t="shared" si="16"/>
        <v>0</v>
      </c>
      <c r="U121" s="143">
        <f t="shared" si="16"/>
        <v>0</v>
      </c>
      <c r="V121" s="143">
        <f t="shared" si="16"/>
        <v>0</v>
      </c>
      <c r="W121" s="143">
        <f t="shared" si="16"/>
        <v>0</v>
      </c>
      <c r="X121" s="143">
        <f t="shared" si="16"/>
        <v>0</v>
      </c>
      <c r="Y121" s="143">
        <f t="shared" si="16"/>
        <v>0</v>
      </c>
      <c r="Z121" s="143">
        <f t="shared" si="16"/>
        <v>0</v>
      </c>
      <c r="AA121" s="143">
        <f t="shared" si="16"/>
        <v>0</v>
      </c>
      <c r="AB121" s="143">
        <f t="shared" si="16"/>
        <v>0</v>
      </c>
      <c r="AC121" s="143">
        <f t="shared" si="16"/>
        <v>0</v>
      </c>
      <c r="AD121" s="143">
        <f t="shared" si="16"/>
        <v>0</v>
      </c>
      <c r="AE121" s="143">
        <f t="shared" si="16"/>
        <v>0</v>
      </c>
      <c r="AF121" s="141"/>
      <c r="AG121" s="141"/>
      <c r="AH121" s="141"/>
      <c r="AI121" s="141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8" t="str">
        <f>Settings!$B$3&amp;".mit.fund.cbam.tot.1"</f>
        <v>egy.mit.fund.cbam.tot.1</v>
      </c>
      <c r="I122" t="s">
        <v>2685</v>
      </c>
      <c r="K122" s="139"/>
      <c r="L122" s="143">
        <f t="shared" ref="L122:AE122" si="17">L$11*L121</f>
        <v>0</v>
      </c>
      <c r="M122" s="143">
        <f t="shared" si="17"/>
        <v>0</v>
      </c>
      <c r="N122" s="143">
        <f t="shared" si="17"/>
        <v>0</v>
      </c>
      <c r="O122" s="143">
        <f t="shared" si="17"/>
        <v>0</v>
      </c>
      <c r="P122" s="143">
        <f t="shared" si="17"/>
        <v>0</v>
      </c>
      <c r="Q122" s="143">
        <f t="shared" si="17"/>
        <v>0</v>
      </c>
      <c r="R122" s="143">
        <f t="shared" si="17"/>
        <v>0</v>
      </c>
      <c r="S122" s="143">
        <f t="shared" si="17"/>
        <v>0</v>
      </c>
      <c r="T122" s="143">
        <f t="shared" si="17"/>
        <v>0</v>
      </c>
      <c r="U122" s="143">
        <f t="shared" si="17"/>
        <v>0</v>
      </c>
      <c r="V122" s="143">
        <f t="shared" si="17"/>
        <v>0</v>
      </c>
      <c r="W122" s="143">
        <f t="shared" si="17"/>
        <v>0</v>
      </c>
      <c r="X122" s="143">
        <f t="shared" si="17"/>
        <v>0</v>
      </c>
      <c r="Y122" s="143">
        <f t="shared" si="17"/>
        <v>0</v>
      </c>
      <c r="Z122" s="143">
        <f t="shared" si="17"/>
        <v>0</v>
      </c>
      <c r="AA122" s="143">
        <f t="shared" si="17"/>
        <v>0</v>
      </c>
      <c r="AB122" s="143">
        <f t="shared" si="17"/>
        <v>0</v>
      </c>
      <c r="AC122" s="143">
        <f t="shared" si="17"/>
        <v>0</v>
      </c>
      <c r="AD122" s="143">
        <f t="shared" si="17"/>
        <v>0</v>
      </c>
      <c r="AE122" s="143">
        <f t="shared" si="17"/>
        <v>0</v>
      </c>
      <c r="AF122" s="141"/>
      <c r="AG122" s="141"/>
      <c r="AH122" s="141"/>
      <c r="AI122" s="141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8" t="str">
        <f>Settings!$B$3&amp;".mit.emrp0.cbam.tot.1"</f>
        <v>egy.mit.emrp0.cbam.tot.1</v>
      </c>
      <c r="I123" t="s">
        <v>2688</v>
      </c>
      <c r="K123" s="139"/>
      <c r="L123" s="140">
        <f t="shared" ref="L123:AE123" si="18">SUM(L$101:L$116)-SUM(L$83:L$98)</f>
        <v>0</v>
      </c>
      <c r="M123" s="140">
        <f t="shared" si="18"/>
        <v>0</v>
      </c>
      <c r="N123" s="140">
        <f t="shared" si="18"/>
        <v>0</v>
      </c>
      <c r="O123" s="140">
        <f t="shared" si="18"/>
        <v>0</v>
      </c>
      <c r="P123" s="140">
        <f t="shared" si="18"/>
        <v>0</v>
      </c>
      <c r="Q123" s="140">
        <f t="shared" si="18"/>
        <v>0</v>
      </c>
      <c r="R123" s="140">
        <f t="shared" si="18"/>
        <v>0</v>
      </c>
      <c r="S123" s="140">
        <f t="shared" si="18"/>
        <v>0</v>
      </c>
      <c r="T123" s="140">
        <f t="shared" si="18"/>
        <v>0</v>
      </c>
      <c r="U123" s="140">
        <f t="shared" si="18"/>
        <v>0</v>
      </c>
      <c r="V123" s="140">
        <f t="shared" si="18"/>
        <v>0</v>
      </c>
      <c r="W123" s="140">
        <f t="shared" si="18"/>
        <v>0</v>
      </c>
      <c r="X123" s="140">
        <f t="shared" si="18"/>
        <v>0</v>
      </c>
      <c r="Y123" s="140">
        <f t="shared" si="18"/>
        <v>0</v>
      </c>
      <c r="Z123" s="140">
        <f t="shared" si="18"/>
        <v>0</v>
      </c>
      <c r="AA123" s="140">
        <f t="shared" si="18"/>
        <v>0</v>
      </c>
      <c r="AB123" s="140">
        <f t="shared" si="18"/>
        <v>0</v>
      </c>
      <c r="AC123" s="140">
        <f t="shared" si="18"/>
        <v>0</v>
      </c>
      <c r="AD123" s="140">
        <f t="shared" si="18"/>
        <v>0</v>
      </c>
      <c r="AE123" s="140">
        <f t="shared" si="18"/>
        <v>0</v>
      </c>
      <c r="AF123" s="141"/>
      <c r="AG123" s="141"/>
      <c r="AH123" s="141"/>
      <c r="AI123" s="141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9"/>
      <c r="L124" s="142">
        <f t="shared" ref="L124:AE124" si="19">SUMPRODUCT(L$45:L$52*L$55:L$62)+SUMPRODUCT(L$101:L$116*L$65:L$80)</f>
        <v>0.11343980799323071</v>
      </c>
      <c r="M124" s="142">
        <f t="shared" si="19"/>
        <v>0.11712329976149224</v>
      </c>
      <c r="N124" s="142">
        <f t="shared" si="19"/>
        <v>0.12092889969856549</v>
      </c>
      <c r="O124" s="142">
        <f t="shared" si="19"/>
        <v>0.12486074250600086</v>
      </c>
      <c r="P124" s="142">
        <f t="shared" si="19"/>
        <v>0.1289231063134835</v>
      </c>
      <c r="Q124" s="142">
        <f t="shared" si="19"/>
        <v>0.13312041780294456</v>
      </c>
      <c r="R124" s="142">
        <f t="shared" si="19"/>
        <v>0.13745725752256618</v>
      </c>
      <c r="S124" s="142">
        <f t="shared" si="19"/>
        <v>0.14193836539803825</v>
      </c>
      <c r="T124" s="142">
        <f t="shared" si="19"/>
        <v>0.14656864644872269</v>
      </c>
      <c r="U124" s="142">
        <f t="shared" si="19"/>
        <v>0.15135317671669662</v>
      </c>
      <c r="V124" s="142">
        <f t="shared" si="19"/>
        <v>0.1562972094169694</v>
      </c>
      <c r="W124" s="142">
        <f t="shared" si="19"/>
        <v>0.1614061813175115</v>
      </c>
      <c r="X124" s="142">
        <f t="shared" si="19"/>
        <v>0.16668571935808552</v>
      </c>
      <c r="Y124" s="142">
        <f t="shared" si="19"/>
        <v>0.17214164751724373</v>
      </c>
      <c r="Z124" s="142">
        <f t="shared" si="19"/>
        <v>0.17777999393723931</v>
      </c>
      <c r="AA124" s="142">
        <f t="shared" si="19"/>
        <v>0.18360699831700622</v>
      </c>
      <c r="AB124" s="142">
        <f t="shared" si="19"/>
        <v>0.18962911958377954</v>
      </c>
      <c r="AC124" s="142">
        <f t="shared" si="19"/>
        <v>0.19585304385437208</v>
      </c>
      <c r="AD124" s="142">
        <f t="shared" si="19"/>
        <v>0.20228569269757843</v>
      </c>
      <c r="AE124" s="142">
        <f t="shared" si="19"/>
        <v>0.20893423170965852</v>
      </c>
      <c r="AF124" s="141"/>
      <c r="AG124" s="141"/>
      <c r="AH124" s="141"/>
      <c r="AI124" s="141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9"/>
      <c r="L125" s="140">
        <f t="shared" ref="L125:AE125" si="20">IF(OR(L$122&lt;=0,L$124&lt;=0),0,MIN($F$5,SQRT(L$122/L$124*IF($F$4="COST",2,1))))</f>
        <v>0</v>
      </c>
      <c r="M125" s="140">
        <f t="shared" si="20"/>
        <v>0</v>
      </c>
      <c r="N125" s="140">
        <f t="shared" si="20"/>
        <v>0</v>
      </c>
      <c r="O125" s="140">
        <f t="shared" si="20"/>
        <v>0</v>
      </c>
      <c r="P125" s="140">
        <f t="shared" si="20"/>
        <v>0</v>
      </c>
      <c r="Q125" s="140">
        <f t="shared" si="20"/>
        <v>0</v>
      </c>
      <c r="R125" s="140">
        <f t="shared" si="20"/>
        <v>0</v>
      </c>
      <c r="S125" s="140">
        <f t="shared" si="20"/>
        <v>0</v>
      </c>
      <c r="T125" s="140">
        <f t="shared" si="20"/>
        <v>0</v>
      </c>
      <c r="U125" s="140">
        <f t="shared" si="20"/>
        <v>0</v>
      </c>
      <c r="V125" s="140">
        <f t="shared" si="20"/>
        <v>0</v>
      </c>
      <c r="W125" s="140">
        <f t="shared" si="20"/>
        <v>0</v>
      </c>
      <c r="X125" s="140">
        <f t="shared" si="20"/>
        <v>0</v>
      </c>
      <c r="Y125" s="140">
        <f t="shared" si="20"/>
        <v>0</v>
      </c>
      <c r="Z125" s="140">
        <f t="shared" si="20"/>
        <v>0</v>
      </c>
      <c r="AA125" s="140">
        <f t="shared" si="20"/>
        <v>0</v>
      </c>
      <c r="AB125" s="140">
        <f t="shared" si="20"/>
        <v>0</v>
      </c>
      <c r="AC125" s="140">
        <f t="shared" si="20"/>
        <v>0</v>
      </c>
      <c r="AD125" s="140">
        <f t="shared" si="20"/>
        <v>0</v>
      </c>
      <c r="AE125" s="140">
        <f t="shared" si="20"/>
        <v>0</v>
      </c>
      <c r="AF125" s="141"/>
      <c r="AG125" s="141"/>
      <c r="AH125" s="141"/>
      <c r="AI125" s="141"/>
    </row>
    <row r="126" spans="1:35" x14ac:dyDescent="0.35"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7">
        <v>2021</v>
      </c>
      <c r="L127" s="138">
        <v>2022</v>
      </c>
      <c r="M127" s="137">
        <v>2023</v>
      </c>
      <c r="N127" s="137">
        <v>2024</v>
      </c>
      <c r="O127" s="137">
        <v>2025</v>
      </c>
      <c r="P127" s="137">
        <v>2026</v>
      </c>
      <c r="Q127" s="137">
        <v>2027</v>
      </c>
      <c r="R127" s="137">
        <v>2028</v>
      </c>
      <c r="S127" s="137">
        <v>2029</v>
      </c>
      <c r="T127" s="137">
        <v>2030</v>
      </c>
      <c r="U127" s="137">
        <v>2031</v>
      </c>
      <c r="V127" s="137">
        <v>2032</v>
      </c>
      <c r="W127" s="137">
        <v>2033</v>
      </c>
      <c r="X127" s="137">
        <v>2034</v>
      </c>
      <c r="Y127" s="137">
        <v>2035</v>
      </c>
      <c r="Z127" s="137">
        <v>2036</v>
      </c>
      <c r="AA127" s="137">
        <v>2037</v>
      </c>
      <c r="AB127" s="137">
        <v>2038</v>
      </c>
      <c r="AC127" s="137">
        <v>2039</v>
      </c>
      <c r="AD127" s="137">
        <v>2040</v>
      </c>
      <c r="AE127" s="137">
        <v>2041</v>
      </c>
      <c r="AF127" s="137">
        <v>2042</v>
      </c>
      <c r="AG127" s="137">
        <v>2043</v>
      </c>
      <c r="AH127" s="137">
        <v>2044</v>
      </c>
      <c r="AI127" s="137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9"/>
      <c r="L128" s="142">
        <f t="shared" ref="L128:AE128" si="21">SUMPRODUCT(L$45:L$52*(1-EXP(-L$55:L$62*L$125)))+SUMPRODUCT(L$101:L$116*(1-EXP(-L$65:L$80*L$125)))</f>
        <v>0</v>
      </c>
      <c r="M128" s="142">
        <f t="shared" si="21"/>
        <v>0</v>
      </c>
      <c r="N128" s="142">
        <f t="shared" si="21"/>
        <v>0</v>
      </c>
      <c r="O128" s="142">
        <f t="shared" si="21"/>
        <v>0</v>
      </c>
      <c r="P128" s="142">
        <f t="shared" si="21"/>
        <v>0</v>
      </c>
      <c r="Q128" s="142">
        <f t="shared" si="21"/>
        <v>0</v>
      </c>
      <c r="R128" s="142">
        <f t="shared" si="21"/>
        <v>0</v>
      </c>
      <c r="S128" s="142">
        <f t="shared" si="21"/>
        <v>0</v>
      </c>
      <c r="T128" s="142">
        <f t="shared" si="21"/>
        <v>0</v>
      </c>
      <c r="U128" s="142">
        <f t="shared" si="21"/>
        <v>0</v>
      </c>
      <c r="V128" s="142">
        <f t="shared" si="21"/>
        <v>0</v>
      </c>
      <c r="W128" s="142">
        <f t="shared" si="21"/>
        <v>0</v>
      </c>
      <c r="X128" s="142">
        <f t="shared" si="21"/>
        <v>0</v>
      </c>
      <c r="Y128" s="142">
        <f t="shared" si="21"/>
        <v>0</v>
      </c>
      <c r="Z128" s="142">
        <f t="shared" si="21"/>
        <v>0</v>
      </c>
      <c r="AA128" s="142">
        <f t="shared" si="21"/>
        <v>0</v>
      </c>
      <c r="AB128" s="142">
        <f t="shared" si="21"/>
        <v>0</v>
      </c>
      <c r="AC128" s="142">
        <f t="shared" si="21"/>
        <v>0</v>
      </c>
      <c r="AD128" s="142">
        <f t="shared" si="21"/>
        <v>0</v>
      </c>
      <c r="AE128" s="142">
        <f t="shared" si="21"/>
        <v>0</v>
      </c>
      <c r="AF128" s="141"/>
      <c r="AG128" s="141"/>
      <c r="AH128" s="141"/>
      <c r="AI128" s="141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9"/>
      <c r="L129" s="140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0">
        <f t="shared" si="22"/>
        <v>0</v>
      </c>
      <c r="N129" s="140">
        <f t="shared" si="22"/>
        <v>0</v>
      </c>
      <c r="O129" s="140">
        <f t="shared" si="22"/>
        <v>0</v>
      </c>
      <c r="P129" s="140">
        <f t="shared" si="22"/>
        <v>0</v>
      </c>
      <c r="Q129" s="140">
        <f t="shared" si="22"/>
        <v>0</v>
      </c>
      <c r="R129" s="140">
        <f t="shared" si="22"/>
        <v>0</v>
      </c>
      <c r="S129" s="140">
        <f t="shared" si="22"/>
        <v>0</v>
      </c>
      <c r="T129" s="140">
        <f t="shared" si="22"/>
        <v>0</v>
      </c>
      <c r="U129" s="140">
        <f t="shared" si="22"/>
        <v>0</v>
      </c>
      <c r="V129" s="140">
        <f t="shared" si="22"/>
        <v>0</v>
      </c>
      <c r="W129" s="140">
        <f t="shared" si="22"/>
        <v>0</v>
      </c>
      <c r="X129" s="140">
        <f t="shared" si="22"/>
        <v>0</v>
      </c>
      <c r="Y129" s="140">
        <f t="shared" si="22"/>
        <v>0</v>
      </c>
      <c r="Z129" s="140">
        <f t="shared" si="22"/>
        <v>0</v>
      </c>
      <c r="AA129" s="140">
        <f t="shared" si="22"/>
        <v>0</v>
      </c>
      <c r="AB129" s="140">
        <f t="shared" si="22"/>
        <v>0</v>
      </c>
      <c r="AC129" s="140">
        <f t="shared" si="22"/>
        <v>0</v>
      </c>
      <c r="AD129" s="140">
        <f t="shared" si="22"/>
        <v>0</v>
      </c>
      <c r="AE129" s="140">
        <f t="shared" si="22"/>
        <v>0</v>
      </c>
      <c r="AF129" s="141"/>
      <c r="AG129" s="141"/>
      <c r="AH129" s="141"/>
      <c r="AI129" s="141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9"/>
      <c r="L130" s="142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2">
        <f t="shared" si="23"/>
        <v>0</v>
      </c>
      <c r="N130" s="142">
        <f t="shared" si="23"/>
        <v>0</v>
      </c>
      <c r="O130" s="142">
        <f t="shared" si="23"/>
        <v>0</v>
      </c>
      <c r="P130" s="142">
        <f t="shared" si="23"/>
        <v>0</v>
      </c>
      <c r="Q130" s="142">
        <f t="shared" si="23"/>
        <v>0</v>
      </c>
      <c r="R130" s="142">
        <f t="shared" si="23"/>
        <v>0</v>
      </c>
      <c r="S130" s="142">
        <f t="shared" si="23"/>
        <v>0</v>
      </c>
      <c r="T130" s="142">
        <f t="shared" si="23"/>
        <v>0</v>
      </c>
      <c r="U130" s="142">
        <f t="shared" si="23"/>
        <v>0</v>
      </c>
      <c r="V130" s="142">
        <f t="shared" si="23"/>
        <v>0</v>
      </c>
      <c r="W130" s="142">
        <f t="shared" si="23"/>
        <v>0</v>
      </c>
      <c r="X130" s="142">
        <f t="shared" si="23"/>
        <v>0</v>
      </c>
      <c r="Y130" s="142">
        <f t="shared" si="23"/>
        <v>0</v>
      </c>
      <c r="Z130" s="142">
        <f t="shared" si="23"/>
        <v>0</v>
      </c>
      <c r="AA130" s="142">
        <f t="shared" si="23"/>
        <v>0</v>
      </c>
      <c r="AB130" s="142">
        <f t="shared" si="23"/>
        <v>0</v>
      </c>
      <c r="AC130" s="142">
        <f t="shared" si="23"/>
        <v>0</v>
      </c>
      <c r="AD130" s="142">
        <f t="shared" si="23"/>
        <v>0</v>
      </c>
      <c r="AE130" s="142">
        <f t="shared" si="23"/>
        <v>0</v>
      </c>
      <c r="AF130" s="141"/>
      <c r="AG130" s="141"/>
      <c r="AH130" s="141"/>
      <c r="AI130" s="141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9"/>
      <c r="L131" s="140">
        <f t="shared" ref="L131:AE131" si="24">IF(L$122&lt;=0,0,IF(L$130&lt;=0,L$125,MIN($F$5,IF(L$125-(L$129-L$122)/L$130&lt;=0,L$125/2,L$125-(L$129-L$122)/L$130))))</f>
        <v>0</v>
      </c>
      <c r="M131" s="140">
        <f t="shared" si="24"/>
        <v>0</v>
      </c>
      <c r="N131" s="140">
        <f t="shared" si="24"/>
        <v>0</v>
      </c>
      <c r="O131" s="140">
        <f t="shared" si="24"/>
        <v>0</v>
      </c>
      <c r="P131" s="140">
        <f t="shared" si="24"/>
        <v>0</v>
      </c>
      <c r="Q131" s="140">
        <f t="shared" si="24"/>
        <v>0</v>
      </c>
      <c r="R131" s="140">
        <f t="shared" si="24"/>
        <v>0</v>
      </c>
      <c r="S131" s="140">
        <f t="shared" si="24"/>
        <v>0</v>
      </c>
      <c r="T131" s="140">
        <f t="shared" si="24"/>
        <v>0</v>
      </c>
      <c r="U131" s="140">
        <f t="shared" si="24"/>
        <v>0</v>
      </c>
      <c r="V131" s="140">
        <f t="shared" si="24"/>
        <v>0</v>
      </c>
      <c r="W131" s="140">
        <f t="shared" si="24"/>
        <v>0</v>
      </c>
      <c r="X131" s="140">
        <f t="shared" si="24"/>
        <v>0</v>
      </c>
      <c r="Y131" s="140">
        <f t="shared" si="24"/>
        <v>0</v>
      </c>
      <c r="Z131" s="140">
        <f t="shared" si="24"/>
        <v>0</v>
      </c>
      <c r="AA131" s="140">
        <f t="shared" si="24"/>
        <v>0</v>
      </c>
      <c r="AB131" s="140">
        <f t="shared" si="24"/>
        <v>0</v>
      </c>
      <c r="AC131" s="140">
        <f t="shared" si="24"/>
        <v>0</v>
      </c>
      <c r="AD131" s="140">
        <f t="shared" si="24"/>
        <v>0</v>
      </c>
      <c r="AE131" s="140">
        <f t="shared" si="24"/>
        <v>0</v>
      </c>
      <c r="AF131" s="141"/>
      <c r="AG131" s="141"/>
      <c r="AH131" s="141"/>
      <c r="AI131" s="141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9"/>
      <c r="L132" s="142">
        <f t="shared" ref="L132:AE132" si="25">SUMPRODUCT(L$45:L$52*(1-EXP(-L$55:L$62*L$131)))+SUMPRODUCT(L$101:L$116*(1-EXP(-L$65:L$80*L$131)))</f>
        <v>0</v>
      </c>
      <c r="M132" s="142">
        <f t="shared" si="25"/>
        <v>0</v>
      </c>
      <c r="N132" s="142">
        <f t="shared" si="25"/>
        <v>0</v>
      </c>
      <c r="O132" s="142">
        <f t="shared" si="25"/>
        <v>0</v>
      </c>
      <c r="P132" s="142">
        <f t="shared" si="25"/>
        <v>0</v>
      </c>
      <c r="Q132" s="142">
        <f t="shared" si="25"/>
        <v>0</v>
      </c>
      <c r="R132" s="142">
        <f t="shared" si="25"/>
        <v>0</v>
      </c>
      <c r="S132" s="142">
        <f t="shared" si="25"/>
        <v>0</v>
      </c>
      <c r="T132" s="142">
        <f t="shared" si="25"/>
        <v>0</v>
      </c>
      <c r="U132" s="142">
        <f t="shared" si="25"/>
        <v>0</v>
      </c>
      <c r="V132" s="142">
        <f t="shared" si="25"/>
        <v>0</v>
      </c>
      <c r="W132" s="142">
        <f t="shared" si="25"/>
        <v>0</v>
      </c>
      <c r="X132" s="142">
        <f t="shared" si="25"/>
        <v>0</v>
      </c>
      <c r="Y132" s="142">
        <f t="shared" si="25"/>
        <v>0</v>
      </c>
      <c r="Z132" s="142">
        <f t="shared" si="25"/>
        <v>0</v>
      </c>
      <c r="AA132" s="142">
        <f t="shared" si="25"/>
        <v>0</v>
      </c>
      <c r="AB132" s="142">
        <f t="shared" si="25"/>
        <v>0</v>
      </c>
      <c r="AC132" s="142">
        <f t="shared" si="25"/>
        <v>0</v>
      </c>
      <c r="AD132" s="142">
        <f t="shared" si="25"/>
        <v>0</v>
      </c>
      <c r="AE132" s="142">
        <f t="shared" si="25"/>
        <v>0</v>
      </c>
      <c r="AF132" s="141"/>
      <c r="AG132" s="141"/>
      <c r="AH132" s="141"/>
      <c r="AI132" s="141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9"/>
      <c r="L133" s="140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0">
        <f t="shared" si="26"/>
        <v>0</v>
      </c>
      <c r="N133" s="140">
        <f t="shared" si="26"/>
        <v>0</v>
      </c>
      <c r="O133" s="140">
        <f t="shared" si="26"/>
        <v>0</v>
      </c>
      <c r="P133" s="140">
        <f t="shared" si="26"/>
        <v>0</v>
      </c>
      <c r="Q133" s="140">
        <f t="shared" si="26"/>
        <v>0</v>
      </c>
      <c r="R133" s="140">
        <f t="shared" si="26"/>
        <v>0</v>
      </c>
      <c r="S133" s="140">
        <f t="shared" si="26"/>
        <v>0</v>
      </c>
      <c r="T133" s="140">
        <f t="shared" si="26"/>
        <v>0</v>
      </c>
      <c r="U133" s="140">
        <f t="shared" si="26"/>
        <v>0</v>
      </c>
      <c r="V133" s="140">
        <f t="shared" si="26"/>
        <v>0</v>
      </c>
      <c r="W133" s="140">
        <f t="shared" si="26"/>
        <v>0</v>
      </c>
      <c r="X133" s="140">
        <f t="shared" si="26"/>
        <v>0</v>
      </c>
      <c r="Y133" s="140">
        <f t="shared" si="26"/>
        <v>0</v>
      </c>
      <c r="Z133" s="140">
        <f t="shared" si="26"/>
        <v>0</v>
      </c>
      <c r="AA133" s="140">
        <f t="shared" si="26"/>
        <v>0</v>
      </c>
      <c r="AB133" s="140">
        <f t="shared" si="26"/>
        <v>0</v>
      </c>
      <c r="AC133" s="140">
        <f t="shared" si="26"/>
        <v>0</v>
      </c>
      <c r="AD133" s="140">
        <f t="shared" si="26"/>
        <v>0</v>
      </c>
      <c r="AE133" s="140">
        <f t="shared" si="26"/>
        <v>0</v>
      </c>
      <c r="AF133" s="141"/>
      <c r="AG133" s="141"/>
      <c r="AH133" s="141"/>
      <c r="AI133" s="141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9"/>
      <c r="L134" s="142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2">
        <f t="shared" si="27"/>
        <v>0</v>
      </c>
      <c r="N134" s="142">
        <f t="shared" si="27"/>
        <v>0</v>
      </c>
      <c r="O134" s="142">
        <f t="shared" si="27"/>
        <v>0</v>
      </c>
      <c r="P134" s="142">
        <f t="shared" si="27"/>
        <v>0</v>
      </c>
      <c r="Q134" s="142">
        <f t="shared" si="27"/>
        <v>0</v>
      </c>
      <c r="R134" s="142">
        <f t="shared" si="27"/>
        <v>0</v>
      </c>
      <c r="S134" s="142">
        <f t="shared" si="27"/>
        <v>0</v>
      </c>
      <c r="T134" s="142">
        <f t="shared" si="27"/>
        <v>0</v>
      </c>
      <c r="U134" s="142">
        <f t="shared" si="27"/>
        <v>0</v>
      </c>
      <c r="V134" s="142">
        <f t="shared" si="27"/>
        <v>0</v>
      </c>
      <c r="W134" s="142">
        <f t="shared" si="27"/>
        <v>0</v>
      </c>
      <c r="X134" s="142">
        <f t="shared" si="27"/>
        <v>0</v>
      </c>
      <c r="Y134" s="142">
        <f t="shared" si="27"/>
        <v>0</v>
      </c>
      <c r="Z134" s="142">
        <f t="shared" si="27"/>
        <v>0</v>
      </c>
      <c r="AA134" s="142">
        <f t="shared" si="27"/>
        <v>0</v>
      </c>
      <c r="AB134" s="142">
        <f t="shared" si="27"/>
        <v>0</v>
      </c>
      <c r="AC134" s="142">
        <f t="shared" si="27"/>
        <v>0</v>
      </c>
      <c r="AD134" s="142">
        <f t="shared" si="27"/>
        <v>0</v>
      </c>
      <c r="AE134" s="142">
        <f t="shared" si="27"/>
        <v>0</v>
      </c>
      <c r="AF134" s="141"/>
      <c r="AG134" s="141"/>
      <c r="AH134" s="141"/>
      <c r="AI134" s="141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9"/>
      <c r="L135" s="140">
        <f t="shared" ref="L135:AE135" si="28">IF(L$122&lt;=0,0,IF(L$134&lt;=0,L$131,MIN($F$5,IF(L$131-(L$133-L$122)/L$134&lt;=0,L$131/2,L$131-(L$133-L$122)/L$134))))</f>
        <v>0</v>
      </c>
      <c r="M135" s="140">
        <f t="shared" si="28"/>
        <v>0</v>
      </c>
      <c r="N135" s="140">
        <f t="shared" si="28"/>
        <v>0</v>
      </c>
      <c r="O135" s="140">
        <f t="shared" si="28"/>
        <v>0</v>
      </c>
      <c r="P135" s="140">
        <f t="shared" si="28"/>
        <v>0</v>
      </c>
      <c r="Q135" s="140">
        <f t="shared" si="28"/>
        <v>0</v>
      </c>
      <c r="R135" s="140">
        <f t="shared" si="28"/>
        <v>0</v>
      </c>
      <c r="S135" s="140">
        <f t="shared" si="28"/>
        <v>0</v>
      </c>
      <c r="T135" s="140">
        <f t="shared" si="28"/>
        <v>0</v>
      </c>
      <c r="U135" s="140">
        <f t="shared" si="28"/>
        <v>0</v>
      </c>
      <c r="V135" s="140">
        <f t="shared" si="28"/>
        <v>0</v>
      </c>
      <c r="W135" s="140">
        <f t="shared" si="28"/>
        <v>0</v>
      </c>
      <c r="X135" s="140">
        <f t="shared" si="28"/>
        <v>0</v>
      </c>
      <c r="Y135" s="140">
        <f t="shared" si="28"/>
        <v>0</v>
      </c>
      <c r="Z135" s="140">
        <f t="shared" si="28"/>
        <v>0</v>
      </c>
      <c r="AA135" s="140">
        <f t="shared" si="28"/>
        <v>0</v>
      </c>
      <c r="AB135" s="140">
        <f t="shared" si="28"/>
        <v>0</v>
      </c>
      <c r="AC135" s="140">
        <f t="shared" si="28"/>
        <v>0</v>
      </c>
      <c r="AD135" s="140">
        <f t="shared" si="28"/>
        <v>0</v>
      </c>
      <c r="AE135" s="140">
        <f t="shared" si="28"/>
        <v>0</v>
      </c>
      <c r="AF135" s="141"/>
      <c r="AG135" s="141"/>
      <c r="AH135" s="141"/>
      <c r="AI135" s="141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9"/>
      <c r="L136" s="142">
        <f t="shared" ref="L136:AE136" si="29">SUMPRODUCT(L$45:L$52*(1-EXP(-L$55:L$62*L$135)))+SUMPRODUCT(L$101:L$116*(1-EXP(-L$65:L$80*L$135)))</f>
        <v>0</v>
      </c>
      <c r="M136" s="142">
        <f t="shared" si="29"/>
        <v>0</v>
      </c>
      <c r="N136" s="142">
        <f t="shared" si="29"/>
        <v>0</v>
      </c>
      <c r="O136" s="142">
        <f t="shared" si="29"/>
        <v>0</v>
      </c>
      <c r="P136" s="142">
        <f t="shared" si="29"/>
        <v>0</v>
      </c>
      <c r="Q136" s="142">
        <f t="shared" si="29"/>
        <v>0</v>
      </c>
      <c r="R136" s="142">
        <f t="shared" si="29"/>
        <v>0</v>
      </c>
      <c r="S136" s="142">
        <f t="shared" si="29"/>
        <v>0</v>
      </c>
      <c r="T136" s="142">
        <f t="shared" si="29"/>
        <v>0</v>
      </c>
      <c r="U136" s="142">
        <f t="shared" si="29"/>
        <v>0</v>
      </c>
      <c r="V136" s="142">
        <f t="shared" si="29"/>
        <v>0</v>
      </c>
      <c r="W136" s="142">
        <f t="shared" si="29"/>
        <v>0</v>
      </c>
      <c r="X136" s="142">
        <f t="shared" si="29"/>
        <v>0</v>
      </c>
      <c r="Y136" s="142">
        <f t="shared" si="29"/>
        <v>0</v>
      </c>
      <c r="Z136" s="142">
        <f t="shared" si="29"/>
        <v>0</v>
      </c>
      <c r="AA136" s="142">
        <f t="shared" si="29"/>
        <v>0</v>
      </c>
      <c r="AB136" s="142">
        <f t="shared" si="29"/>
        <v>0</v>
      </c>
      <c r="AC136" s="142">
        <f t="shared" si="29"/>
        <v>0</v>
      </c>
      <c r="AD136" s="142">
        <f t="shared" si="29"/>
        <v>0</v>
      </c>
      <c r="AE136" s="142">
        <f t="shared" si="29"/>
        <v>0</v>
      </c>
      <c r="AF136" s="141"/>
      <c r="AG136" s="141"/>
      <c r="AH136" s="141"/>
      <c r="AI136" s="141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9"/>
      <c r="L137" s="140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0">
        <f t="shared" si="30"/>
        <v>0</v>
      </c>
      <c r="N137" s="140">
        <f t="shared" si="30"/>
        <v>0</v>
      </c>
      <c r="O137" s="140">
        <f t="shared" si="30"/>
        <v>0</v>
      </c>
      <c r="P137" s="140">
        <f t="shared" si="30"/>
        <v>0</v>
      </c>
      <c r="Q137" s="140">
        <f t="shared" si="30"/>
        <v>0</v>
      </c>
      <c r="R137" s="140">
        <f t="shared" si="30"/>
        <v>0</v>
      </c>
      <c r="S137" s="140">
        <f t="shared" si="30"/>
        <v>0</v>
      </c>
      <c r="T137" s="140">
        <f t="shared" si="30"/>
        <v>0</v>
      </c>
      <c r="U137" s="140">
        <f t="shared" si="30"/>
        <v>0</v>
      </c>
      <c r="V137" s="140">
        <f t="shared" si="30"/>
        <v>0</v>
      </c>
      <c r="W137" s="140">
        <f t="shared" si="30"/>
        <v>0</v>
      </c>
      <c r="X137" s="140">
        <f t="shared" si="30"/>
        <v>0</v>
      </c>
      <c r="Y137" s="140">
        <f t="shared" si="30"/>
        <v>0</v>
      </c>
      <c r="Z137" s="140">
        <f t="shared" si="30"/>
        <v>0</v>
      </c>
      <c r="AA137" s="140">
        <f t="shared" si="30"/>
        <v>0</v>
      </c>
      <c r="AB137" s="140">
        <f t="shared" si="30"/>
        <v>0</v>
      </c>
      <c r="AC137" s="140">
        <f t="shared" si="30"/>
        <v>0</v>
      </c>
      <c r="AD137" s="140">
        <f t="shared" si="30"/>
        <v>0</v>
      </c>
      <c r="AE137" s="140">
        <f t="shared" si="30"/>
        <v>0</v>
      </c>
      <c r="AF137" s="141"/>
      <c r="AG137" s="141"/>
      <c r="AH137" s="141"/>
      <c r="AI137" s="141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9"/>
      <c r="L138" s="142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2">
        <f t="shared" si="31"/>
        <v>0</v>
      </c>
      <c r="N138" s="142">
        <f t="shared" si="31"/>
        <v>0</v>
      </c>
      <c r="O138" s="142">
        <f t="shared" si="31"/>
        <v>0</v>
      </c>
      <c r="P138" s="142">
        <f t="shared" si="31"/>
        <v>0</v>
      </c>
      <c r="Q138" s="142">
        <f t="shared" si="31"/>
        <v>0</v>
      </c>
      <c r="R138" s="142">
        <f t="shared" si="31"/>
        <v>0</v>
      </c>
      <c r="S138" s="142">
        <f t="shared" si="31"/>
        <v>0</v>
      </c>
      <c r="T138" s="142">
        <f t="shared" si="31"/>
        <v>0</v>
      </c>
      <c r="U138" s="142">
        <f t="shared" si="31"/>
        <v>0</v>
      </c>
      <c r="V138" s="142">
        <f t="shared" si="31"/>
        <v>0</v>
      </c>
      <c r="W138" s="142">
        <f t="shared" si="31"/>
        <v>0</v>
      </c>
      <c r="X138" s="142">
        <f t="shared" si="31"/>
        <v>0</v>
      </c>
      <c r="Y138" s="142">
        <f t="shared" si="31"/>
        <v>0</v>
      </c>
      <c r="Z138" s="142">
        <f t="shared" si="31"/>
        <v>0</v>
      </c>
      <c r="AA138" s="142">
        <f t="shared" si="31"/>
        <v>0</v>
      </c>
      <c r="AB138" s="142">
        <f t="shared" si="31"/>
        <v>0</v>
      </c>
      <c r="AC138" s="142">
        <f t="shared" si="31"/>
        <v>0</v>
      </c>
      <c r="AD138" s="142">
        <f t="shared" si="31"/>
        <v>0</v>
      </c>
      <c r="AE138" s="142">
        <f t="shared" si="31"/>
        <v>0</v>
      </c>
      <c r="AF138" s="141"/>
      <c r="AG138" s="141"/>
      <c r="AH138" s="141"/>
      <c r="AI138" s="141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9"/>
      <c r="L139" s="140">
        <f t="shared" ref="L139:AE139" si="32">IF(L$122&lt;=0,0,IF(L$138&lt;=0,L$135,MIN($F$5,IF(L$135-(L$137-L$122)/L$138&lt;=0,L$135/2,L$135-(L$137-L$122)/L$138))))</f>
        <v>0</v>
      </c>
      <c r="M139" s="140">
        <f t="shared" si="32"/>
        <v>0</v>
      </c>
      <c r="N139" s="140">
        <f t="shared" si="32"/>
        <v>0</v>
      </c>
      <c r="O139" s="140">
        <f t="shared" si="32"/>
        <v>0</v>
      </c>
      <c r="P139" s="140">
        <f t="shared" si="32"/>
        <v>0</v>
      </c>
      <c r="Q139" s="140">
        <f t="shared" si="32"/>
        <v>0</v>
      </c>
      <c r="R139" s="140">
        <f t="shared" si="32"/>
        <v>0</v>
      </c>
      <c r="S139" s="140">
        <f t="shared" si="32"/>
        <v>0</v>
      </c>
      <c r="T139" s="140">
        <f t="shared" si="32"/>
        <v>0</v>
      </c>
      <c r="U139" s="140">
        <f t="shared" si="32"/>
        <v>0</v>
      </c>
      <c r="V139" s="140">
        <f t="shared" si="32"/>
        <v>0</v>
      </c>
      <c r="W139" s="140">
        <f t="shared" si="32"/>
        <v>0</v>
      </c>
      <c r="X139" s="140">
        <f t="shared" si="32"/>
        <v>0</v>
      </c>
      <c r="Y139" s="140">
        <f t="shared" si="32"/>
        <v>0</v>
      </c>
      <c r="Z139" s="140">
        <f t="shared" si="32"/>
        <v>0</v>
      </c>
      <c r="AA139" s="140">
        <f t="shared" si="32"/>
        <v>0</v>
      </c>
      <c r="AB139" s="140">
        <f t="shared" si="32"/>
        <v>0</v>
      </c>
      <c r="AC139" s="140">
        <f t="shared" si="32"/>
        <v>0</v>
      </c>
      <c r="AD139" s="140">
        <f t="shared" si="32"/>
        <v>0</v>
      </c>
      <c r="AE139" s="140">
        <f t="shared" si="32"/>
        <v>0</v>
      </c>
      <c r="AF139" s="141"/>
      <c r="AG139" s="141"/>
      <c r="AH139" s="141"/>
      <c r="AI139" s="141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9"/>
      <c r="L140" s="142">
        <f t="shared" ref="L140:AE140" si="33">SUMPRODUCT(L$45:L$52*(1-EXP(-L$55:L$62*L$139)))+SUMPRODUCT(L$101:L$116*(1-EXP(-L$65:L$80*L$139)))</f>
        <v>0</v>
      </c>
      <c r="M140" s="142">
        <f t="shared" si="33"/>
        <v>0</v>
      </c>
      <c r="N140" s="142">
        <f t="shared" si="33"/>
        <v>0</v>
      </c>
      <c r="O140" s="142">
        <f t="shared" si="33"/>
        <v>0</v>
      </c>
      <c r="P140" s="142">
        <f t="shared" si="33"/>
        <v>0</v>
      </c>
      <c r="Q140" s="142">
        <f t="shared" si="33"/>
        <v>0</v>
      </c>
      <c r="R140" s="142">
        <f t="shared" si="33"/>
        <v>0</v>
      </c>
      <c r="S140" s="142">
        <f t="shared" si="33"/>
        <v>0</v>
      </c>
      <c r="T140" s="142">
        <f t="shared" si="33"/>
        <v>0</v>
      </c>
      <c r="U140" s="142">
        <f t="shared" si="33"/>
        <v>0</v>
      </c>
      <c r="V140" s="142">
        <f t="shared" si="33"/>
        <v>0</v>
      </c>
      <c r="W140" s="142">
        <f t="shared" si="33"/>
        <v>0</v>
      </c>
      <c r="X140" s="142">
        <f t="shared" si="33"/>
        <v>0</v>
      </c>
      <c r="Y140" s="142">
        <f t="shared" si="33"/>
        <v>0</v>
      </c>
      <c r="Z140" s="142">
        <f t="shared" si="33"/>
        <v>0</v>
      </c>
      <c r="AA140" s="142">
        <f t="shared" si="33"/>
        <v>0</v>
      </c>
      <c r="AB140" s="142">
        <f t="shared" si="33"/>
        <v>0</v>
      </c>
      <c r="AC140" s="142">
        <f t="shared" si="33"/>
        <v>0</v>
      </c>
      <c r="AD140" s="142">
        <f t="shared" si="33"/>
        <v>0</v>
      </c>
      <c r="AE140" s="142">
        <f t="shared" si="33"/>
        <v>0</v>
      </c>
      <c r="AF140" s="141"/>
      <c r="AG140" s="141"/>
      <c r="AH140" s="141"/>
      <c r="AI140" s="141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9"/>
      <c r="L141" s="140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0">
        <f t="shared" si="34"/>
        <v>0</v>
      </c>
      <c r="N141" s="140">
        <f t="shared" si="34"/>
        <v>0</v>
      </c>
      <c r="O141" s="140">
        <f t="shared" si="34"/>
        <v>0</v>
      </c>
      <c r="P141" s="140">
        <f t="shared" si="34"/>
        <v>0</v>
      </c>
      <c r="Q141" s="140">
        <f t="shared" si="34"/>
        <v>0</v>
      </c>
      <c r="R141" s="140">
        <f t="shared" si="34"/>
        <v>0</v>
      </c>
      <c r="S141" s="140">
        <f t="shared" si="34"/>
        <v>0</v>
      </c>
      <c r="T141" s="140">
        <f t="shared" si="34"/>
        <v>0</v>
      </c>
      <c r="U141" s="140">
        <f t="shared" si="34"/>
        <v>0</v>
      </c>
      <c r="V141" s="140">
        <f t="shared" si="34"/>
        <v>0</v>
      </c>
      <c r="W141" s="140">
        <f t="shared" si="34"/>
        <v>0</v>
      </c>
      <c r="X141" s="140">
        <f t="shared" si="34"/>
        <v>0</v>
      </c>
      <c r="Y141" s="140">
        <f t="shared" si="34"/>
        <v>0</v>
      </c>
      <c r="Z141" s="140">
        <f t="shared" si="34"/>
        <v>0</v>
      </c>
      <c r="AA141" s="140">
        <f t="shared" si="34"/>
        <v>0</v>
      </c>
      <c r="AB141" s="140">
        <f t="shared" si="34"/>
        <v>0</v>
      </c>
      <c r="AC141" s="140">
        <f t="shared" si="34"/>
        <v>0</v>
      </c>
      <c r="AD141" s="140">
        <f t="shared" si="34"/>
        <v>0</v>
      </c>
      <c r="AE141" s="140">
        <f t="shared" si="34"/>
        <v>0</v>
      </c>
      <c r="AF141" s="141"/>
      <c r="AG141" s="141"/>
      <c r="AH141" s="141"/>
      <c r="AI141" s="141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9"/>
      <c r="L142" s="142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2">
        <f t="shared" si="35"/>
        <v>0</v>
      </c>
      <c r="N142" s="142">
        <f t="shared" si="35"/>
        <v>0</v>
      </c>
      <c r="O142" s="142">
        <f t="shared" si="35"/>
        <v>0</v>
      </c>
      <c r="P142" s="142">
        <f t="shared" si="35"/>
        <v>0</v>
      </c>
      <c r="Q142" s="142">
        <f t="shared" si="35"/>
        <v>0</v>
      </c>
      <c r="R142" s="142">
        <f t="shared" si="35"/>
        <v>0</v>
      </c>
      <c r="S142" s="142">
        <f t="shared" si="35"/>
        <v>0</v>
      </c>
      <c r="T142" s="142">
        <f t="shared" si="35"/>
        <v>0</v>
      </c>
      <c r="U142" s="142">
        <f t="shared" si="35"/>
        <v>0</v>
      </c>
      <c r="V142" s="142">
        <f t="shared" si="35"/>
        <v>0</v>
      </c>
      <c r="W142" s="142">
        <f t="shared" si="35"/>
        <v>0</v>
      </c>
      <c r="X142" s="142">
        <f t="shared" si="35"/>
        <v>0</v>
      </c>
      <c r="Y142" s="142">
        <f t="shared" si="35"/>
        <v>0</v>
      </c>
      <c r="Z142" s="142">
        <f t="shared" si="35"/>
        <v>0</v>
      </c>
      <c r="AA142" s="142">
        <f t="shared" si="35"/>
        <v>0</v>
      </c>
      <c r="AB142" s="142">
        <f t="shared" si="35"/>
        <v>0</v>
      </c>
      <c r="AC142" s="142">
        <f t="shared" si="35"/>
        <v>0</v>
      </c>
      <c r="AD142" s="142">
        <f t="shared" si="35"/>
        <v>0</v>
      </c>
      <c r="AE142" s="142">
        <f t="shared" si="35"/>
        <v>0</v>
      </c>
      <c r="AF142" s="141"/>
      <c r="AG142" s="141"/>
      <c r="AH142" s="141"/>
      <c r="AI142" s="141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9"/>
      <c r="L143" s="140">
        <f t="shared" ref="L143:AE143" si="36">IF(L$122&lt;=0,0,IF(L$142&lt;=0,L$139,MIN($F$5,IF(L$139-(L$141-L$122)/L$142&lt;=0,L$139/2,L$139-(L$141-L$122)/L$142))))</f>
        <v>0</v>
      </c>
      <c r="M143" s="140">
        <f t="shared" si="36"/>
        <v>0</v>
      </c>
      <c r="N143" s="140">
        <f t="shared" si="36"/>
        <v>0</v>
      </c>
      <c r="O143" s="140">
        <f t="shared" si="36"/>
        <v>0</v>
      </c>
      <c r="P143" s="140">
        <f t="shared" si="36"/>
        <v>0</v>
      </c>
      <c r="Q143" s="140">
        <f t="shared" si="36"/>
        <v>0</v>
      </c>
      <c r="R143" s="140">
        <f t="shared" si="36"/>
        <v>0</v>
      </c>
      <c r="S143" s="140">
        <f t="shared" si="36"/>
        <v>0</v>
      </c>
      <c r="T143" s="140">
        <f t="shared" si="36"/>
        <v>0</v>
      </c>
      <c r="U143" s="140">
        <f t="shared" si="36"/>
        <v>0</v>
      </c>
      <c r="V143" s="140">
        <f t="shared" si="36"/>
        <v>0</v>
      </c>
      <c r="W143" s="140">
        <f t="shared" si="36"/>
        <v>0</v>
      </c>
      <c r="X143" s="140">
        <f t="shared" si="36"/>
        <v>0</v>
      </c>
      <c r="Y143" s="140">
        <f t="shared" si="36"/>
        <v>0</v>
      </c>
      <c r="Z143" s="140">
        <f t="shared" si="36"/>
        <v>0</v>
      </c>
      <c r="AA143" s="140">
        <f t="shared" si="36"/>
        <v>0</v>
      </c>
      <c r="AB143" s="140">
        <f t="shared" si="36"/>
        <v>0</v>
      </c>
      <c r="AC143" s="140">
        <f t="shared" si="36"/>
        <v>0</v>
      </c>
      <c r="AD143" s="140">
        <f t="shared" si="36"/>
        <v>0</v>
      </c>
      <c r="AE143" s="140">
        <f t="shared" si="36"/>
        <v>0</v>
      </c>
      <c r="AF143" s="141"/>
      <c r="AG143" s="141"/>
      <c r="AH143" s="141"/>
      <c r="AI143" s="141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9"/>
      <c r="L144" s="142">
        <f t="shared" ref="L144:AE144" si="37">SUMPRODUCT(L$45:L$52*(1-EXP(-L$55:L$62*L$143)))+SUMPRODUCT(L$101:L$116*(1-EXP(-L$65:L$80*L$143)))</f>
        <v>0</v>
      </c>
      <c r="M144" s="142">
        <f t="shared" si="37"/>
        <v>0</v>
      </c>
      <c r="N144" s="142">
        <f t="shared" si="37"/>
        <v>0</v>
      </c>
      <c r="O144" s="142">
        <f t="shared" si="37"/>
        <v>0</v>
      </c>
      <c r="P144" s="142">
        <f t="shared" si="37"/>
        <v>0</v>
      </c>
      <c r="Q144" s="142">
        <f t="shared" si="37"/>
        <v>0</v>
      </c>
      <c r="R144" s="142">
        <f t="shared" si="37"/>
        <v>0</v>
      </c>
      <c r="S144" s="142">
        <f t="shared" si="37"/>
        <v>0</v>
      </c>
      <c r="T144" s="142">
        <f t="shared" si="37"/>
        <v>0</v>
      </c>
      <c r="U144" s="142">
        <f t="shared" si="37"/>
        <v>0</v>
      </c>
      <c r="V144" s="142">
        <f t="shared" si="37"/>
        <v>0</v>
      </c>
      <c r="W144" s="142">
        <f t="shared" si="37"/>
        <v>0</v>
      </c>
      <c r="X144" s="142">
        <f t="shared" si="37"/>
        <v>0</v>
      </c>
      <c r="Y144" s="142">
        <f t="shared" si="37"/>
        <v>0</v>
      </c>
      <c r="Z144" s="142">
        <f t="shared" si="37"/>
        <v>0</v>
      </c>
      <c r="AA144" s="142">
        <f t="shared" si="37"/>
        <v>0</v>
      </c>
      <c r="AB144" s="142">
        <f t="shared" si="37"/>
        <v>0</v>
      </c>
      <c r="AC144" s="142">
        <f t="shared" si="37"/>
        <v>0</v>
      </c>
      <c r="AD144" s="142">
        <f t="shared" si="37"/>
        <v>0</v>
      </c>
      <c r="AE144" s="142">
        <f t="shared" si="37"/>
        <v>0</v>
      </c>
      <c r="AF144" s="141"/>
      <c r="AG144" s="141"/>
      <c r="AH144" s="141"/>
      <c r="AI144" s="141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9"/>
      <c r="L145" s="140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0">
        <f t="shared" si="38"/>
        <v>0</v>
      </c>
      <c r="N145" s="140">
        <f t="shared" si="38"/>
        <v>0</v>
      </c>
      <c r="O145" s="140">
        <f t="shared" si="38"/>
        <v>0</v>
      </c>
      <c r="P145" s="140">
        <f t="shared" si="38"/>
        <v>0</v>
      </c>
      <c r="Q145" s="140">
        <f t="shared" si="38"/>
        <v>0</v>
      </c>
      <c r="R145" s="140">
        <f t="shared" si="38"/>
        <v>0</v>
      </c>
      <c r="S145" s="140">
        <f t="shared" si="38"/>
        <v>0</v>
      </c>
      <c r="T145" s="140">
        <f t="shared" si="38"/>
        <v>0</v>
      </c>
      <c r="U145" s="140">
        <f t="shared" si="38"/>
        <v>0</v>
      </c>
      <c r="V145" s="140">
        <f t="shared" si="38"/>
        <v>0</v>
      </c>
      <c r="W145" s="140">
        <f t="shared" si="38"/>
        <v>0</v>
      </c>
      <c r="X145" s="140">
        <f t="shared" si="38"/>
        <v>0</v>
      </c>
      <c r="Y145" s="140">
        <f t="shared" si="38"/>
        <v>0</v>
      </c>
      <c r="Z145" s="140">
        <f t="shared" si="38"/>
        <v>0</v>
      </c>
      <c r="AA145" s="140">
        <f t="shared" si="38"/>
        <v>0</v>
      </c>
      <c r="AB145" s="140">
        <f t="shared" si="38"/>
        <v>0</v>
      </c>
      <c r="AC145" s="140">
        <f t="shared" si="38"/>
        <v>0</v>
      </c>
      <c r="AD145" s="140">
        <f t="shared" si="38"/>
        <v>0</v>
      </c>
      <c r="AE145" s="140">
        <f t="shared" si="38"/>
        <v>0</v>
      </c>
      <c r="AF145" s="141"/>
      <c r="AG145" s="141"/>
      <c r="AH145" s="141"/>
      <c r="AI145" s="141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9"/>
      <c r="L146" s="142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2">
        <f t="shared" si="39"/>
        <v>0</v>
      </c>
      <c r="N146" s="142">
        <f t="shared" si="39"/>
        <v>0</v>
      </c>
      <c r="O146" s="142">
        <f t="shared" si="39"/>
        <v>0</v>
      </c>
      <c r="P146" s="142">
        <f t="shared" si="39"/>
        <v>0</v>
      </c>
      <c r="Q146" s="142">
        <f t="shared" si="39"/>
        <v>0</v>
      </c>
      <c r="R146" s="142">
        <f t="shared" si="39"/>
        <v>0</v>
      </c>
      <c r="S146" s="142">
        <f t="shared" si="39"/>
        <v>0</v>
      </c>
      <c r="T146" s="142">
        <f t="shared" si="39"/>
        <v>0</v>
      </c>
      <c r="U146" s="142">
        <f t="shared" si="39"/>
        <v>0</v>
      </c>
      <c r="V146" s="142">
        <f t="shared" si="39"/>
        <v>0</v>
      </c>
      <c r="W146" s="142">
        <f t="shared" si="39"/>
        <v>0</v>
      </c>
      <c r="X146" s="142">
        <f t="shared" si="39"/>
        <v>0</v>
      </c>
      <c r="Y146" s="142">
        <f t="shared" si="39"/>
        <v>0</v>
      </c>
      <c r="Z146" s="142">
        <f t="shared" si="39"/>
        <v>0</v>
      </c>
      <c r="AA146" s="142">
        <f t="shared" si="39"/>
        <v>0</v>
      </c>
      <c r="AB146" s="142">
        <f t="shared" si="39"/>
        <v>0</v>
      </c>
      <c r="AC146" s="142">
        <f t="shared" si="39"/>
        <v>0</v>
      </c>
      <c r="AD146" s="142">
        <f t="shared" si="39"/>
        <v>0</v>
      </c>
      <c r="AE146" s="142">
        <f t="shared" si="39"/>
        <v>0</v>
      </c>
      <c r="AF146" s="141"/>
      <c r="AG146" s="141"/>
      <c r="AH146" s="141"/>
      <c r="AI146" s="141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9"/>
      <c r="L147" s="140">
        <f t="shared" ref="L147:AE147" si="40">IF(L$122&lt;=0,0,IF(L$146&lt;=0,L$143,MIN($F$5,IF(L$143-(L$145-L$122)/L$146&lt;=0,L$143/2,L$143-(L$145-L$122)/L$146))))</f>
        <v>0</v>
      </c>
      <c r="M147" s="140">
        <f t="shared" si="40"/>
        <v>0</v>
      </c>
      <c r="N147" s="140">
        <f t="shared" si="40"/>
        <v>0</v>
      </c>
      <c r="O147" s="140">
        <f t="shared" si="40"/>
        <v>0</v>
      </c>
      <c r="P147" s="140">
        <f t="shared" si="40"/>
        <v>0</v>
      </c>
      <c r="Q147" s="140">
        <f t="shared" si="40"/>
        <v>0</v>
      </c>
      <c r="R147" s="140">
        <f t="shared" si="40"/>
        <v>0</v>
      </c>
      <c r="S147" s="140">
        <f t="shared" si="40"/>
        <v>0</v>
      </c>
      <c r="T147" s="140">
        <f t="shared" si="40"/>
        <v>0</v>
      </c>
      <c r="U147" s="140">
        <f t="shared" si="40"/>
        <v>0</v>
      </c>
      <c r="V147" s="140">
        <f t="shared" si="40"/>
        <v>0</v>
      </c>
      <c r="W147" s="140">
        <f t="shared" si="40"/>
        <v>0</v>
      </c>
      <c r="X147" s="140">
        <f t="shared" si="40"/>
        <v>0</v>
      </c>
      <c r="Y147" s="140">
        <f t="shared" si="40"/>
        <v>0</v>
      </c>
      <c r="Z147" s="140">
        <f t="shared" si="40"/>
        <v>0</v>
      </c>
      <c r="AA147" s="140">
        <f t="shared" si="40"/>
        <v>0</v>
      </c>
      <c r="AB147" s="140">
        <f t="shared" si="40"/>
        <v>0</v>
      </c>
      <c r="AC147" s="140">
        <f t="shared" si="40"/>
        <v>0</v>
      </c>
      <c r="AD147" s="140">
        <f t="shared" si="40"/>
        <v>0</v>
      </c>
      <c r="AE147" s="140">
        <f t="shared" si="40"/>
        <v>0</v>
      </c>
      <c r="AF147" s="141"/>
      <c r="AG147" s="141"/>
      <c r="AH147" s="141"/>
      <c r="AI147" s="141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9"/>
      <c r="L148" s="142">
        <f t="shared" ref="L148:AE148" si="41">SUMPRODUCT(L$45:L$52*(1-EXP(-L$55:L$62*L$147)))+SUMPRODUCT(L$101:L$116*(1-EXP(-L$65:L$80*L$147)))</f>
        <v>0</v>
      </c>
      <c r="M148" s="142">
        <f t="shared" si="41"/>
        <v>0</v>
      </c>
      <c r="N148" s="142">
        <f t="shared" si="41"/>
        <v>0</v>
      </c>
      <c r="O148" s="142">
        <f t="shared" si="41"/>
        <v>0</v>
      </c>
      <c r="P148" s="142">
        <f t="shared" si="41"/>
        <v>0</v>
      </c>
      <c r="Q148" s="142">
        <f t="shared" si="41"/>
        <v>0</v>
      </c>
      <c r="R148" s="142">
        <f t="shared" si="41"/>
        <v>0</v>
      </c>
      <c r="S148" s="142">
        <f t="shared" si="41"/>
        <v>0</v>
      </c>
      <c r="T148" s="142">
        <f t="shared" si="41"/>
        <v>0</v>
      </c>
      <c r="U148" s="142">
        <f t="shared" si="41"/>
        <v>0</v>
      </c>
      <c r="V148" s="142">
        <f t="shared" si="41"/>
        <v>0</v>
      </c>
      <c r="W148" s="142">
        <f t="shared" si="41"/>
        <v>0</v>
      </c>
      <c r="X148" s="142">
        <f t="shared" si="41"/>
        <v>0</v>
      </c>
      <c r="Y148" s="142">
        <f t="shared" si="41"/>
        <v>0</v>
      </c>
      <c r="Z148" s="142">
        <f t="shared" si="41"/>
        <v>0</v>
      </c>
      <c r="AA148" s="142">
        <f t="shared" si="41"/>
        <v>0</v>
      </c>
      <c r="AB148" s="142">
        <f t="shared" si="41"/>
        <v>0</v>
      </c>
      <c r="AC148" s="142">
        <f t="shared" si="41"/>
        <v>0</v>
      </c>
      <c r="AD148" s="142">
        <f t="shared" si="41"/>
        <v>0</v>
      </c>
      <c r="AE148" s="142">
        <f t="shared" si="41"/>
        <v>0</v>
      </c>
      <c r="AF148" s="141"/>
      <c r="AG148" s="141"/>
      <c r="AH148" s="141"/>
      <c r="AI148" s="141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9"/>
      <c r="L149" s="140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0">
        <f t="shared" si="42"/>
        <v>0</v>
      </c>
      <c r="N149" s="140">
        <f t="shared" si="42"/>
        <v>0</v>
      </c>
      <c r="O149" s="140">
        <f t="shared" si="42"/>
        <v>0</v>
      </c>
      <c r="P149" s="140">
        <f t="shared" si="42"/>
        <v>0</v>
      </c>
      <c r="Q149" s="140">
        <f t="shared" si="42"/>
        <v>0</v>
      </c>
      <c r="R149" s="140">
        <f t="shared" si="42"/>
        <v>0</v>
      </c>
      <c r="S149" s="140">
        <f t="shared" si="42"/>
        <v>0</v>
      </c>
      <c r="T149" s="140">
        <f t="shared" si="42"/>
        <v>0</v>
      </c>
      <c r="U149" s="140">
        <f t="shared" si="42"/>
        <v>0</v>
      </c>
      <c r="V149" s="140">
        <f t="shared" si="42"/>
        <v>0</v>
      </c>
      <c r="W149" s="140">
        <f t="shared" si="42"/>
        <v>0</v>
      </c>
      <c r="X149" s="140">
        <f t="shared" si="42"/>
        <v>0</v>
      </c>
      <c r="Y149" s="140">
        <f t="shared" si="42"/>
        <v>0</v>
      </c>
      <c r="Z149" s="140">
        <f t="shared" si="42"/>
        <v>0</v>
      </c>
      <c r="AA149" s="140">
        <f t="shared" si="42"/>
        <v>0</v>
      </c>
      <c r="AB149" s="140">
        <f t="shared" si="42"/>
        <v>0</v>
      </c>
      <c r="AC149" s="140">
        <f t="shared" si="42"/>
        <v>0</v>
      </c>
      <c r="AD149" s="140">
        <f t="shared" si="42"/>
        <v>0</v>
      </c>
      <c r="AE149" s="140">
        <f t="shared" si="42"/>
        <v>0</v>
      </c>
      <c r="AF149" s="141"/>
      <c r="AG149" s="141"/>
      <c r="AH149" s="141"/>
      <c r="AI149" s="141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9"/>
      <c r="L150" s="142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2">
        <f t="shared" si="43"/>
        <v>0</v>
      </c>
      <c r="N150" s="142">
        <f t="shared" si="43"/>
        <v>0</v>
      </c>
      <c r="O150" s="142">
        <f t="shared" si="43"/>
        <v>0</v>
      </c>
      <c r="P150" s="142">
        <f t="shared" si="43"/>
        <v>0</v>
      </c>
      <c r="Q150" s="142">
        <f t="shared" si="43"/>
        <v>0</v>
      </c>
      <c r="R150" s="142">
        <f t="shared" si="43"/>
        <v>0</v>
      </c>
      <c r="S150" s="142">
        <f t="shared" si="43"/>
        <v>0</v>
      </c>
      <c r="T150" s="142">
        <f t="shared" si="43"/>
        <v>0</v>
      </c>
      <c r="U150" s="142">
        <f t="shared" si="43"/>
        <v>0</v>
      </c>
      <c r="V150" s="142">
        <f t="shared" si="43"/>
        <v>0</v>
      </c>
      <c r="W150" s="142">
        <f t="shared" si="43"/>
        <v>0</v>
      </c>
      <c r="X150" s="142">
        <f t="shared" si="43"/>
        <v>0</v>
      </c>
      <c r="Y150" s="142">
        <f t="shared" si="43"/>
        <v>0</v>
      </c>
      <c r="Z150" s="142">
        <f t="shared" si="43"/>
        <v>0</v>
      </c>
      <c r="AA150" s="142">
        <f t="shared" si="43"/>
        <v>0</v>
      </c>
      <c r="AB150" s="142">
        <f t="shared" si="43"/>
        <v>0</v>
      </c>
      <c r="AC150" s="142">
        <f t="shared" si="43"/>
        <v>0</v>
      </c>
      <c r="AD150" s="142">
        <f t="shared" si="43"/>
        <v>0</v>
      </c>
      <c r="AE150" s="142">
        <f t="shared" si="43"/>
        <v>0</v>
      </c>
      <c r="AF150" s="141"/>
      <c r="AG150" s="141"/>
      <c r="AH150" s="141"/>
      <c r="AI150" s="141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9"/>
      <c r="L151" s="140">
        <f t="shared" ref="L151:AE151" si="44">IF(L$122&lt;=0,0,IF(L$150&lt;=0,L$147,MIN($F$5,IF(L$147-(L$149-L$122)/L$150&lt;=0,L$147/2,L$147-(L$149-L$122)/L$150))))</f>
        <v>0</v>
      </c>
      <c r="M151" s="140">
        <f t="shared" si="44"/>
        <v>0</v>
      </c>
      <c r="N151" s="140">
        <f t="shared" si="44"/>
        <v>0</v>
      </c>
      <c r="O151" s="140">
        <f t="shared" si="44"/>
        <v>0</v>
      </c>
      <c r="P151" s="140">
        <f t="shared" si="44"/>
        <v>0</v>
      </c>
      <c r="Q151" s="140">
        <f t="shared" si="44"/>
        <v>0</v>
      </c>
      <c r="R151" s="140">
        <f t="shared" si="44"/>
        <v>0</v>
      </c>
      <c r="S151" s="140">
        <f t="shared" si="44"/>
        <v>0</v>
      </c>
      <c r="T151" s="140">
        <f t="shared" si="44"/>
        <v>0</v>
      </c>
      <c r="U151" s="140">
        <f t="shared" si="44"/>
        <v>0</v>
      </c>
      <c r="V151" s="140">
        <f t="shared" si="44"/>
        <v>0</v>
      </c>
      <c r="W151" s="140">
        <f t="shared" si="44"/>
        <v>0</v>
      </c>
      <c r="X151" s="140">
        <f t="shared" si="44"/>
        <v>0</v>
      </c>
      <c r="Y151" s="140">
        <f t="shared" si="44"/>
        <v>0</v>
      </c>
      <c r="Z151" s="140">
        <f t="shared" si="44"/>
        <v>0</v>
      </c>
      <c r="AA151" s="140">
        <f t="shared" si="44"/>
        <v>0</v>
      </c>
      <c r="AB151" s="140">
        <f t="shared" si="44"/>
        <v>0</v>
      </c>
      <c r="AC151" s="140">
        <f t="shared" si="44"/>
        <v>0</v>
      </c>
      <c r="AD151" s="140">
        <f t="shared" si="44"/>
        <v>0</v>
      </c>
      <c r="AE151" s="140">
        <f t="shared" si="44"/>
        <v>0</v>
      </c>
      <c r="AF151" s="141"/>
      <c r="AG151" s="141"/>
      <c r="AH151" s="141"/>
      <c r="AI151" s="141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9"/>
      <c r="L152" s="142">
        <f t="shared" ref="L152:AE152" si="45">SUMPRODUCT(L$45:L$52*(1-EXP(-L$55:L$62*L$151)))+SUMPRODUCT(L$101:L$116*(1-EXP(-L$65:L$80*L$151)))</f>
        <v>0</v>
      </c>
      <c r="M152" s="142">
        <f t="shared" si="45"/>
        <v>0</v>
      </c>
      <c r="N152" s="142">
        <f t="shared" si="45"/>
        <v>0</v>
      </c>
      <c r="O152" s="142">
        <f t="shared" si="45"/>
        <v>0</v>
      </c>
      <c r="P152" s="142">
        <f t="shared" si="45"/>
        <v>0</v>
      </c>
      <c r="Q152" s="142">
        <f t="shared" si="45"/>
        <v>0</v>
      </c>
      <c r="R152" s="142">
        <f t="shared" si="45"/>
        <v>0</v>
      </c>
      <c r="S152" s="142">
        <f t="shared" si="45"/>
        <v>0</v>
      </c>
      <c r="T152" s="142">
        <f t="shared" si="45"/>
        <v>0</v>
      </c>
      <c r="U152" s="142">
        <f t="shared" si="45"/>
        <v>0</v>
      </c>
      <c r="V152" s="142">
        <f t="shared" si="45"/>
        <v>0</v>
      </c>
      <c r="W152" s="142">
        <f t="shared" si="45"/>
        <v>0</v>
      </c>
      <c r="X152" s="142">
        <f t="shared" si="45"/>
        <v>0</v>
      </c>
      <c r="Y152" s="142">
        <f t="shared" si="45"/>
        <v>0</v>
      </c>
      <c r="Z152" s="142">
        <f t="shared" si="45"/>
        <v>0</v>
      </c>
      <c r="AA152" s="142">
        <f t="shared" si="45"/>
        <v>0</v>
      </c>
      <c r="AB152" s="142">
        <f t="shared" si="45"/>
        <v>0</v>
      </c>
      <c r="AC152" s="142">
        <f t="shared" si="45"/>
        <v>0</v>
      </c>
      <c r="AD152" s="142">
        <f t="shared" si="45"/>
        <v>0</v>
      </c>
      <c r="AE152" s="142">
        <f t="shared" si="45"/>
        <v>0</v>
      </c>
      <c r="AF152" s="141"/>
      <c r="AG152" s="141"/>
      <c r="AH152" s="141"/>
      <c r="AI152" s="141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9"/>
      <c r="L153" s="140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0">
        <f t="shared" si="46"/>
        <v>0</v>
      </c>
      <c r="N153" s="140">
        <f t="shared" si="46"/>
        <v>0</v>
      </c>
      <c r="O153" s="140">
        <f t="shared" si="46"/>
        <v>0</v>
      </c>
      <c r="P153" s="140">
        <f t="shared" si="46"/>
        <v>0</v>
      </c>
      <c r="Q153" s="140">
        <f t="shared" si="46"/>
        <v>0</v>
      </c>
      <c r="R153" s="140">
        <f t="shared" si="46"/>
        <v>0</v>
      </c>
      <c r="S153" s="140">
        <f t="shared" si="46"/>
        <v>0</v>
      </c>
      <c r="T153" s="140">
        <f t="shared" si="46"/>
        <v>0</v>
      </c>
      <c r="U153" s="140">
        <f t="shared" si="46"/>
        <v>0</v>
      </c>
      <c r="V153" s="140">
        <f t="shared" si="46"/>
        <v>0</v>
      </c>
      <c r="W153" s="140">
        <f t="shared" si="46"/>
        <v>0</v>
      </c>
      <c r="X153" s="140">
        <f t="shared" si="46"/>
        <v>0</v>
      </c>
      <c r="Y153" s="140">
        <f t="shared" si="46"/>
        <v>0</v>
      </c>
      <c r="Z153" s="140">
        <f t="shared" si="46"/>
        <v>0</v>
      </c>
      <c r="AA153" s="140">
        <f t="shared" si="46"/>
        <v>0</v>
      </c>
      <c r="AB153" s="140">
        <f t="shared" si="46"/>
        <v>0</v>
      </c>
      <c r="AC153" s="140">
        <f t="shared" si="46"/>
        <v>0</v>
      </c>
      <c r="AD153" s="140">
        <f t="shared" si="46"/>
        <v>0</v>
      </c>
      <c r="AE153" s="140">
        <f t="shared" si="46"/>
        <v>0</v>
      </c>
      <c r="AF153" s="141"/>
      <c r="AG153" s="141"/>
      <c r="AH153" s="141"/>
      <c r="AI153" s="141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9"/>
      <c r="L154" s="142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2">
        <f t="shared" si="47"/>
        <v>0</v>
      </c>
      <c r="N154" s="142">
        <f t="shared" si="47"/>
        <v>0</v>
      </c>
      <c r="O154" s="142">
        <f t="shared" si="47"/>
        <v>0</v>
      </c>
      <c r="P154" s="142">
        <f t="shared" si="47"/>
        <v>0</v>
      </c>
      <c r="Q154" s="142">
        <f t="shared" si="47"/>
        <v>0</v>
      </c>
      <c r="R154" s="142">
        <f t="shared" si="47"/>
        <v>0</v>
      </c>
      <c r="S154" s="142">
        <f t="shared" si="47"/>
        <v>0</v>
      </c>
      <c r="T154" s="142">
        <f t="shared" si="47"/>
        <v>0</v>
      </c>
      <c r="U154" s="142">
        <f t="shared" si="47"/>
        <v>0</v>
      </c>
      <c r="V154" s="142">
        <f t="shared" si="47"/>
        <v>0</v>
      </c>
      <c r="W154" s="142">
        <f t="shared" si="47"/>
        <v>0</v>
      </c>
      <c r="X154" s="142">
        <f t="shared" si="47"/>
        <v>0</v>
      </c>
      <c r="Y154" s="142">
        <f t="shared" si="47"/>
        <v>0</v>
      </c>
      <c r="Z154" s="142">
        <f t="shared" si="47"/>
        <v>0</v>
      </c>
      <c r="AA154" s="142">
        <f t="shared" si="47"/>
        <v>0</v>
      </c>
      <c r="AB154" s="142">
        <f t="shared" si="47"/>
        <v>0</v>
      </c>
      <c r="AC154" s="142">
        <f t="shared" si="47"/>
        <v>0</v>
      </c>
      <c r="AD154" s="142">
        <f t="shared" si="47"/>
        <v>0</v>
      </c>
      <c r="AE154" s="142">
        <f t="shared" si="47"/>
        <v>0</v>
      </c>
      <c r="AF154" s="141"/>
      <c r="AG154" s="141"/>
      <c r="AH154" s="141"/>
      <c r="AI154" s="141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9"/>
      <c r="L155" s="140">
        <f t="shared" ref="L155:AE155" si="48">IF(L$122&lt;=0,0,IF(L$154&lt;=0,L$151,MIN($F$5,IF(L$151-(L$153-L$122)/L$154&lt;=0,L$151/2,L$151-(L$153-L$122)/L$154))))</f>
        <v>0</v>
      </c>
      <c r="M155" s="140">
        <f t="shared" si="48"/>
        <v>0</v>
      </c>
      <c r="N155" s="140">
        <f t="shared" si="48"/>
        <v>0</v>
      </c>
      <c r="O155" s="140">
        <f t="shared" si="48"/>
        <v>0</v>
      </c>
      <c r="P155" s="140">
        <f t="shared" si="48"/>
        <v>0</v>
      </c>
      <c r="Q155" s="140">
        <f t="shared" si="48"/>
        <v>0</v>
      </c>
      <c r="R155" s="140">
        <f t="shared" si="48"/>
        <v>0</v>
      </c>
      <c r="S155" s="140">
        <f t="shared" si="48"/>
        <v>0</v>
      </c>
      <c r="T155" s="140">
        <f t="shared" si="48"/>
        <v>0</v>
      </c>
      <c r="U155" s="140">
        <f t="shared" si="48"/>
        <v>0</v>
      </c>
      <c r="V155" s="140">
        <f t="shared" si="48"/>
        <v>0</v>
      </c>
      <c r="W155" s="140">
        <f t="shared" si="48"/>
        <v>0</v>
      </c>
      <c r="X155" s="140">
        <f t="shared" si="48"/>
        <v>0</v>
      </c>
      <c r="Y155" s="140">
        <f t="shared" si="48"/>
        <v>0</v>
      </c>
      <c r="Z155" s="140">
        <f t="shared" si="48"/>
        <v>0</v>
      </c>
      <c r="AA155" s="140">
        <f t="shared" si="48"/>
        <v>0</v>
      </c>
      <c r="AB155" s="140">
        <f t="shared" si="48"/>
        <v>0</v>
      </c>
      <c r="AC155" s="140">
        <f t="shared" si="48"/>
        <v>0</v>
      </c>
      <c r="AD155" s="140">
        <f t="shared" si="48"/>
        <v>0</v>
      </c>
      <c r="AE155" s="140">
        <f t="shared" si="48"/>
        <v>0</v>
      </c>
      <c r="AF155" s="141"/>
      <c r="AG155" s="141"/>
      <c r="AH155" s="141"/>
      <c r="AI155" s="141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9"/>
      <c r="L156" s="142">
        <f t="shared" ref="L156:AE156" si="49">SUMPRODUCT(L$45:L$52*(1-EXP(-L$55:L$62*L$155)))+SUMPRODUCT(L$101:L$116*(1-EXP(-L$65:L$80*L$155)))</f>
        <v>0</v>
      </c>
      <c r="M156" s="142">
        <f t="shared" si="49"/>
        <v>0</v>
      </c>
      <c r="N156" s="142">
        <f t="shared" si="49"/>
        <v>0</v>
      </c>
      <c r="O156" s="142">
        <f t="shared" si="49"/>
        <v>0</v>
      </c>
      <c r="P156" s="142">
        <f t="shared" si="49"/>
        <v>0</v>
      </c>
      <c r="Q156" s="142">
        <f t="shared" si="49"/>
        <v>0</v>
      </c>
      <c r="R156" s="142">
        <f t="shared" si="49"/>
        <v>0</v>
      </c>
      <c r="S156" s="142">
        <f t="shared" si="49"/>
        <v>0</v>
      </c>
      <c r="T156" s="142">
        <f t="shared" si="49"/>
        <v>0</v>
      </c>
      <c r="U156" s="142">
        <f t="shared" si="49"/>
        <v>0</v>
      </c>
      <c r="V156" s="142">
        <f t="shared" si="49"/>
        <v>0</v>
      </c>
      <c r="W156" s="142">
        <f t="shared" si="49"/>
        <v>0</v>
      </c>
      <c r="X156" s="142">
        <f t="shared" si="49"/>
        <v>0</v>
      </c>
      <c r="Y156" s="142">
        <f t="shared" si="49"/>
        <v>0</v>
      </c>
      <c r="Z156" s="142">
        <f t="shared" si="49"/>
        <v>0</v>
      </c>
      <c r="AA156" s="142">
        <f t="shared" si="49"/>
        <v>0</v>
      </c>
      <c r="AB156" s="142">
        <f t="shared" si="49"/>
        <v>0</v>
      </c>
      <c r="AC156" s="142">
        <f t="shared" si="49"/>
        <v>0</v>
      </c>
      <c r="AD156" s="142">
        <f t="shared" si="49"/>
        <v>0</v>
      </c>
      <c r="AE156" s="142">
        <f t="shared" si="49"/>
        <v>0</v>
      </c>
      <c r="AF156" s="141"/>
      <c r="AG156" s="141"/>
      <c r="AH156" s="141"/>
      <c r="AI156" s="141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9"/>
      <c r="L157" s="140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0">
        <f t="shared" si="50"/>
        <v>0</v>
      </c>
      <c r="N157" s="140">
        <f t="shared" si="50"/>
        <v>0</v>
      </c>
      <c r="O157" s="140">
        <f t="shared" si="50"/>
        <v>0</v>
      </c>
      <c r="P157" s="140">
        <f t="shared" si="50"/>
        <v>0</v>
      </c>
      <c r="Q157" s="140">
        <f t="shared" si="50"/>
        <v>0</v>
      </c>
      <c r="R157" s="140">
        <f t="shared" si="50"/>
        <v>0</v>
      </c>
      <c r="S157" s="140">
        <f t="shared" si="50"/>
        <v>0</v>
      </c>
      <c r="T157" s="140">
        <f t="shared" si="50"/>
        <v>0</v>
      </c>
      <c r="U157" s="140">
        <f t="shared" si="50"/>
        <v>0</v>
      </c>
      <c r="V157" s="140">
        <f t="shared" si="50"/>
        <v>0</v>
      </c>
      <c r="W157" s="140">
        <f t="shared" si="50"/>
        <v>0</v>
      </c>
      <c r="X157" s="140">
        <f t="shared" si="50"/>
        <v>0</v>
      </c>
      <c r="Y157" s="140">
        <f t="shared" si="50"/>
        <v>0</v>
      </c>
      <c r="Z157" s="140">
        <f t="shared" si="50"/>
        <v>0</v>
      </c>
      <c r="AA157" s="140">
        <f t="shared" si="50"/>
        <v>0</v>
      </c>
      <c r="AB157" s="140">
        <f t="shared" si="50"/>
        <v>0</v>
      </c>
      <c r="AC157" s="140">
        <f t="shared" si="50"/>
        <v>0</v>
      </c>
      <c r="AD157" s="140">
        <f t="shared" si="50"/>
        <v>0</v>
      </c>
      <c r="AE157" s="140">
        <f t="shared" si="50"/>
        <v>0</v>
      </c>
      <c r="AF157" s="141"/>
      <c r="AG157" s="141"/>
      <c r="AH157" s="141"/>
      <c r="AI157" s="141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9"/>
      <c r="L158" s="142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2">
        <f t="shared" si="51"/>
        <v>0</v>
      </c>
      <c r="N158" s="142">
        <f t="shared" si="51"/>
        <v>0</v>
      </c>
      <c r="O158" s="142">
        <f t="shared" si="51"/>
        <v>0</v>
      </c>
      <c r="P158" s="142">
        <f t="shared" si="51"/>
        <v>0</v>
      </c>
      <c r="Q158" s="142">
        <f t="shared" si="51"/>
        <v>0</v>
      </c>
      <c r="R158" s="142">
        <f t="shared" si="51"/>
        <v>0</v>
      </c>
      <c r="S158" s="142">
        <f t="shared" si="51"/>
        <v>0</v>
      </c>
      <c r="T158" s="142">
        <f t="shared" si="51"/>
        <v>0</v>
      </c>
      <c r="U158" s="142">
        <f t="shared" si="51"/>
        <v>0</v>
      </c>
      <c r="V158" s="142">
        <f t="shared" si="51"/>
        <v>0</v>
      </c>
      <c r="W158" s="142">
        <f t="shared" si="51"/>
        <v>0</v>
      </c>
      <c r="X158" s="142">
        <f t="shared" si="51"/>
        <v>0</v>
      </c>
      <c r="Y158" s="142">
        <f t="shared" si="51"/>
        <v>0</v>
      </c>
      <c r="Z158" s="142">
        <f t="shared" si="51"/>
        <v>0</v>
      </c>
      <c r="AA158" s="142">
        <f t="shared" si="51"/>
        <v>0</v>
      </c>
      <c r="AB158" s="142">
        <f t="shared" si="51"/>
        <v>0</v>
      </c>
      <c r="AC158" s="142">
        <f t="shared" si="51"/>
        <v>0</v>
      </c>
      <c r="AD158" s="142">
        <f t="shared" si="51"/>
        <v>0</v>
      </c>
      <c r="AE158" s="142">
        <f t="shared" si="51"/>
        <v>0</v>
      </c>
      <c r="AF158" s="141"/>
      <c r="AG158" s="141"/>
      <c r="AH158" s="141"/>
      <c r="AI158" s="141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9"/>
      <c r="L159" s="140">
        <f t="shared" ref="L159:AE159" si="52">IF(L$122&lt;=0,0,IF(L$158&lt;=0,L$155,MIN($F$5,IF(L$155-(L$157-L$122)/L$158&lt;=0,L$155/2,L$155-(L$157-L$122)/L$158))))</f>
        <v>0</v>
      </c>
      <c r="M159" s="140">
        <f t="shared" si="52"/>
        <v>0</v>
      </c>
      <c r="N159" s="140">
        <f t="shared" si="52"/>
        <v>0</v>
      </c>
      <c r="O159" s="140">
        <f t="shared" si="52"/>
        <v>0</v>
      </c>
      <c r="P159" s="140">
        <f t="shared" si="52"/>
        <v>0</v>
      </c>
      <c r="Q159" s="140">
        <f t="shared" si="52"/>
        <v>0</v>
      </c>
      <c r="R159" s="140">
        <f t="shared" si="52"/>
        <v>0</v>
      </c>
      <c r="S159" s="140">
        <f t="shared" si="52"/>
        <v>0</v>
      </c>
      <c r="T159" s="140">
        <f t="shared" si="52"/>
        <v>0</v>
      </c>
      <c r="U159" s="140">
        <f t="shared" si="52"/>
        <v>0</v>
      </c>
      <c r="V159" s="140">
        <f t="shared" si="52"/>
        <v>0</v>
      </c>
      <c r="W159" s="140">
        <f t="shared" si="52"/>
        <v>0</v>
      </c>
      <c r="X159" s="140">
        <f t="shared" si="52"/>
        <v>0</v>
      </c>
      <c r="Y159" s="140">
        <f t="shared" si="52"/>
        <v>0</v>
      </c>
      <c r="Z159" s="140">
        <f t="shared" si="52"/>
        <v>0</v>
      </c>
      <c r="AA159" s="140">
        <f t="shared" si="52"/>
        <v>0</v>
      </c>
      <c r="AB159" s="140">
        <f t="shared" si="52"/>
        <v>0</v>
      </c>
      <c r="AC159" s="140">
        <f t="shared" si="52"/>
        <v>0</v>
      </c>
      <c r="AD159" s="140">
        <f t="shared" si="52"/>
        <v>0</v>
      </c>
      <c r="AE159" s="140">
        <f t="shared" si="52"/>
        <v>0</v>
      </c>
      <c r="AF159" s="141"/>
      <c r="AG159" s="141"/>
      <c r="AH159" s="141"/>
      <c r="AI159" s="141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9"/>
      <c r="L160" s="142">
        <f t="shared" ref="L160:AE160" si="53">SUMPRODUCT(L$45:L$52*(1-EXP(-L$55:L$62*L$159)))+SUMPRODUCT(L$101:L$116*(1-EXP(-L$65:L$80*L$159)))</f>
        <v>0</v>
      </c>
      <c r="M160" s="142">
        <f t="shared" si="53"/>
        <v>0</v>
      </c>
      <c r="N160" s="142">
        <f t="shared" si="53"/>
        <v>0</v>
      </c>
      <c r="O160" s="142">
        <f t="shared" si="53"/>
        <v>0</v>
      </c>
      <c r="P160" s="142">
        <f t="shared" si="53"/>
        <v>0</v>
      </c>
      <c r="Q160" s="142">
        <f t="shared" si="53"/>
        <v>0</v>
      </c>
      <c r="R160" s="142">
        <f t="shared" si="53"/>
        <v>0</v>
      </c>
      <c r="S160" s="142">
        <f t="shared" si="53"/>
        <v>0</v>
      </c>
      <c r="T160" s="142">
        <f t="shared" si="53"/>
        <v>0</v>
      </c>
      <c r="U160" s="142">
        <f t="shared" si="53"/>
        <v>0</v>
      </c>
      <c r="V160" s="142">
        <f t="shared" si="53"/>
        <v>0</v>
      </c>
      <c r="W160" s="142">
        <f t="shared" si="53"/>
        <v>0</v>
      </c>
      <c r="X160" s="142">
        <f t="shared" si="53"/>
        <v>0</v>
      </c>
      <c r="Y160" s="142">
        <f t="shared" si="53"/>
        <v>0</v>
      </c>
      <c r="Z160" s="142">
        <f t="shared" si="53"/>
        <v>0</v>
      </c>
      <c r="AA160" s="142">
        <f t="shared" si="53"/>
        <v>0</v>
      </c>
      <c r="AB160" s="142">
        <f t="shared" si="53"/>
        <v>0</v>
      </c>
      <c r="AC160" s="142">
        <f t="shared" si="53"/>
        <v>0</v>
      </c>
      <c r="AD160" s="142">
        <f t="shared" si="53"/>
        <v>0</v>
      </c>
      <c r="AE160" s="142">
        <f t="shared" si="53"/>
        <v>0</v>
      </c>
      <c r="AF160" s="141"/>
      <c r="AG160" s="141"/>
      <c r="AH160" s="141"/>
      <c r="AI160" s="141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9"/>
      <c r="L161" s="140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0">
        <f t="shared" si="54"/>
        <v>0</v>
      </c>
      <c r="N161" s="140">
        <f t="shared" si="54"/>
        <v>0</v>
      </c>
      <c r="O161" s="140">
        <f t="shared" si="54"/>
        <v>0</v>
      </c>
      <c r="P161" s="140">
        <f t="shared" si="54"/>
        <v>0</v>
      </c>
      <c r="Q161" s="140">
        <f t="shared" si="54"/>
        <v>0</v>
      </c>
      <c r="R161" s="140">
        <f t="shared" si="54"/>
        <v>0</v>
      </c>
      <c r="S161" s="140">
        <f t="shared" si="54"/>
        <v>0</v>
      </c>
      <c r="T161" s="140">
        <f t="shared" si="54"/>
        <v>0</v>
      </c>
      <c r="U161" s="140">
        <f t="shared" si="54"/>
        <v>0</v>
      </c>
      <c r="V161" s="140">
        <f t="shared" si="54"/>
        <v>0</v>
      </c>
      <c r="W161" s="140">
        <f t="shared" si="54"/>
        <v>0</v>
      </c>
      <c r="X161" s="140">
        <f t="shared" si="54"/>
        <v>0</v>
      </c>
      <c r="Y161" s="140">
        <f t="shared" si="54"/>
        <v>0</v>
      </c>
      <c r="Z161" s="140">
        <f t="shared" si="54"/>
        <v>0</v>
      </c>
      <c r="AA161" s="140">
        <f t="shared" si="54"/>
        <v>0</v>
      </c>
      <c r="AB161" s="140">
        <f t="shared" si="54"/>
        <v>0</v>
      </c>
      <c r="AC161" s="140">
        <f t="shared" si="54"/>
        <v>0</v>
      </c>
      <c r="AD161" s="140">
        <f t="shared" si="54"/>
        <v>0</v>
      </c>
      <c r="AE161" s="140">
        <f t="shared" si="54"/>
        <v>0</v>
      </c>
      <c r="AF161" s="141"/>
      <c r="AG161" s="141"/>
      <c r="AH161" s="141"/>
      <c r="AI161" s="141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9"/>
      <c r="L162" s="142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2">
        <f t="shared" si="55"/>
        <v>0</v>
      </c>
      <c r="N162" s="142">
        <f t="shared" si="55"/>
        <v>0</v>
      </c>
      <c r="O162" s="142">
        <f t="shared" si="55"/>
        <v>0</v>
      </c>
      <c r="P162" s="142">
        <f t="shared" si="55"/>
        <v>0</v>
      </c>
      <c r="Q162" s="142">
        <f t="shared" si="55"/>
        <v>0</v>
      </c>
      <c r="R162" s="142">
        <f t="shared" si="55"/>
        <v>0</v>
      </c>
      <c r="S162" s="142">
        <f t="shared" si="55"/>
        <v>0</v>
      </c>
      <c r="T162" s="142">
        <f t="shared" si="55"/>
        <v>0</v>
      </c>
      <c r="U162" s="142">
        <f t="shared" si="55"/>
        <v>0</v>
      </c>
      <c r="V162" s="142">
        <f t="shared" si="55"/>
        <v>0</v>
      </c>
      <c r="W162" s="142">
        <f t="shared" si="55"/>
        <v>0</v>
      </c>
      <c r="X162" s="142">
        <f t="shared" si="55"/>
        <v>0</v>
      </c>
      <c r="Y162" s="142">
        <f t="shared" si="55"/>
        <v>0</v>
      </c>
      <c r="Z162" s="142">
        <f t="shared" si="55"/>
        <v>0</v>
      </c>
      <c r="AA162" s="142">
        <f t="shared" si="55"/>
        <v>0</v>
      </c>
      <c r="AB162" s="142">
        <f t="shared" si="55"/>
        <v>0</v>
      </c>
      <c r="AC162" s="142">
        <f t="shared" si="55"/>
        <v>0</v>
      </c>
      <c r="AD162" s="142">
        <f t="shared" si="55"/>
        <v>0</v>
      </c>
      <c r="AE162" s="142">
        <f t="shared" si="55"/>
        <v>0</v>
      </c>
      <c r="AF162" s="141"/>
      <c r="AG162" s="141"/>
      <c r="AH162" s="141"/>
      <c r="AI162" s="141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9"/>
      <c r="L163" s="140">
        <f t="shared" ref="L163:AE163" si="56">IF(L$122&lt;=0,0,IF(L$162&lt;=0,L$159,MIN($F$5,IF(L$159-(L$161-L$122)/L$162&lt;=0,L$159/2,L$159-(L$161-L$122)/L$162))))</f>
        <v>0</v>
      </c>
      <c r="M163" s="140">
        <f t="shared" si="56"/>
        <v>0</v>
      </c>
      <c r="N163" s="140">
        <f t="shared" si="56"/>
        <v>0</v>
      </c>
      <c r="O163" s="140">
        <f t="shared" si="56"/>
        <v>0</v>
      </c>
      <c r="P163" s="140">
        <f t="shared" si="56"/>
        <v>0</v>
      </c>
      <c r="Q163" s="140">
        <f t="shared" si="56"/>
        <v>0</v>
      </c>
      <c r="R163" s="140">
        <f t="shared" si="56"/>
        <v>0</v>
      </c>
      <c r="S163" s="140">
        <f t="shared" si="56"/>
        <v>0</v>
      </c>
      <c r="T163" s="140">
        <f t="shared" si="56"/>
        <v>0</v>
      </c>
      <c r="U163" s="140">
        <f t="shared" si="56"/>
        <v>0</v>
      </c>
      <c r="V163" s="140">
        <f t="shared" si="56"/>
        <v>0</v>
      </c>
      <c r="W163" s="140">
        <f t="shared" si="56"/>
        <v>0</v>
      </c>
      <c r="X163" s="140">
        <f t="shared" si="56"/>
        <v>0</v>
      </c>
      <c r="Y163" s="140">
        <f t="shared" si="56"/>
        <v>0</v>
      </c>
      <c r="Z163" s="140">
        <f t="shared" si="56"/>
        <v>0</v>
      </c>
      <c r="AA163" s="140">
        <f t="shared" si="56"/>
        <v>0</v>
      </c>
      <c r="AB163" s="140">
        <f t="shared" si="56"/>
        <v>0</v>
      </c>
      <c r="AC163" s="140">
        <f t="shared" si="56"/>
        <v>0</v>
      </c>
      <c r="AD163" s="140">
        <f t="shared" si="56"/>
        <v>0</v>
      </c>
      <c r="AE163" s="140">
        <f t="shared" si="56"/>
        <v>0</v>
      </c>
      <c r="AF163" s="141"/>
      <c r="AG163" s="141"/>
      <c r="AH163" s="141"/>
      <c r="AI163" s="141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9"/>
      <c r="L164" s="142">
        <f t="shared" ref="L164:AE164" si="57">SUMPRODUCT(L$45:L$52*(1-EXP(-L$55:L$62*L$163)))+SUMPRODUCT(L$101:L$116*(1-EXP(-L$65:L$80*L$163)))</f>
        <v>0</v>
      </c>
      <c r="M164" s="142">
        <f t="shared" si="57"/>
        <v>0</v>
      </c>
      <c r="N164" s="142">
        <f t="shared" si="57"/>
        <v>0</v>
      </c>
      <c r="O164" s="142">
        <f t="shared" si="57"/>
        <v>0</v>
      </c>
      <c r="P164" s="142">
        <f t="shared" si="57"/>
        <v>0</v>
      </c>
      <c r="Q164" s="142">
        <f t="shared" si="57"/>
        <v>0</v>
      </c>
      <c r="R164" s="142">
        <f t="shared" si="57"/>
        <v>0</v>
      </c>
      <c r="S164" s="142">
        <f t="shared" si="57"/>
        <v>0</v>
      </c>
      <c r="T164" s="142">
        <f t="shared" si="57"/>
        <v>0</v>
      </c>
      <c r="U164" s="142">
        <f t="shared" si="57"/>
        <v>0</v>
      </c>
      <c r="V164" s="142">
        <f t="shared" si="57"/>
        <v>0</v>
      </c>
      <c r="W164" s="142">
        <f t="shared" si="57"/>
        <v>0</v>
      </c>
      <c r="X164" s="142">
        <f t="shared" si="57"/>
        <v>0</v>
      </c>
      <c r="Y164" s="142">
        <f t="shared" si="57"/>
        <v>0</v>
      </c>
      <c r="Z164" s="142">
        <f t="shared" si="57"/>
        <v>0</v>
      </c>
      <c r="AA164" s="142">
        <f t="shared" si="57"/>
        <v>0</v>
      </c>
      <c r="AB164" s="142">
        <f t="shared" si="57"/>
        <v>0</v>
      </c>
      <c r="AC164" s="142">
        <f t="shared" si="57"/>
        <v>0</v>
      </c>
      <c r="AD164" s="142">
        <f t="shared" si="57"/>
        <v>0</v>
      </c>
      <c r="AE164" s="142">
        <f t="shared" si="57"/>
        <v>0</v>
      </c>
      <c r="AF164" s="141"/>
      <c r="AG164" s="141"/>
      <c r="AH164" s="141"/>
      <c r="AI164" s="141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9"/>
      <c r="L165" s="140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0">
        <f t="shared" si="58"/>
        <v>0</v>
      </c>
      <c r="N165" s="140">
        <f t="shared" si="58"/>
        <v>0</v>
      </c>
      <c r="O165" s="140">
        <f t="shared" si="58"/>
        <v>0</v>
      </c>
      <c r="P165" s="140">
        <f t="shared" si="58"/>
        <v>0</v>
      </c>
      <c r="Q165" s="140">
        <f t="shared" si="58"/>
        <v>0</v>
      </c>
      <c r="R165" s="140">
        <f t="shared" si="58"/>
        <v>0</v>
      </c>
      <c r="S165" s="140">
        <f t="shared" si="58"/>
        <v>0</v>
      </c>
      <c r="T165" s="140">
        <f t="shared" si="58"/>
        <v>0</v>
      </c>
      <c r="U165" s="140">
        <f t="shared" si="58"/>
        <v>0</v>
      </c>
      <c r="V165" s="140">
        <f t="shared" si="58"/>
        <v>0</v>
      </c>
      <c r="W165" s="140">
        <f t="shared" si="58"/>
        <v>0</v>
      </c>
      <c r="X165" s="140">
        <f t="shared" si="58"/>
        <v>0</v>
      </c>
      <c r="Y165" s="140">
        <f t="shared" si="58"/>
        <v>0</v>
      </c>
      <c r="Z165" s="140">
        <f t="shared" si="58"/>
        <v>0</v>
      </c>
      <c r="AA165" s="140">
        <f t="shared" si="58"/>
        <v>0</v>
      </c>
      <c r="AB165" s="140">
        <f t="shared" si="58"/>
        <v>0</v>
      </c>
      <c r="AC165" s="140">
        <f t="shared" si="58"/>
        <v>0</v>
      </c>
      <c r="AD165" s="140">
        <f t="shared" si="58"/>
        <v>0</v>
      </c>
      <c r="AE165" s="140">
        <f t="shared" si="58"/>
        <v>0</v>
      </c>
      <c r="AF165" s="141"/>
      <c r="AG165" s="141"/>
      <c r="AH165" s="141"/>
      <c r="AI165" s="141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9"/>
      <c r="L166" s="142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2">
        <f t="shared" si="59"/>
        <v>0</v>
      </c>
      <c r="N166" s="142">
        <f t="shared" si="59"/>
        <v>0</v>
      </c>
      <c r="O166" s="142">
        <f t="shared" si="59"/>
        <v>0</v>
      </c>
      <c r="P166" s="142">
        <f t="shared" si="59"/>
        <v>0</v>
      </c>
      <c r="Q166" s="142">
        <f t="shared" si="59"/>
        <v>0</v>
      </c>
      <c r="R166" s="142">
        <f t="shared" si="59"/>
        <v>0</v>
      </c>
      <c r="S166" s="142">
        <f t="shared" si="59"/>
        <v>0</v>
      </c>
      <c r="T166" s="142">
        <f t="shared" si="59"/>
        <v>0</v>
      </c>
      <c r="U166" s="142">
        <f t="shared" si="59"/>
        <v>0</v>
      </c>
      <c r="V166" s="142">
        <f t="shared" si="59"/>
        <v>0</v>
      </c>
      <c r="W166" s="142">
        <f t="shared" si="59"/>
        <v>0</v>
      </c>
      <c r="X166" s="142">
        <f t="shared" si="59"/>
        <v>0</v>
      </c>
      <c r="Y166" s="142">
        <f t="shared" si="59"/>
        <v>0</v>
      </c>
      <c r="Z166" s="142">
        <f t="shared" si="59"/>
        <v>0</v>
      </c>
      <c r="AA166" s="142">
        <f t="shared" si="59"/>
        <v>0</v>
      </c>
      <c r="AB166" s="142">
        <f t="shared" si="59"/>
        <v>0</v>
      </c>
      <c r="AC166" s="142">
        <f t="shared" si="59"/>
        <v>0</v>
      </c>
      <c r="AD166" s="142">
        <f t="shared" si="59"/>
        <v>0</v>
      </c>
      <c r="AE166" s="142">
        <f t="shared" si="59"/>
        <v>0</v>
      </c>
      <c r="AF166" s="141"/>
      <c r="AG166" s="141"/>
      <c r="AH166" s="141"/>
      <c r="AI166" s="141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9"/>
      <c r="L167" s="140">
        <f t="shared" ref="L167:AE167" si="60">IF(L$122&lt;=0,0,IF(L$166&lt;=0,L$163,MIN($F$5,IF(L$163-(L$165-L$122)/L$166&lt;=0,L$163/2,L$163-(L$165-L$122)/L$166))))</f>
        <v>0</v>
      </c>
      <c r="M167" s="140">
        <f t="shared" si="60"/>
        <v>0</v>
      </c>
      <c r="N167" s="140">
        <f t="shared" si="60"/>
        <v>0</v>
      </c>
      <c r="O167" s="140">
        <f t="shared" si="60"/>
        <v>0</v>
      </c>
      <c r="P167" s="140">
        <f t="shared" si="60"/>
        <v>0</v>
      </c>
      <c r="Q167" s="140">
        <f t="shared" si="60"/>
        <v>0</v>
      </c>
      <c r="R167" s="140">
        <f t="shared" si="60"/>
        <v>0</v>
      </c>
      <c r="S167" s="140">
        <f t="shared" si="60"/>
        <v>0</v>
      </c>
      <c r="T167" s="140">
        <f t="shared" si="60"/>
        <v>0</v>
      </c>
      <c r="U167" s="140">
        <f t="shared" si="60"/>
        <v>0</v>
      </c>
      <c r="V167" s="140">
        <f t="shared" si="60"/>
        <v>0</v>
      </c>
      <c r="W167" s="140">
        <f t="shared" si="60"/>
        <v>0</v>
      </c>
      <c r="X167" s="140">
        <f t="shared" si="60"/>
        <v>0</v>
      </c>
      <c r="Y167" s="140">
        <f t="shared" si="60"/>
        <v>0</v>
      </c>
      <c r="Z167" s="140">
        <f t="shared" si="60"/>
        <v>0</v>
      </c>
      <c r="AA167" s="140">
        <f t="shared" si="60"/>
        <v>0</v>
      </c>
      <c r="AB167" s="140">
        <f t="shared" si="60"/>
        <v>0</v>
      </c>
      <c r="AC167" s="140">
        <f t="shared" si="60"/>
        <v>0</v>
      </c>
      <c r="AD167" s="140">
        <f t="shared" si="60"/>
        <v>0</v>
      </c>
      <c r="AE167" s="140">
        <f t="shared" si="60"/>
        <v>0</v>
      </c>
      <c r="AF167" s="141"/>
      <c r="AG167" s="141"/>
      <c r="AH167" s="141"/>
      <c r="AI167" s="141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9"/>
      <c r="L168" s="142">
        <f t="shared" ref="L168:AE168" si="61">SUMPRODUCT(L$45:L$52*(1-EXP(-L$55:L$62*L$167)))+SUMPRODUCT(L$101:L$116*(1-EXP(-L$65:L$80*L$167)))</f>
        <v>0</v>
      </c>
      <c r="M168" s="142">
        <f t="shared" si="61"/>
        <v>0</v>
      </c>
      <c r="N168" s="142">
        <f t="shared" si="61"/>
        <v>0</v>
      </c>
      <c r="O168" s="142">
        <f t="shared" si="61"/>
        <v>0</v>
      </c>
      <c r="P168" s="142">
        <f t="shared" si="61"/>
        <v>0</v>
      </c>
      <c r="Q168" s="142">
        <f t="shared" si="61"/>
        <v>0</v>
      </c>
      <c r="R168" s="142">
        <f t="shared" si="61"/>
        <v>0</v>
      </c>
      <c r="S168" s="142">
        <f t="shared" si="61"/>
        <v>0</v>
      </c>
      <c r="T168" s="142">
        <f t="shared" si="61"/>
        <v>0</v>
      </c>
      <c r="U168" s="142">
        <f t="shared" si="61"/>
        <v>0</v>
      </c>
      <c r="V168" s="142">
        <f t="shared" si="61"/>
        <v>0</v>
      </c>
      <c r="W168" s="142">
        <f t="shared" si="61"/>
        <v>0</v>
      </c>
      <c r="X168" s="142">
        <f t="shared" si="61"/>
        <v>0</v>
      </c>
      <c r="Y168" s="142">
        <f t="shared" si="61"/>
        <v>0</v>
      </c>
      <c r="Z168" s="142">
        <f t="shared" si="61"/>
        <v>0</v>
      </c>
      <c r="AA168" s="142">
        <f t="shared" si="61"/>
        <v>0</v>
      </c>
      <c r="AB168" s="142">
        <f t="shared" si="61"/>
        <v>0</v>
      </c>
      <c r="AC168" s="142">
        <f t="shared" si="61"/>
        <v>0</v>
      </c>
      <c r="AD168" s="142">
        <f t="shared" si="61"/>
        <v>0</v>
      </c>
      <c r="AE168" s="142">
        <f t="shared" si="61"/>
        <v>0</v>
      </c>
      <c r="AF168" s="141"/>
      <c r="AG168" s="141"/>
      <c r="AH168" s="141"/>
      <c r="AI168" s="141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9"/>
      <c r="L169" s="140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0">
        <f t="shared" si="62"/>
        <v>0</v>
      </c>
      <c r="N169" s="140">
        <f t="shared" si="62"/>
        <v>0</v>
      </c>
      <c r="O169" s="140">
        <f t="shared" si="62"/>
        <v>0</v>
      </c>
      <c r="P169" s="140">
        <f t="shared" si="62"/>
        <v>0</v>
      </c>
      <c r="Q169" s="140">
        <f t="shared" si="62"/>
        <v>0</v>
      </c>
      <c r="R169" s="140">
        <f t="shared" si="62"/>
        <v>0</v>
      </c>
      <c r="S169" s="140">
        <f t="shared" si="62"/>
        <v>0</v>
      </c>
      <c r="T169" s="140">
        <f t="shared" si="62"/>
        <v>0</v>
      </c>
      <c r="U169" s="140">
        <f t="shared" si="62"/>
        <v>0</v>
      </c>
      <c r="V169" s="140">
        <f t="shared" si="62"/>
        <v>0</v>
      </c>
      <c r="W169" s="140">
        <f t="shared" si="62"/>
        <v>0</v>
      </c>
      <c r="X169" s="140">
        <f t="shared" si="62"/>
        <v>0</v>
      </c>
      <c r="Y169" s="140">
        <f t="shared" si="62"/>
        <v>0</v>
      </c>
      <c r="Z169" s="140">
        <f t="shared" si="62"/>
        <v>0</v>
      </c>
      <c r="AA169" s="140">
        <f t="shared" si="62"/>
        <v>0</v>
      </c>
      <c r="AB169" s="140">
        <f t="shared" si="62"/>
        <v>0</v>
      </c>
      <c r="AC169" s="140">
        <f t="shared" si="62"/>
        <v>0</v>
      </c>
      <c r="AD169" s="140">
        <f t="shared" si="62"/>
        <v>0</v>
      </c>
      <c r="AE169" s="140">
        <f t="shared" si="62"/>
        <v>0</v>
      </c>
      <c r="AF169" s="141"/>
      <c r="AG169" s="141"/>
      <c r="AH169" s="141"/>
      <c r="AI169" s="141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9"/>
      <c r="L170" s="142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2">
        <f t="shared" si="63"/>
        <v>0</v>
      </c>
      <c r="N170" s="142">
        <f t="shared" si="63"/>
        <v>0</v>
      </c>
      <c r="O170" s="142">
        <f t="shared" si="63"/>
        <v>0</v>
      </c>
      <c r="P170" s="142">
        <f t="shared" si="63"/>
        <v>0</v>
      </c>
      <c r="Q170" s="142">
        <f t="shared" si="63"/>
        <v>0</v>
      </c>
      <c r="R170" s="142">
        <f t="shared" si="63"/>
        <v>0</v>
      </c>
      <c r="S170" s="142">
        <f t="shared" si="63"/>
        <v>0</v>
      </c>
      <c r="T170" s="142">
        <f t="shared" si="63"/>
        <v>0</v>
      </c>
      <c r="U170" s="142">
        <f t="shared" si="63"/>
        <v>0</v>
      </c>
      <c r="V170" s="142">
        <f t="shared" si="63"/>
        <v>0</v>
      </c>
      <c r="W170" s="142">
        <f t="shared" si="63"/>
        <v>0</v>
      </c>
      <c r="X170" s="142">
        <f t="shared" si="63"/>
        <v>0</v>
      </c>
      <c r="Y170" s="142">
        <f t="shared" si="63"/>
        <v>0</v>
      </c>
      <c r="Z170" s="142">
        <f t="shared" si="63"/>
        <v>0</v>
      </c>
      <c r="AA170" s="142">
        <f t="shared" si="63"/>
        <v>0</v>
      </c>
      <c r="AB170" s="142">
        <f t="shared" si="63"/>
        <v>0</v>
      </c>
      <c r="AC170" s="142">
        <f t="shared" si="63"/>
        <v>0</v>
      </c>
      <c r="AD170" s="142">
        <f t="shared" si="63"/>
        <v>0</v>
      </c>
      <c r="AE170" s="142">
        <f t="shared" si="63"/>
        <v>0</v>
      </c>
      <c r="AF170" s="141"/>
      <c r="AG170" s="141"/>
      <c r="AH170" s="141"/>
      <c r="AI170" s="141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9"/>
      <c r="L171" s="140">
        <f t="shared" ref="L171:AE171" si="64">IF(L$122&lt;=0,0,IF(L$170&lt;=0,L$167,MIN($F$5,IF(L$167-(L$169-L$122)/L$170&lt;=0,L$167/2,L$167-(L$169-L$122)/L$170))))</f>
        <v>0</v>
      </c>
      <c r="M171" s="140">
        <f t="shared" si="64"/>
        <v>0</v>
      </c>
      <c r="N171" s="140">
        <f t="shared" si="64"/>
        <v>0</v>
      </c>
      <c r="O171" s="140">
        <f t="shared" si="64"/>
        <v>0</v>
      </c>
      <c r="P171" s="140">
        <f t="shared" si="64"/>
        <v>0</v>
      </c>
      <c r="Q171" s="140">
        <f t="shared" si="64"/>
        <v>0</v>
      </c>
      <c r="R171" s="140">
        <f t="shared" si="64"/>
        <v>0</v>
      </c>
      <c r="S171" s="140">
        <f t="shared" si="64"/>
        <v>0</v>
      </c>
      <c r="T171" s="140">
        <f t="shared" si="64"/>
        <v>0</v>
      </c>
      <c r="U171" s="140">
        <f t="shared" si="64"/>
        <v>0</v>
      </c>
      <c r="V171" s="140">
        <f t="shared" si="64"/>
        <v>0</v>
      </c>
      <c r="W171" s="140">
        <f t="shared" si="64"/>
        <v>0</v>
      </c>
      <c r="X171" s="140">
        <f t="shared" si="64"/>
        <v>0</v>
      </c>
      <c r="Y171" s="140">
        <f t="shared" si="64"/>
        <v>0</v>
      </c>
      <c r="Z171" s="140">
        <f t="shared" si="64"/>
        <v>0</v>
      </c>
      <c r="AA171" s="140">
        <f t="shared" si="64"/>
        <v>0</v>
      </c>
      <c r="AB171" s="140">
        <f t="shared" si="64"/>
        <v>0</v>
      </c>
      <c r="AC171" s="140">
        <f t="shared" si="64"/>
        <v>0</v>
      </c>
      <c r="AD171" s="140">
        <f t="shared" si="64"/>
        <v>0</v>
      </c>
      <c r="AE171" s="140">
        <f t="shared" si="64"/>
        <v>0</v>
      </c>
      <c r="AF171" s="141"/>
      <c r="AG171" s="141"/>
      <c r="AH171" s="141"/>
      <c r="AI171" s="141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9"/>
      <c r="L172" s="142">
        <f t="shared" ref="L172:AE172" si="65">SUMPRODUCT(L$45:L$52*(1-EXP(-L$55:L$62*L$171)))+SUMPRODUCT(L$101:L$116*(1-EXP(-L$65:L$80*L$171)))</f>
        <v>0</v>
      </c>
      <c r="M172" s="142">
        <f t="shared" si="65"/>
        <v>0</v>
      </c>
      <c r="N172" s="142">
        <f t="shared" si="65"/>
        <v>0</v>
      </c>
      <c r="O172" s="142">
        <f t="shared" si="65"/>
        <v>0</v>
      </c>
      <c r="P172" s="142">
        <f t="shared" si="65"/>
        <v>0</v>
      </c>
      <c r="Q172" s="142">
        <f t="shared" si="65"/>
        <v>0</v>
      </c>
      <c r="R172" s="142">
        <f t="shared" si="65"/>
        <v>0</v>
      </c>
      <c r="S172" s="142">
        <f t="shared" si="65"/>
        <v>0</v>
      </c>
      <c r="T172" s="142">
        <f t="shared" si="65"/>
        <v>0</v>
      </c>
      <c r="U172" s="142">
        <f t="shared" si="65"/>
        <v>0</v>
      </c>
      <c r="V172" s="142">
        <f t="shared" si="65"/>
        <v>0</v>
      </c>
      <c r="W172" s="142">
        <f t="shared" si="65"/>
        <v>0</v>
      </c>
      <c r="X172" s="142">
        <f t="shared" si="65"/>
        <v>0</v>
      </c>
      <c r="Y172" s="142">
        <f t="shared" si="65"/>
        <v>0</v>
      </c>
      <c r="Z172" s="142">
        <f t="shared" si="65"/>
        <v>0</v>
      </c>
      <c r="AA172" s="142">
        <f t="shared" si="65"/>
        <v>0</v>
      </c>
      <c r="AB172" s="142">
        <f t="shared" si="65"/>
        <v>0</v>
      </c>
      <c r="AC172" s="142">
        <f t="shared" si="65"/>
        <v>0</v>
      </c>
      <c r="AD172" s="142">
        <f t="shared" si="65"/>
        <v>0</v>
      </c>
      <c r="AE172" s="142">
        <f t="shared" si="65"/>
        <v>0</v>
      </c>
      <c r="AF172" s="141"/>
      <c r="AG172" s="141"/>
      <c r="AH172" s="141"/>
      <c r="AI172" s="141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9"/>
      <c r="L173" s="140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0">
        <f t="shared" si="66"/>
        <v>0</v>
      </c>
      <c r="N173" s="140">
        <f t="shared" si="66"/>
        <v>0</v>
      </c>
      <c r="O173" s="140">
        <f t="shared" si="66"/>
        <v>0</v>
      </c>
      <c r="P173" s="140">
        <f t="shared" si="66"/>
        <v>0</v>
      </c>
      <c r="Q173" s="140">
        <f t="shared" si="66"/>
        <v>0</v>
      </c>
      <c r="R173" s="140">
        <f t="shared" si="66"/>
        <v>0</v>
      </c>
      <c r="S173" s="140">
        <f t="shared" si="66"/>
        <v>0</v>
      </c>
      <c r="T173" s="140">
        <f t="shared" si="66"/>
        <v>0</v>
      </c>
      <c r="U173" s="140">
        <f t="shared" si="66"/>
        <v>0</v>
      </c>
      <c r="V173" s="140">
        <f t="shared" si="66"/>
        <v>0</v>
      </c>
      <c r="W173" s="140">
        <f t="shared" si="66"/>
        <v>0</v>
      </c>
      <c r="X173" s="140">
        <f t="shared" si="66"/>
        <v>0</v>
      </c>
      <c r="Y173" s="140">
        <f t="shared" si="66"/>
        <v>0</v>
      </c>
      <c r="Z173" s="140">
        <f t="shared" si="66"/>
        <v>0</v>
      </c>
      <c r="AA173" s="140">
        <f t="shared" si="66"/>
        <v>0</v>
      </c>
      <c r="AB173" s="140">
        <f t="shared" si="66"/>
        <v>0</v>
      </c>
      <c r="AC173" s="140">
        <f t="shared" si="66"/>
        <v>0</v>
      </c>
      <c r="AD173" s="140">
        <f t="shared" si="66"/>
        <v>0</v>
      </c>
      <c r="AE173" s="140">
        <f t="shared" si="66"/>
        <v>0</v>
      </c>
      <c r="AF173" s="141"/>
      <c r="AG173" s="141"/>
      <c r="AH173" s="141"/>
      <c r="AI173" s="141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9"/>
      <c r="L174" s="142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2">
        <f t="shared" si="67"/>
        <v>0</v>
      </c>
      <c r="N174" s="142">
        <f t="shared" si="67"/>
        <v>0</v>
      </c>
      <c r="O174" s="142">
        <f t="shared" si="67"/>
        <v>0</v>
      </c>
      <c r="P174" s="142">
        <f t="shared" si="67"/>
        <v>0</v>
      </c>
      <c r="Q174" s="142">
        <f t="shared" si="67"/>
        <v>0</v>
      </c>
      <c r="R174" s="142">
        <f t="shared" si="67"/>
        <v>0</v>
      </c>
      <c r="S174" s="142">
        <f t="shared" si="67"/>
        <v>0</v>
      </c>
      <c r="T174" s="142">
        <f t="shared" si="67"/>
        <v>0</v>
      </c>
      <c r="U174" s="142">
        <f t="shared" si="67"/>
        <v>0</v>
      </c>
      <c r="V174" s="142">
        <f t="shared" si="67"/>
        <v>0</v>
      </c>
      <c r="W174" s="142">
        <f t="shared" si="67"/>
        <v>0</v>
      </c>
      <c r="X174" s="142">
        <f t="shared" si="67"/>
        <v>0</v>
      </c>
      <c r="Y174" s="142">
        <f t="shared" si="67"/>
        <v>0</v>
      </c>
      <c r="Z174" s="142">
        <f t="shared" si="67"/>
        <v>0</v>
      </c>
      <c r="AA174" s="142">
        <f t="shared" si="67"/>
        <v>0</v>
      </c>
      <c r="AB174" s="142">
        <f t="shared" si="67"/>
        <v>0</v>
      </c>
      <c r="AC174" s="142">
        <f t="shared" si="67"/>
        <v>0</v>
      </c>
      <c r="AD174" s="142">
        <f t="shared" si="67"/>
        <v>0</v>
      </c>
      <c r="AE174" s="142">
        <f t="shared" si="67"/>
        <v>0</v>
      </c>
      <c r="AF174" s="141"/>
      <c r="AG174" s="141"/>
      <c r="AH174" s="141"/>
      <c r="AI174" s="141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9"/>
      <c r="L175" s="140">
        <f t="shared" ref="L175:AE175" si="68">IF(L$122&lt;=0,0,IF(L$174&lt;=0,L$171,MIN($F$5,IF(L$171-(L$173-L$122)/L$174&lt;=0,L$171/2,L$171-(L$173-L$122)/L$174))))</f>
        <v>0</v>
      </c>
      <c r="M175" s="140">
        <f t="shared" si="68"/>
        <v>0</v>
      </c>
      <c r="N175" s="140">
        <f t="shared" si="68"/>
        <v>0</v>
      </c>
      <c r="O175" s="140">
        <f t="shared" si="68"/>
        <v>0</v>
      </c>
      <c r="P175" s="140">
        <f t="shared" si="68"/>
        <v>0</v>
      </c>
      <c r="Q175" s="140">
        <f t="shared" si="68"/>
        <v>0</v>
      </c>
      <c r="R175" s="140">
        <f t="shared" si="68"/>
        <v>0</v>
      </c>
      <c r="S175" s="140">
        <f t="shared" si="68"/>
        <v>0</v>
      </c>
      <c r="T175" s="140">
        <f t="shared" si="68"/>
        <v>0</v>
      </c>
      <c r="U175" s="140">
        <f t="shared" si="68"/>
        <v>0</v>
      </c>
      <c r="V175" s="140">
        <f t="shared" si="68"/>
        <v>0</v>
      </c>
      <c r="W175" s="140">
        <f t="shared" si="68"/>
        <v>0</v>
      </c>
      <c r="X175" s="140">
        <f t="shared" si="68"/>
        <v>0</v>
      </c>
      <c r="Y175" s="140">
        <f t="shared" si="68"/>
        <v>0</v>
      </c>
      <c r="Z175" s="140">
        <f t="shared" si="68"/>
        <v>0</v>
      </c>
      <c r="AA175" s="140">
        <f t="shared" si="68"/>
        <v>0</v>
      </c>
      <c r="AB175" s="140">
        <f t="shared" si="68"/>
        <v>0</v>
      </c>
      <c r="AC175" s="140">
        <f t="shared" si="68"/>
        <v>0</v>
      </c>
      <c r="AD175" s="140">
        <f t="shared" si="68"/>
        <v>0</v>
      </c>
      <c r="AE175" s="140">
        <f t="shared" si="68"/>
        <v>0</v>
      </c>
      <c r="AF175" s="141"/>
      <c r="AG175" s="141"/>
      <c r="AH175" s="141"/>
      <c r="AI175" s="141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9"/>
      <c r="L176" s="142">
        <f t="shared" ref="L176:AE176" si="69">SUMPRODUCT(L$45:L$52*(1-EXP(-L$55:L$62*L$175)))+SUMPRODUCT(L$101:L$116*(1-EXP(-L$65:L$80*L$175)))</f>
        <v>0</v>
      </c>
      <c r="M176" s="142">
        <f t="shared" si="69"/>
        <v>0</v>
      </c>
      <c r="N176" s="142">
        <f t="shared" si="69"/>
        <v>0</v>
      </c>
      <c r="O176" s="142">
        <f t="shared" si="69"/>
        <v>0</v>
      </c>
      <c r="P176" s="142">
        <f t="shared" si="69"/>
        <v>0</v>
      </c>
      <c r="Q176" s="142">
        <f t="shared" si="69"/>
        <v>0</v>
      </c>
      <c r="R176" s="142">
        <f t="shared" si="69"/>
        <v>0</v>
      </c>
      <c r="S176" s="142">
        <f t="shared" si="69"/>
        <v>0</v>
      </c>
      <c r="T176" s="142">
        <f t="shared" si="69"/>
        <v>0</v>
      </c>
      <c r="U176" s="142">
        <f t="shared" si="69"/>
        <v>0</v>
      </c>
      <c r="V176" s="142">
        <f t="shared" si="69"/>
        <v>0</v>
      </c>
      <c r="W176" s="142">
        <f t="shared" si="69"/>
        <v>0</v>
      </c>
      <c r="X176" s="142">
        <f t="shared" si="69"/>
        <v>0</v>
      </c>
      <c r="Y176" s="142">
        <f t="shared" si="69"/>
        <v>0</v>
      </c>
      <c r="Z176" s="142">
        <f t="shared" si="69"/>
        <v>0</v>
      </c>
      <c r="AA176" s="142">
        <f t="shared" si="69"/>
        <v>0</v>
      </c>
      <c r="AB176" s="142">
        <f t="shared" si="69"/>
        <v>0</v>
      </c>
      <c r="AC176" s="142">
        <f t="shared" si="69"/>
        <v>0</v>
      </c>
      <c r="AD176" s="142">
        <f t="shared" si="69"/>
        <v>0</v>
      </c>
      <c r="AE176" s="142">
        <f t="shared" si="69"/>
        <v>0</v>
      </c>
      <c r="AF176" s="141"/>
      <c r="AG176" s="141"/>
      <c r="AH176" s="141"/>
      <c r="AI176" s="141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9"/>
      <c r="L177" s="140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0">
        <f t="shared" si="70"/>
        <v>0</v>
      </c>
      <c r="N177" s="140">
        <f t="shared" si="70"/>
        <v>0</v>
      </c>
      <c r="O177" s="140">
        <f t="shared" si="70"/>
        <v>0</v>
      </c>
      <c r="P177" s="140">
        <f t="shared" si="70"/>
        <v>0</v>
      </c>
      <c r="Q177" s="140">
        <f t="shared" si="70"/>
        <v>0</v>
      </c>
      <c r="R177" s="140">
        <f t="shared" si="70"/>
        <v>0</v>
      </c>
      <c r="S177" s="140">
        <f t="shared" si="70"/>
        <v>0</v>
      </c>
      <c r="T177" s="140">
        <f t="shared" si="70"/>
        <v>0</v>
      </c>
      <c r="U177" s="140">
        <f t="shared" si="70"/>
        <v>0</v>
      </c>
      <c r="V177" s="140">
        <f t="shared" si="70"/>
        <v>0</v>
      </c>
      <c r="W177" s="140">
        <f t="shared" si="70"/>
        <v>0</v>
      </c>
      <c r="X177" s="140">
        <f t="shared" si="70"/>
        <v>0</v>
      </c>
      <c r="Y177" s="140">
        <f t="shared" si="70"/>
        <v>0</v>
      </c>
      <c r="Z177" s="140">
        <f t="shared" si="70"/>
        <v>0</v>
      </c>
      <c r="AA177" s="140">
        <f t="shared" si="70"/>
        <v>0</v>
      </c>
      <c r="AB177" s="140">
        <f t="shared" si="70"/>
        <v>0</v>
      </c>
      <c r="AC177" s="140">
        <f t="shared" si="70"/>
        <v>0</v>
      </c>
      <c r="AD177" s="140">
        <f t="shared" si="70"/>
        <v>0</v>
      </c>
      <c r="AE177" s="140">
        <f t="shared" si="70"/>
        <v>0</v>
      </c>
      <c r="AF177" s="141"/>
      <c r="AG177" s="141"/>
      <c r="AH177" s="141"/>
      <c r="AI177" s="141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9"/>
      <c r="L178" s="142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2">
        <f t="shared" si="71"/>
        <v>0</v>
      </c>
      <c r="N178" s="142">
        <f t="shared" si="71"/>
        <v>0</v>
      </c>
      <c r="O178" s="142">
        <f t="shared" si="71"/>
        <v>0</v>
      </c>
      <c r="P178" s="142">
        <f t="shared" si="71"/>
        <v>0</v>
      </c>
      <c r="Q178" s="142">
        <f t="shared" si="71"/>
        <v>0</v>
      </c>
      <c r="R178" s="142">
        <f t="shared" si="71"/>
        <v>0</v>
      </c>
      <c r="S178" s="142">
        <f t="shared" si="71"/>
        <v>0</v>
      </c>
      <c r="T178" s="142">
        <f t="shared" si="71"/>
        <v>0</v>
      </c>
      <c r="U178" s="142">
        <f t="shared" si="71"/>
        <v>0</v>
      </c>
      <c r="V178" s="142">
        <f t="shared" si="71"/>
        <v>0</v>
      </c>
      <c r="W178" s="142">
        <f t="shared" si="71"/>
        <v>0</v>
      </c>
      <c r="X178" s="142">
        <f t="shared" si="71"/>
        <v>0</v>
      </c>
      <c r="Y178" s="142">
        <f t="shared" si="71"/>
        <v>0</v>
      </c>
      <c r="Z178" s="142">
        <f t="shared" si="71"/>
        <v>0</v>
      </c>
      <c r="AA178" s="142">
        <f t="shared" si="71"/>
        <v>0</v>
      </c>
      <c r="AB178" s="142">
        <f t="shared" si="71"/>
        <v>0</v>
      </c>
      <c r="AC178" s="142">
        <f t="shared" si="71"/>
        <v>0</v>
      </c>
      <c r="AD178" s="142">
        <f t="shared" si="71"/>
        <v>0</v>
      </c>
      <c r="AE178" s="142">
        <f t="shared" si="71"/>
        <v>0</v>
      </c>
      <c r="AF178" s="141"/>
      <c r="AG178" s="141"/>
      <c r="AH178" s="141"/>
      <c r="AI178" s="141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9"/>
      <c r="L179" s="140">
        <f t="shared" ref="L179:AE179" si="72">IF(L$122&lt;=0,0,IF(L$178&lt;=0,L$175,MIN($F$5,IF(L$175-(L$177-L$122)/L$178&lt;=0,L$175/2,L$175-(L$177-L$122)/L$178))))</f>
        <v>0</v>
      </c>
      <c r="M179" s="140">
        <f t="shared" si="72"/>
        <v>0</v>
      </c>
      <c r="N179" s="140">
        <f t="shared" si="72"/>
        <v>0</v>
      </c>
      <c r="O179" s="140">
        <f t="shared" si="72"/>
        <v>0</v>
      </c>
      <c r="P179" s="140">
        <f t="shared" si="72"/>
        <v>0</v>
      </c>
      <c r="Q179" s="140">
        <f t="shared" si="72"/>
        <v>0</v>
      </c>
      <c r="R179" s="140">
        <f t="shared" si="72"/>
        <v>0</v>
      </c>
      <c r="S179" s="140">
        <f t="shared" si="72"/>
        <v>0</v>
      </c>
      <c r="T179" s="140">
        <f t="shared" si="72"/>
        <v>0</v>
      </c>
      <c r="U179" s="140">
        <f t="shared" si="72"/>
        <v>0</v>
      </c>
      <c r="V179" s="140">
        <f t="shared" si="72"/>
        <v>0</v>
      </c>
      <c r="W179" s="140">
        <f t="shared" si="72"/>
        <v>0</v>
      </c>
      <c r="X179" s="140">
        <f t="shared" si="72"/>
        <v>0</v>
      </c>
      <c r="Y179" s="140">
        <f t="shared" si="72"/>
        <v>0</v>
      </c>
      <c r="Z179" s="140">
        <f t="shared" si="72"/>
        <v>0</v>
      </c>
      <c r="AA179" s="140">
        <f t="shared" si="72"/>
        <v>0</v>
      </c>
      <c r="AB179" s="140">
        <f t="shared" si="72"/>
        <v>0</v>
      </c>
      <c r="AC179" s="140">
        <f t="shared" si="72"/>
        <v>0</v>
      </c>
      <c r="AD179" s="140">
        <f t="shared" si="72"/>
        <v>0</v>
      </c>
      <c r="AE179" s="140">
        <f t="shared" si="72"/>
        <v>0</v>
      </c>
      <c r="AF179" s="141"/>
      <c r="AG179" s="141"/>
      <c r="AH179" s="141"/>
      <c r="AI179" s="141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9"/>
      <c r="L180" s="142">
        <f t="shared" ref="L180:AE180" si="73">SUMPRODUCT(L$45:L$52*(1-EXP(-L$55:L$62*L$179)))+SUMPRODUCT(L$101:L$116*(1-EXP(-L$65:L$80*L$179)))</f>
        <v>0</v>
      </c>
      <c r="M180" s="142">
        <f t="shared" si="73"/>
        <v>0</v>
      </c>
      <c r="N180" s="142">
        <f t="shared" si="73"/>
        <v>0</v>
      </c>
      <c r="O180" s="142">
        <f t="shared" si="73"/>
        <v>0</v>
      </c>
      <c r="P180" s="142">
        <f t="shared" si="73"/>
        <v>0</v>
      </c>
      <c r="Q180" s="142">
        <f t="shared" si="73"/>
        <v>0</v>
      </c>
      <c r="R180" s="142">
        <f t="shared" si="73"/>
        <v>0</v>
      </c>
      <c r="S180" s="142">
        <f t="shared" si="73"/>
        <v>0</v>
      </c>
      <c r="T180" s="142">
        <f t="shared" si="73"/>
        <v>0</v>
      </c>
      <c r="U180" s="142">
        <f t="shared" si="73"/>
        <v>0</v>
      </c>
      <c r="V180" s="142">
        <f t="shared" si="73"/>
        <v>0</v>
      </c>
      <c r="W180" s="142">
        <f t="shared" si="73"/>
        <v>0</v>
      </c>
      <c r="X180" s="142">
        <f t="shared" si="73"/>
        <v>0</v>
      </c>
      <c r="Y180" s="142">
        <f t="shared" si="73"/>
        <v>0</v>
      </c>
      <c r="Z180" s="142">
        <f t="shared" si="73"/>
        <v>0</v>
      </c>
      <c r="AA180" s="142">
        <f t="shared" si="73"/>
        <v>0</v>
      </c>
      <c r="AB180" s="142">
        <f t="shared" si="73"/>
        <v>0</v>
      </c>
      <c r="AC180" s="142">
        <f t="shared" si="73"/>
        <v>0</v>
      </c>
      <c r="AD180" s="142">
        <f t="shared" si="73"/>
        <v>0</v>
      </c>
      <c r="AE180" s="142">
        <f t="shared" si="73"/>
        <v>0</v>
      </c>
      <c r="AF180" s="141"/>
      <c r="AG180" s="141"/>
      <c r="AH180" s="141"/>
      <c r="AI180" s="141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9"/>
      <c r="L181" s="140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0">
        <f t="shared" si="74"/>
        <v>0</v>
      </c>
      <c r="N181" s="140">
        <f t="shared" si="74"/>
        <v>0</v>
      </c>
      <c r="O181" s="140">
        <f t="shared" si="74"/>
        <v>0</v>
      </c>
      <c r="P181" s="140">
        <f t="shared" si="74"/>
        <v>0</v>
      </c>
      <c r="Q181" s="140">
        <f t="shared" si="74"/>
        <v>0</v>
      </c>
      <c r="R181" s="140">
        <f t="shared" si="74"/>
        <v>0</v>
      </c>
      <c r="S181" s="140">
        <f t="shared" si="74"/>
        <v>0</v>
      </c>
      <c r="T181" s="140">
        <f t="shared" si="74"/>
        <v>0</v>
      </c>
      <c r="U181" s="140">
        <f t="shared" si="74"/>
        <v>0</v>
      </c>
      <c r="V181" s="140">
        <f t="shared" si="74"/>
        <v>0</v>
      </c>
      <c r="W181" s="140">
        <f t="shared" si="74"/>
        <v>0</v>
      </c>
      <c r="X181" s="140">
        <f t="shared" si="74"/>
        <v>0</v>
      </c>
      <c r="Y181" s="140">
        <f t="shared" si="74"/>
        <v>0</v>
      </c>
      <c r="Z181" s="140">
        <f t="shared" si="74"/>
        <v>0</v>
      </c>
      <c r="AA181" s="140">
        <f t="shared" si="74"/>
        <v>0</v>
      </c>
      <c r="AB181" s="140">
        <f t="shared" si="74"/>
        <v>0</v>
      </c>
      <c r="AC181" s="140">
        <f t="shared" si="74"/>
        <v>0</v>
      </c>
      <c r="AD181" s="140">
        <f t="shared" si="74"/>
        <v>0</v>
      </c>
      <c r="AE181" s="140">
        <f t="shared" si="74"/>
        <v>0</v>
      </c>
      <c r="AF181" s="141"/>
      <c r="AG181" s="141"/>
      <c r="AH181" s="141"/>
      <c r="AI181" s="141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9"/>
      <c r="L182" s="142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2">
        <f t="shared" si="75"/>
        <v>0</v>
      </c>
      <c r="N182" s="142">
        <f t="shared" si="75"/>
        <v>0</v>
      </c>
      <c r="O182" s="142">
        <f t="shared" si="75"/>
        <v>0</v>
      </c>
      <c r="P182" s="142">
        <f t="shared" si="75"/>
        <v>0</v>
      </c>
      <c r="Q182" s="142">
        <f t="shared" si="75"/>
        <v>0</v>
      </c>
      <c r="R182" s="142">
        <f t="shared" si="75"/>
        <v>0</v>
      </c>
      <c r="S182" s="142">
        <f t="shared" si="75"/>
        <v>0</v>
      </c>
      <c r="T182" s="142">
        <f t="shared" si="75"/>
        <v>0</v>
      </c>
      <c r="U182" s="142">
        <f t="shared" si="75"/>
        <v>0</v>
      </c>
      <c r="V182" s="142">
        <f t="shared" si="75"/>
        <v>0</v>
      </c>
      <c r="W182" s="142">
        <f t="shared" si="75"/>
        <v>0</v>
      </c>
      <c r="X182" s="142">
        <f t="shared" si="75"/>
        <v>0</v>
      </c>
      <c r="Y182" s="142">
        <f t="shared" si="75"/>
        <v>0</v>
      </c>
      <c r="Z182" s="142">
        <f t="shared" si="75"/>
        <v>0</v>
      </c>
      <c r="AA182" s="142">
        <f t="shared" si="75"/>
        <v>0</v>
      </c>
      <c r="AB182" s="142">
        <f t="shared" si="75"/>
        <v>0</v>
      </c>
      <c r="AC182" s="142">
        <f t="shared" si="75"/>
        <v>0</v>
      </c>
      <c r="AD182" s="142">
        <f t="shared" si="75"/>
        <v>0</v>
      </c>
      <c r="AE182" s="142">
        <f t="shared" si="75"/>
        <v>0</v>
      </c>
      <c r="AF182" s="141"/>
      <c r="AG182" s="141"/>
      <c r="AH182" s="141"/>
      <c r="AI182" s="141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9"/>
      <c r="L183" s="140">
        <f t="shared" ref="L183:AE183" si="76">IF(L$122&lt;=0,0,IF(L$182&lt;=0,L$179,MIN($F$5,IF(L$179-(L$181-L$122)/L$182&lt;=0,L$179/2,L$179-(L$181-L$122)/L$182))))</f>
        <v>0</v>
      </c>
      <c r="M183" s="140">
        <f t="shared" si="76"/>
        <v>0</v>
      </c>
      <c r="N183" s="140">
        <f t="shared" si="76"/>
        <v>0</v>
      </c>
      <c r="O183" s="140">
        <f t="shared" si="76"/>
        <v>0</v>
      </c>
      <c r="P183" s="140">
        <f t="shared" si="76"/>
        <v>0</v>
      </c>
      <c r="Q183" s="140">
        <f t="shared" si="76"/>
        <v>0</v>
      </c>
      <c r="R183" s="140">
        <f t="shared" si="76"/>
        <v>0</v>
      </c>
      <c r="S183" s="140">
        <f t="shared" si="76"/>
        <v>0</v>
      </c>
      <c r="T183" s="140">
        <f t="shared" si="76"/>
        <v>0</v>
      </c>
      <c r="U183" s="140">
        <f t="shared" si="76"/>
        <v>0</v>
      </c>
      <c r="V183" s="140">
        <f t="shared" si="76"/>
        <v>0</v>
      </c>
      <c r="W183" s="140">
        <f t="shared" si="76"/>
        <v>0</v>
      </c>
      <c r="X183" s="140">
        <f t="shared" si="76"/>
        <v>0</v>
      </c>
      <c r="Y183" s="140">
        <f t="shared" si="76"/>
        <v>0</v>
      </c>
      <c r="Z183" s="140">
        <f t="shared" si="76"/>
        <v>0</v>
      </c>
      <c r="AA183" s="140">
        <f t="shared" si="76"/>
        <v>0</v>
      </c>
      <c r="AB183" s="140">
        <f t="shared" si="76"/>
        <v>0</v>
      </c>
      <c r="AC183" s="140">
        <f t="shared" si="76"/>
        <v>0</v>
      </c>
      <c r="AD183" s="140">
        <f t="shared" si="76"/>
        <v>0</v>
      </c>
      <c r="AE183" s="140">
        <f t="shared" si="76"/>
        <v>0</v>
      </c>
      <c r="AF183" s="141"/>
      <c r="AG183" s="141"/>
      <c r="AH183" s="141"/>
      <c r="AI183" s="141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9"/>
      <c r="L184" s="142">
        <f t="shared" ref="L184:AE184" si="77">SUMPRODUCT(L$45:L$52*(1-EXP(-L$55:L$62*L$183)))+SUMPRODUCT(L$101:L$116*(1-EXP(-L$65:L$80*L$183)))</f>
        <v>0</v>
      </c>
      <c r="M184" s="142">
        <f t="shared" si="77"/>
        <v>0</v>
      </c>
      <c r="N184" s="142">
        <f t="shared" si="77"/>
        <v>0</v>
      </c>
      <c r="O184" s="142">
        <f t="shared" si="77"/>
        <v>0</v>
      </c>
      <c r="P184" s="142">
        <f t="shared" si="77"/>
        <v>0</v>
      </c>
      <c r="Q184" s="142">
        <f t="shared" si="77"/>
        <v>0</v>
      </c>
      <c r="R184" s="142">
        <f t="shared" si="77"/>
        <v>0</v>
      </c>
      <c r="S184" s="142">
        <f t="shared" si="77"/>
        <v>0</v>
      </c>
      <c r="T184" s="142">
        <f t="shared" si="77"/>
        <v>0</v>
      </c>
      <c r="U184" s="142">
        <f t="shared" si="77"/>
        <v>0</v>
      </c>
      <c r="V184" s="142">
        <f t="shared" si="77"/>
        <v>0</v>
      </c>
      <c r="W184" s="142">
        <f t="shared" si="77"/>
        <v>0</v>
      </c>
      <c r="X184" s="142">
        <f t="shared" si="77"/>
        <v>0</v>
      </c>
      <c r="Y184" s="142">
        <f t="shared" si="77"/>
        <v>0</v>
      </c>
      <c r="Z184" s="142">
        <f t="shared" si="77"/>
        <v>0</v>
      </c>
      <c r="AA184" s="142">
        <f t="shared" si="77"/>
        <v>0</v>
      </c>
      <c r="AB184" s="142">
        <f t="shared" si="77"/>
        <v>0</v>
      </c>
      <c r="AC184" s="142">
        <f t="shared" si="77"/>
        <v>0</v>
      </c>
      <c r="AD184" s="142">
        <f t="shared" si="77"/>
        <v>0</v>
      </c>
      <c r="AE184" s="142">
        <f t="shared" si="77"/>
        <v>0</v>
      </c>
      <c r="AF184" s="141"/>
      <c r="AG184" s="141"/>
      <c r="AH184" s="141"/>
      <c r="AI184" s="141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9"/>
      <c r="L185" s="140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0">
        <f t="shared" si="78"/>
        <v>0</v>
      </c>
      <c r="N185" s="140">
        <f t="shared" si="78"/>
        <v>0</v>
      </c>
      <c r="O185" s="140">
        <f t="shared" si="78"/>
        <v>0</v>
      </c>
      <c r="P185" s="140">
        <f t="shared" si="78"/>
        <v>0</v>
      </c>
      <c r="Q185" s="140">
        <f t="shared" si="78"/>
        <v>0</v>
      </c>
      <c r="R185" s="140">
        <f t="shared" si="78"/>
        <v>0</v>
      </c>
      <c r="S185" s="140">
        <f t="shared" si="78"/>
        <v>0</v>
      </c>
      <c r="T185" s="140">
        <f t="shared" si="78"/>
        <v>0</v>
      </c>
      <c r="U185" s="140">
        <f t="shared" si="78"/>
        <v>0</v>
      </c>
      <c r="V185" s="140">
        <f t="shared" si="78"/>
        <v>0</v>
      </c>
      <c r="W185" s="140">
        <f t="shared" si="78"/>
        <v>0</v>
      </c>
      <c r="X185" s="140">
        <f t="shared" si="78"/>
        <v>0</v>
      </c>
      <c r="Y185" s="140">
        <f t="shared" si="78"/>
        <v>0</v>
      </c>
      <c r="Z185" s="140">
        <f t="shared" si="78"/>
        <v>0</v>
      </c>
      <c r="AA185" s="140">
        <f t="shared" si="78"/>
        <v>0</v>
      </c>
      <c r="AB185" s="140">
        <f t="shared" si="78"/>
        <v>0</v>
      </c>
      <c r="AC185" s="140">
        <f t="shared" si="78"/>
        <v>0</v>
      </c>
      <c r="AD185" s="140">
        <f t="shared" si="78"/>
        <v>0</v>
      </c>
      <c r="AE185" s="140">
        <f t="shared" si="78"/>
        <v>0</v>
      </c>
      <c r="AF185" s="141"/>
      <c r="AG185" s="141"/>
      <c r="AH185" s="141"/>
      <c r="AI185" s="141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9"/>
      <c r="L186" s="142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2">
        <f t="shared" si="79"/>
        <v>0</v>
      </c>
      <c r="N186" s="142">
        <f t="shared" si="79"/>
        <v>0</v>
      </c>
      <c r="O186" s="142">
        <f t="shared" si="79"/>
        <v>0</v>
      </c>
      <c r="P186" s="142">
        <f t="shared" si="79"/>
        <v>0</v>
      </c>
      <c r="Q186" s="142">
        <f t="shared" si="79"/>
        <v>0</v>
      </c>
      <c r="R186" s="142">
        <f t="shared" si="79"/>
        <v>0</v>
      </c>
      <c r="S186" s="142">
        <f t="shared" si="79"/>
        <v>0</v>
      </c>
      <c r="T186" s="142">
        <f t="shared" si="79"/>
        <v>0</v>
      </c>
      <c r="U186" s="142">
        <f t="shared" si="79"/>
        <v>0</v>
      </c>
      <c r="V186" s="142">
        <f t="shared" si="79"/>
        <v>0</v>
      </c>
      <c r="W186" s="142">
        <f t="shared" si="79"/>
        <v>0</v>
      </c>
      <c r="X186" s="142">
        <f t="shared" si="79"/>
        <v>0</v>
      </c>
      <c r="Y186" s="142">
        <f t="shared" si="79"/>
        <v>0</v>
      </c>
      <c r="Z186" s="142">
        <f t="shared" si="79"/>
        <v>0</v>
      </c>
      <c r="AA186" s="142">
        <f t="shared" si="79"/>
        <v>0</v>
      </c>
      <c r="AB186" s="142">
        <f t="shared" si="79"/>
        <v>0</v>
      </c>
      <c r="AC186" s="142">
        <f t="shared" si="79"/>
        <v>0</v>
      </c>
      <c r="AD186" s="142">
        <f t="shared" si="79"/>
        <v>0</v>
      </c>
      <c r="AE186" s="142">
        <f t="shared" si="79"/>
        <v>0</v>
      </c>
      <c r="AF186" s="141"/>
      <c r="AG186" s="141"/>
      <c r="AH186" s="141"/>
      <c r="AI186" s="141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9"/>
      <c r="L187" s="140">
        <f t="shared" ref="L187:AE187" si="80">IF(L$122&lt;=0,0,IF(L$186&lt;=0,L$183,MIN($F$5,IF(L$183-(L$185-L$122)/L$186&lt;=0,L$183/2,L$183-(L$185-L$122)/L$186))))</f>
        <v>0</v>
      </c>
      <c r="M187" s="140">
        <f t="shared" si="80"/>
        <v>0</v>
      </c>
      <c r="N187" s="140">
        <f t="shared" si="80"/>
        <v>0</v>
      </c>
      <c r="O187" s="140">
        <f t="shared" si="80"/>
        <v>0</v>
      </c>
      <c r="P187" s="140">
        <f t="shared" si="80"/>
        <v>0</v>
      </c>
      <c r="Q187" s="140">
        <f t="shared" si="80"/>
        <v>0</v>
      </c>
      <c r="R187" s="140">
        <f t="shared" si="80"/>
        <v>0</v>
      </c>
      <c r="S187" s="140">
        <f t="shared" si="80"/>
        <v>0</v>
      </c>
      <c r="T187" s="140">
        <f t="shared" si="80"/>
        <v>0</v>
      </c>
      <c r="U187" s="140">
        <f t="shared" si="80"/>
        <v>0</v>
      </c>
      <c r="V187" s="140">
        <f t="shared" si="80"/>
        <v>0</v>
      </c>
      <c r="W187" s="140">
        <f t="shared" si="80"/>
        <v>0</v>
      </c>
      <c r="X187" s="140">
        <f t="shared" si="80"/>
        <v>0</v>
      </c>
      <c r="Y187" s="140">
        <f t="shared" si="80"/>
        <v>0</v>
      </c>
      <c r="Z187" s="140">
        <f t="shared" si="80"/>
        <v>0</v>
      </c>
      <c r="AA187" s="140">
        <f t="shared" si="80"/>
        <v>0</v>
      </c>
      <c r="AB187" s="140">
        <f t="shared" si="80"/>
        <v>0</v>
      </c>
      <c r="AC187" s="140">
        <f t="shared" si="80"/>
        <v>0</v>
      </c>
      <c r="AD187" s="140">
        <f t="shared" si="80"/>
        <v>0</v>
      </c>
      <c r="AE187" s="140">
        <f t="shared" si="80"/>
        <v>0</v>
      </c>
      <c r="AF187" s="141"/>
      <c r="AG187" s="141"/>
      <c r="AH187" s="141"/>
      <c r="AI187" s="141"/>
    </row>
    <row r="188" spans="1:35" x14ac:dyDescent="0.35"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7">
        <v>2021</v>
      </c>
      <c r="L189" s="138">
        <v>2022</v>
      </c>
      <c r="M189" s="137">
        <v>2023</v>
      </c>
      <c r="N189" s="137">
        <v>2024</v>
      </c>
      <c r="O189" s="137">
        <v>2025</v>
      </c>
      <c r="P189" s="137">
        <v>2026</v>
      </c>
      <c r="Q189" s="137">
        <v>2027</v>
      </c>
      <c r="R189" s="137">
        <v>2028</v>
      </c>
      <c r="S189" s="137">
        <v>2029</v>
      </c>
      <c r="T189" s="137">
        <v>2030</v>
      </c>
      <c r="U189" s="137">
        <v>2031</v>
      </c>
      <c r="V189" s="137">
        <v>2032</v>
      </c>
      <c r="W189" s="137">
        <v>2033</v>
      </c>
      <c r="X189" s="137">
        <v>2034</v>
      </c>
      <c r="Y189" s="137">
        <v>2035</v>
      </c>
      <c r="Z189" s="137">
        <v>2036</v>
      </c>
      <c r="AA189" s="137">
        <v>2037</v>
      </c>
      <c r="AB189" s="137">
        <v>2038</v>
      </c>
      <c r="AC189" s="137">
        <v>2039</v>
      </c>
      <c r="AD189" s="137">
        <v>2040</v>
      </c>
      <c r="AE189" s="137">
        <v>2041</v>
      </c>
      <c r="AF189" s="137">
        <v>2042</v>
      </c>
      <c r="AG189" s="137">
        <v>2043</v>
      </c>
      <c r="AH189" s="137">
        <v>2044</v>
      </c>
      <c r="AI189" s="137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8" t="str">
        <f>Settings!$B$3&amp;".mit.fundsp.cbam.tot.1"</f>
        <v>egy.mit.fundsp.cbam.tot.1</v>
      </c>
      <c r="I190" t="s">
        <v>2824</v>
      </c>
      <c r="K190" s="139"/>
      <c r="L190" s="140">
        <f t="shared" ref="L190:AE190" si="81">L$187</f>
        <v>0</v>
      </c>
      <c r="M190" s="140">
        <f t="shared" si="81"/>
        <v>0</v>
      </c>
      <c r="N190" s="140">
        <f t="shared" si="81"/>
        <v>0</v>
      </c>
      <c r="O190" s="140">
        <f t="shared" si="81"/>
        <v>0</v>
      </c>
      <c r="P190" s="140">
        <f t="shared" si="81"/>
        <v>0</v>
      </c>
      <c r="Q190" s="140">
        <f t="shared" si="81"/>
        <v>0</v>
      </c>
      <c r="R190" s="140">
        <f t="shared" si="81"/>
        <v>0</v>
      </c>
      <c r="S190" s="140">
        <f t="shared" si="81"/>
        <v>0</v>
      </c>
      <c r="T190" s="140">
        <f t="shared" si="81"/>
        <v>0</v>
      </c>
      <c r="U190" s="140">
        <f t="shared" si="81"/>
        <v>0</v>
      </c>
      <c r="V190" s="140">
        <f t="shared" si="81"/>
        <v>0</v>
      </c>
      <c r="W190" s="140">
        <f t="shared" si="81"/>
        <v>0</v>
      </c>
      <c r="X190" s="140">
        <f t="shared" si="81"/>
        <v>0</v>
      </c>
      <c r="Y190" s="140">
        <f t="shared" si="81"/>
        <v>0</v>
      </c>
      <c r="Z190" s="140">
        <f t="shared" si="81"/>
        <v>0</v>
      </c>
      <c r="AA190" s="140">
        <f t="shared" si="81"/>
        <v>0</v>
      </c>
      <c r="AB190" s="140">
        <f t="shared" si="81"/>
        <v>0</v>
      </c>
      <c r="AC190" s="140">
        <f t="shared" si="81"/>
        <v>0</v>
      </c>
      <c r="AD190" s="140">
        <f t="shared" si="81"/>
        <v>0</v>
      </c>
      <c r="AE190" s="140">
        <f t="shared" si="81"/>
        <v>0</v>
      </c>
      <c r="AF190" s="141"/>
      <c r="AG190" s="141"/>
      <c r="AH190" s="141"/>
      <c r="AI190" s="141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8" t="str">
        <f>Settings!$B$3&amp;".mit.abat.cbam.tot.1"</f>
        <v>egy.mit.abat.cbam.tot.1</v>
      </c>
      <c r="I191" t="s">
        <v>2827</v>
      </c>
      <c r="K191" s="139"/>
      <c r="L191" s="142">
        <f t="shared" ref="L191:AE191" si="82">L192+L193</f>
        <v>0</v>
      </c>
      <c r="M191" s="142">
        <f t="shared" si="82"/>
        <v>0</v>
      </c>
      <c r="N191" s="142">
        <f t="shared" si="82"/>
        <v>0</v>
      </c>
      <c r="O191" s="142">
        <f t="shared" si="82"/>
        <v>0</v>
      </c>
      <c r="P191" s="142">
        <f t="shared" si="82"/>
        <v>0</v>
      </c>
      <c r="Q191" s="142">
        <f t="shared" si="82"/>
        <v>0</v>
      </c>
      <c r="R191" s="142">
        <f t="shared" si="82"/>
        <v>0</v>
      </c>
      <c r="S191" s="142">
        <f t="shared" si="82"/>
        <v>0</v>
      </c>
      <c r="T191" s="142">
        <f t="shared" si="82"/>
        <v>0</v>
      </c>
      <c r="U191" s="142">
        <f t="shared" si="82"/>
        <v>0</v>
      </c>
      <c r="V191" s="142">
        <f t="shared" si="82"/>
        <v>0</v>
      </c>
      <c r="W191" s="142">
        <f t="shared" si="82"/>
        <v>0</v>
      </c>
      <c r="X191" s="142">
        <f t="shared" si="82"/>
        <v>0</v>
      </c>
      <c r="Y191" s="142">
        <f t="shared" si="82"/>
        <v>0</v>
      </c>
      <c r="Z191" s="142">
        <f t="shared" si="82"/>
        <v>0</v>
      </c>
      <c r="AA191" s="142">
        <f t="shared" si="82"/>
        <v>0</v>
      </c>
      <c r="AB191" s="142">
        <f t="shared" si="82"/>
        <v>0</v>
      </c>
      <c r="AC191" s="142">
        <f t="shared" si="82"/>
        <v>0</v>
      </c>
      <c r="AD191" s="142">
        <f t="shared" si="82"/>
        <v>0</v>
      </c>
      <c r="AE191" s="142">
        <f t="shared" si="82"/>
        <v>0</v>
      </c>
      <c r="AF191" s="141"/>
      <c r="AG191" s="141"/>
      <c r="AH191" s="141"/>
      <c r="AI191" s="141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8" t="str">
        <f>Settings!$B$3&amp;".mit.abatf.cbam.tot.1"</f>
        <v>egy.mit.abatf.cbam.tot.1</v>
      </c>
      <c r="I192" t="s">
        <v>2830</v>
      </c>
      <c r="K192" s="139"/>
      <c r="L192" s="142">
        <f t="shared" ref="L192:AE192" si="83">SUMPRODUCT(L$45:L$52*(1-EXP(-L$55:L$62*L$190)))</f>
        <v>0</v>
      </c>
      <c r="M192" s="142">
        <f t="shared" si="83"/>
        <v>0</v>
      </c>
      <c r="N192" s="142">
        <f t="shared" si="83"/>
        <v>0</v>
      </c>
      <c r="O192" s="142">
        <f t="shared" si="83"/>
        <v>0</v>
      </c>
      <c r="P192" s="142">
        <f t="shared" si="83"/>
        <v>0</v>
      </c>
      <c r="Q192" s="142">
        <f t="shared" si="83"/>
        <v>0</v>
      </c>
      <c r="R192" s="142">
        <f t="shared" si="83"/>
        <v>0</v>
      </c>
      <c r="S192" s="142">
        <f t="shared" si="83"/>
        <v>0</v>
      </c>
      <c r="T192" s="142">
        <f t="shared" si="83"/>
        <v>0</v>
      </c>
      <c r="U192" s="142">
        <f t="shared" si="83"/>
        <v>0</v>
      </c>
      <c r="V192" s="142">
        <f t="shared" si="83"/>
        <v>0</v>
      </c>
      <c r="W192" s="142">
        <f t="shared" si="83"/>
        <v>0</v>
      </c>
      <c r="X192" s="142">
        <f t="shared" si="83"/>
        <v>0</v>
      </c>
      <c r="Y192" s="142">
        <f t="shared" si="83"/>
        <v>0</v>
      </c>
      <c r="Z192" s="142">
        <f t="shared" si="83"/>
        <v>0</v>
      </c>
      <c r="AA192" s="142">
        <f t="shared" si="83"/>
        <v>0</v>
      </c>
      <c r="AB192" s="142">
        <f t="shared" si="83"/>
        <v>0</v>
      </c>
      <c r="AC192" s="142">
        <f t="shared" si="83"/>
        <v>0</v>
      </c>
      <c r="AD192" s="142">
        <f t="shared" si="83"/>
        <v>0</v>
      </c>
      <c r="AE192" s="142">
        <f t="shared" si="83"/>
        <v>0</v>
      </c>
      <c r="AF192" s="141"/>
      <c r="AG192" s="141"/>
      <c r="AH192" s="141"/>
      <c r="AI192" s="141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8" t="str">
        <f>Settings!$B$3&amp;".mit.abatp.cbam.tot.1"</f>
        <v>egy.mit.abatp.cbam.tot.1</v>
      </c>
      <c r="I193" t="s">
        <v>2833</v>
      </c>
      <c r="K193" s="139"/>
      <c r="L193" s="142">
        <f t="shared" ref="L193:AE193" si="84">SUMPRODUCT(L$101:L$116*(1-EXP(-L$65:L$80*L$190)))</f>
        <v>0</v>
      </c>
      <c r="M193" s="142">
        <f t="shared" si="84"/>
        <v>0</v>
      </c>
      <c r="N193" s="142">
        <f t="shared" si="84"/>
        <v>0</v>
      </c>
      <c r="O193" s="142">
        <f t="shared" si="84"/>
        <v>0</v>
      </c>
      <c r="P193" s="142">
        <f t="shared" si="84"/>
        <v>0</v>
      </c>
      <c r="Q193" s="142">
        <f t="shared" si="84"/>
        <v>0</v>
      </c>
      <c r="R193" s="142">
        <f t="shared" si="84"/>
        <v>0</v>
      </c>
      <c r="S193" s="142">
        <f t="shared" si="84"/>
        <v>0</v>
      </c>
      <c r="T193" s="142">
        <f t="shared" si="84"/>
        <v>0</v>
      </c>
      <c r="U193" s="142">
        <f t="shared" si="84"/>
        <v>0</v>
      </c>
      <c r="V193" s="142">
        <f t="shared" si="84"/>
        <v>0</v>
      </c>
      <c r="W193" s="142">
        <f t="shared" si="84"/>
        <v>0</v>
      </c>
      <c r="X193" s="142">
        <f t="shared" si="84"/>
        <v>0</v>
      </c>
      <c r="Y193" s="142">
        <f t="shared" si="84"/>
        <v>0</v>
      </c>
      <c r="Z193" s="142">
        <f t="shared" si="84"/>
        <v>0</v>
      </c>
      <c r="AA193" s="142">
        <f t="shared" si="84"/>
        <v>0</v>
      </c>
      <c r="AB193" s="142">
        <f t="shared" si="84"/>
        <v>0</v>
      </c>
      <c r="AC193" s="142">
        <f t="shared" si="84"/>
        <v>0</v>
      </c>
      <c r="AD193" s="142">
        <f t="shared" si="84"/>
        <v>0</v>
      </c>
      <c r="AE193" s="142">
        <f t="shared" si="84"/>
        <v>0</v>
      </c>
      <c r="AF193" s="141"/>
      <c r="AG193" s="141"/>
      <c r="AH193" s="141"/>
      <c r="AI193" s="141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8" t="str">
        <f>Settings!$B$3&amp;".mit.outlay.cbam.tot.1"</f>
        <v>egy.mit.outlay.cbam.tot.1</v>
      </c>
      <c r="K194" s="139"/>
      <c r="L194" s="140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0">
        <f t="shared" si="85"/>
        <v>0</v>
      </c>
      <c r="N194" s="140">
        <f t="shared" si="85"/>
        <v>0</v>
      </c>
      <c r="O194" s="140">
        <f t="shared" si="85"/>
        <v>0</v>
      </c>
      <c r="P194" s="140">
        <f t="shared" si="85"/>
        <v>0</v>
      </c>
      <c r="Q194" s="140">
        <f t="shared" si="85"/>
        <v>0</v>
      </c>
      <c r="R194" s="140">
        <f t="shared" si="85"/>
        <v>0</v>
      </c>
      <c r="S194" s="140">
        <f t="shared" si="85"/>
        <v>0</v>
      </c>
      <c r="T194" s="140">
        <f t="shared" si="85"/>
        <v>0</v>
      </c>
      <c r="U194" s="140">
        <f t="shared" si="85"/>
        <v>0</v>
      </c>
      <c r="V194" s="140">
        <f t="shared" si="85"/>
        <v>0</v>
      </c>
      <c r="W194" s="140">
        <f t="shared" si="85"/>
        <v>0</v>
      </c>
      <c r="X194" s="140">
        <f t="shared" si="85"/>
        <v>0</v>
      </c>
      <c r="Y194" s="140">
        <f t="shared" si="85"/>
        <v>0</v>
      </c>
      <c r="Z194" s="140">
        <f t="shared" si="85"/>
        <v>0</v>
      </c>
      <c r="AA194" s="140">
        <f t="shared" si="85"/>
        <v>0</v>
      </c>
      <c r="AB194" s="140">
        <f t="shared" si="85"/>
        <v>0</v>
      </c>
      <c r="AC194" s="140">
        <f t="shared" si="85"/>
        <v>0</v>
      </c>
      <c r="AD194" s="140">
        <f t="shared" si="85"/>
        <v>0</v>
      </c>
      <c r="AE194" s="140">
        <f t="shared" si="85"/>
        <v>0</v>
      </c>
      <c r="AF194" s="141"/>
      <c r="AG194" s="141"/>
      <c r="AH194" s="141"/>
      <c r="AI194" s="141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9"/>
      <c r="L195" s="142">
        <f t="shared" ref="L195:AE195" si="86">L$194-L$122</f>
        <v>0</v>
      </c>
      <c r="M195" s="142">
        <f t="shared" si="86"/>
        <v>0</v>
      </c>
      <c r="N195" s="142">
        <f t="shared" si="86"/>
        <v>0</v>
      </c>
      <c r="O195" s="142">
        <f t="shared" si="86"/>
        <v>0</v>
      </c>
      <c r="P195" s="142">
        <f t="shared" si="86"/>
        <v>0</v>
      </c>
      <c r="Q195" s="142">
        <f t="shared" si="86"/>
        <v>0</v>
      </c>
      <c r="R195" s="142">
        <f t="shared" si="86"/>
        <v>0</v>
      </c>
      <c r="S195" s="142">
        <f t="shared" si="86"/>
        <v>0</v>
      </c>
      <c r="T195" s="142">
        <f t="shared" si="86"/>
        <v>0</v>
      </c>
      <c r="U195" s="142">
        <f t="shared" si="86"/>
        <v>0</v>
      </c>
      <c r="V195" s="142">
        <f t="shared" si="86"/>
        <v>0</v>
      </c>
      <c r="W195" s="142">
        <f t="shared" si="86"/>
        <v>0</v>
      </c>
      <c r="X195" s="142">
        <f t="shared" si="86"/>
        <v>0</v>
      </c>
      <c r="Y195" s="142">
        <f t="shared" si="86"/>
        <v>0</v>
      </c>
      <c r="Z195" s="142">
        <f t="shared" si="86"/>
        <v>0</v>
      </c>
      <c r="AA195" s="142">
        <f t="shared" si="86"/>
        <v>0</v>
      </c>
      <c r="AB195" s="142">
        <f t="shared" si="86"/>
        <v>0</v>
      </c>
      <c r="AC195" s="142">
        <f t="shared" si="86"/>
        <v>0</v>
      </c>
      <c r="AD195" s="142">
        <f t="shared" si="86"/>
        <v>0</v>
      </c>
      <c r="AE195" s="142">
        <f t="shared" si="86"/>
        <v>0</v>
      </c>
      <c r="AF195" s="141"/>
      <c r="AG195" s="141"/>
      <c r="AH195" s="141"/>
      <c r="AI195" s="141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8" t="str">
        <f>Settings!$B$3&amp;".mit.unspent.cbam.tot.1"</f>
        <v>egy.mit.unspent.cbam.tot.1</v>
      </c>
      <c r="K196" s="139"/>
      <c r="L196" s="140">
        <f t="shared" ref="L196:AE196" si="87">MAX(0,L$122-L$194)</f>
        <v>0</v>
      </c>
      <c r="M196" s="140">
        <f t="shared" si="87"/>
        <v>0</v>
      </c>
      <c r="N196" s="140">
        <f t="shared" si="87"/>
        <v>0</v>
      </c>
      <c r="O196" s="140">
        <f t="shared" si="87"/>
        <v>0</v>
      </c>
      <c r="P196" s="140">
        <f t="shared" si="87"/>
        <v>0</v>
      </c>
      <c r="Q196" s="140">
        <f t="shared" si="87"/>
        <v>0</v>
      </c>
      <c r="R196" s="140">
        <f t="shared" si="87"/>
        <v>0</v>
      </c>
      <c r="S196" s="140">
        <f t="shared" si="87"/>
        <v>0</v>
      </c>
      <c r="T196" s="140">
        <f t="shared" si="87"/>
        <v>0</v>
      </c>
      <c r="U196" s="140">
        <f t="shared" si="87"/>
        <v>0</v>
      </c>
      <c r="V196" s="140">
        <f t="shared" si="87"/>
        <v>0</v>
      </c>
      <c r="W196" s="140">
        <f t="shared" si="87"/>
        <v>0</v>
      </c>
      <c r="X196" s="140">
        <f t="shared" si="87"/>
        <v>0</v>
      </c>
      <c r="Y196" s="140">
        <f t="shared" si="87"/>
        <v>0</v>
      </c>
      <c r="Z196" s="140">
        <f t="shared" si="87"/>
        <v>0</v>
      </c>
      <c r="AA196" s="140">
        <f t="shared" si="87"/>
        <v>0</v>
      </c>
      <c r="AB196" s="140">
        <f t="shared" si="87"/>
        <v>0</v>
      </c>
      <c r="AC196" s="140">
        <f t="shared" si="87"/>
        <v>0</v>
      </c>
      <c r="AD196" s="140">
        <f t="shared" si="87"/>
        <v>0</v>
      </c>
      <c r="AE196" s="140">
        <f t="shared" si="87"/>
        <v>0</v>
      </c>
      <c r="AF196" s="141"/>
      <c r="AG196" s="141"/>
      <c r="AH196" s="141"/>
      <c r="AI196" s="141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9"/>
      <c r="L197" s="144">
        <f t="shared" ref="L197:AE197" si="88">(L$122&gt;0)*(L$190&gt;=$F$5-0.000000001)</f>
        <v>0</v>
      </c>
      <c r="M197" s="144">
        <f t="shared" si="88"/>
        <v>0</v>
      </c>
      <c r="N197" s="144">
        <f t="shared" si="88"/>
        <v>0</v>
      </c>
      <c r="O197" s="144">
        <f t="shared" si="88"/>
        <v>0</v>
      </c>
      <c r="P197" s="144">
        <f t="shared" si="88"/>
        <v>0</v>
      </c>
      <c r="Q197" s="144">
        <f t="shared" si="88"/>
        <v>0</v>
      </c>
      <c r="R197" s="144">
        <f t="shared" si="88"/>
        <v>0</v>
      </c>
      <c r="S197" s="144">
        <f t="shared" si="88"/>
        <v>0</v>
      </c>
      <c r="T197" s="144">
        <f t="shared" si="88"/>
        <v>0</v>
      </c>
      <c r="U197" s="144">
        <f t="shared" si="88"/>
        <v>0</v>
      </c>
      <c r="V197" s="144">
        <f t="shared" si="88"/>
        <v>0</v>
      </c>
      <c r="W197" s="144">
        <f t="shared" si="88"/>
        <v>0</v>
      </c>
      <c r="X197" s="144">
        <f t="shared" si="88"/>
        <v>0</v>
      </c>
      <c r="Y197" s="144">
        <f t="shared" si="88"/>
        <v>0</v>
      </c>
      <c r="Z197" s="144">
        <f t="shared" si="88"/>
        <v>0</v>
      </c>
      <c r="AA197" s="144">
        <f t="shared" si="88"/>
        <v>0</v>
      </c>
      <c r="AB197" s="144">
        <f t="shared" si="88"/>
        <v>0</v>
      </c>
      <c r="AC197" s="144">
        <f t="shared" si="88"/>
        <v>0</v>
      </c>
      <c r="AD197" s="144">
        <f t="shared" si="88"/>
        <v>0</v>
      </c>
      <c r="AE197" s="144">
        <f t="shared" si="88"/>
        <v>0</v>
      </c>
      <c r="AF197" s="141"/>
      <c r="AG197" s="141"/>
      <c r="AH197" s="141"/>
      <c r="AI197" s="141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8" t="str">
        <f>Settings!$B$3&amp;".mit.cpt.cbam.tot.1"</f>
        <v>egy.mit.cpt.cbam.tot.1</v>
      </c>
      <c r="K198" s="139"/>
      <c r="L198" s="140">
        <f t="shared" ref="L198:AE198" si="89">IF(L$191&gt;0,L$194/L$191,0)</f>
        <v>0</v>
      </c>
      <c r="M198" s="140">
        <f t="shared" si="89"/>
        <v>0</v>
      </c>
      <c r="N198" s="140">
        <f t="shared" si="89"/>
        <v>0</v>
      </c>
      <c r="O198" s="140">
        <f t="shared" si="89"/>
        <v>0</v>
      </c>
      <c r="P198" s="140">
        <f t="shared" si="89"/>
        <v>0</v>
      </c>
      <c r="Q198" s="140">
        <f t="shared" si="89"/>
        <v>0</v>
      </c>
      <c r="R198" s="140">
        <f t="shared" si="89"/>
        <v>0</v>
      </c>
      <c r="S198" s="140">
        <f t="shared" si="89"/>
        <v>0</v>
      </c>
      <c r="T198" s="140">
        <f t="shared" si="89"/>
        <v>0</v>
      </c>
      <c r="U198" s="140">
        <f t="shared" si="89"/>
        <v>0</v>
      </c>
      <c r="V198" s="140">
        <f t="shared" si="89"/>
        <v>0</v>
      </c>
      <c r="W198" s="140">
        <f t="shared" si="89"/>
        <v>0</v>
      </c>
      <c r="X198" s="140">
        <f t="shared" si="89"/>
        <v>0</v>
      </c>
      <c r="Y198" s="140">
        <f t="shared" si="89"/>
        <v>0</v>
      </c>
      <c r="Z198" s="140">
        <f t="shared" si="89"/>
        <v>0</v>
      </c>
      <c r="AA198" s="140">
        <f t="shared" si="89"/>
        <v>0</v>
      </c>
      <c r="AB198" s="140">
        <f t="shared" si="89"/>
        <v>0</v>
      </c>
      <c r="AC198" s="140">
        <f t="shared" si="89"/>
        <v>0</v>
      </c>
      <c r="AD198" s="140">
        <f t="shared" si="89"/>
        <v>0</v>
      </c>
      <c r="AE198" s="140">
        <f t="shared" si="89"/>
        <v>0</v>
      </c>
      <c r="AF198" s="141"/>
      <c r="AG198" s="141"/>
      <c r="AH198" s="141"/>
      <c r="AI198" s="141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9"/>
      <c r="L199" s="143">
        <f>L$11*Mitigation_Industry!L$400</f>
        <v>0</v>
      </c>
      <c r="M199" s="143">
        <f>M$11*Mitigation_Industry!M$400</f>
        <v>0</v>
      </c>
      <c r="N199" s="143">
        <f>N$11*Mitigation_Industry!N$400</f>
        <v>0</v>
      </c>
      <c r="O199" s="143">
        <f>O$11*Mitigation_Industry!O$400</f>
        <v>0</v>
      </c>
      <c r="P199" s="143">
        <f>P$11*Mitigation_Industry!P$400</f>
        <v>0</v>
      </c>
      <c r="Q199" s="143">
        <f>Q$11*Mitigation_Industry!Q$400</f>
        <v>0</v>
      </c>
      <c r="R199" s="143">
        <f>R$11*Mitigation_Industry!R$400</f>
        <v>0</v>
      </c>
      <c r="S199" s="143">
        <f>S$11*Mitigation_Industry!S$400</f>
        <v>0</v>
      </c>
      <c r="T199" s="143">
        <f>T$11*Mitigation_Industry!T$400</f>
        <v>0</v>
      </c>
      <c r="U199" s="143">
        <f>U$11*Mitigation_Industry!U$400</f>
        <v>0</v>
      </c>
      <c r="V199" s="143">
        <f>V$11*Mitigation_Industry!V$400</f>
        <v>0</v>
      </c>
      <c r="W199" s="143">
        <f>W$11*Mitigation_Industry!W$400</f>
        <v>0</v>
      </c>
      <c r="X199" s="143">
        <f>X$11*Mitigation_Industry!X$400</f>
        <v>0</v>
      </c>
      <c r="Y199" s="143">
        <f>Y$11*Mitigation_Industry!Y$400</f>
        <v>0</v>
      </c>
      <c r="Z199" s="143">
        <f>Z$11*Mitigation_Industry!Z$400</f>
        <v>0</v>
      </c>
      <c r="AA199" s="143">
        <f>AA$11*Mitigation_Industry!AA$400</f>
        <v>0</v>
      </c>
      <c r="AB199" s="143">
        <f>AB$11*Mitigation_Industry!AB$400</f>
        <v>0</v>
      </c>
      <c r="AC199" s="143">
        <f>AC$11*Mitigation_Industry!AC$400</f>
        <v>0</v>
      </c>
      <c r="AD199" s="143">
        <f>AD$11*Mitigation_Industry!AD$400</f>
        <v>0</v>
      </c>
      <c r="AE199" s="143">
        <f>AE$11*Mitigation_Industry!AE$400</f>
        <v>0</v>
      </c>
      <c r="AF199" s="141"/>
      <c r="AG199" s="141"/>
      <c r="AH199" s="141"/>
      <c r="AI199" s="141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9"/>
      <c r="L200" s="143">
        <f t="shared" ref="L200:AE200" si="90">L199-L$122</f>
        <v>0</v>
      </c>
      <c r="M200" s="143">
        <f t="shared" si="90"/>
        <v>0</v>
      </c>
      <c r="N200" s="143">
        <f t="shared" si="90"/>
        <v>0</v>
      </c>
      <c r="O200" s="143">
        <f t="shared" si="90"/>
        <v>0</v>
      </c>
      <c r="P200" s="143">
        <f t="shared" si="90"/>
        <v>0</v>
      </c>
      <c r="Q200" s="143">
        <f t="shared" si="90"/>
        <v>0</v>
      </c>
      <c r="R200" s="143">
        <f t="shared" si="90"/>
        <v>0</v>
      </c>
      <c r="S200" s="143">
        <f t="shared" si="90"/>
        <v>0</v>
      </c>
      <c r="T200" s="143">
        <f t="shared" si="90"/>
        <v>0</v>
      </c>
      <c r="U200" s="143">
        <f t="shared" si="90"/>
        <v>0</v>
      </c>
      <c r="V200" s="143">
        <f t="shared" si="90"/>
        <v>0</v>
      </c>
      <c r="W200" s="143">
        <f t="shared" si="90"/>
        <v>0</v>
      </c>
      <c r="X200" s="143">
        <f t="shared" si="90"/>
        <v>0</v>
      </c>
      <c r="Y200" s="143">
        <f t="shared" si="90"/>
        <v>0</v>
      </c>
      <c r="Z200" s="143">
        <f t="shared" si="90"/>
        <v>0</v>
      </c>
      <c r="AA200" s="143">
        <f t="shared" si="90"/>
        <v>0</v>
      </c>
      <c r="AB200" s="143">
        <f t="shared" si="90"/>
        <v>0</v>
      </c>
      <c r="AC200" s="143">
        <f t="shared" si="90"/>
        <v>0</v>
      </c>
      <c r="AD200" s="143">
        <f t="shared" si="90"/>
        <v>0</v>
      </c>
      <c r="AE200" s="143">
        <f t="shared" si="90"/>
        <v>0</v>
      </c>
      <c r="AF200" s="141"/>
      <c r="AG200" s="141"/>
      <c r="AH200" s="141"/>
      <c r="AI200" s="141"/>
    </row>
    <row r="201" spans="1:35" x14ac:dyDescent="0.35"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7">
        <v>2021</v>
      </c>
      <c r="L202" s="138">
        <v>2022</v>
      </c>
      <c r="M202" s="137">
        <v>2023</v>
      </c>
      <c r="N202" s="137">
        <v>2024</v>
      </c>
      <c r="O202" s="137">
        <v>2025</v>
      </c>
      <c r="P202" s="137">
        <v>2026</v>
      </c>
      <c r="Q202" s="137">
        <v>2027</v>
      </c>
      <c r="R202" s="137">
        <v>2028</v>
      </c>
      <c r="S202" s="137">
        <v>2029</v>
      </c>
      <c r="T202" s="137">
        <v>2030</v>
      </c>
      <c r="U202" s="137">
        <v>2031</v>
      </c>
      <c r="V202" s="137">
        <v>2032</v>
      </c>
      <c r="W202" s="137">
        <v>2033</v>
      </c>
      <c r="X202" s="137">
        <v>2034</v>
      </c>
      <c r="Y202" s="137">
        <v>2035</v>
      </c>
      <c r="Z202" s="137">
        <v>2036</v>
      </c>
      <c r="AA202" s="137">
        <v>2037</v>
      </c>
      <c r="AB202" s="137">
        <v>2038</v>
      </c>
      <c r="AC202" s="137">
        <v>2039</v>
      </c>
      <c r="AD202" s="137">
        <v>2040</v>
      </c>
      <c r="AE202" s="137">
        <v>2041</v>
      </c>
      <c r="AF202" s="137">
        <v>2042</v>
      </c>
      <c r="AG202" s="137">
        <v>2043</v>
      </c>
      <c r="AH202" s="137">
        <v>2044</v>
      </c>
      <c r="AI202" s="137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8" t="str">
        <f>Settings!$B$3&amp;".mit.shpf.coa.ind.1"</f>
        <v>egy.mit.shpf.coa.ind.1</v>
      </c>
      <c r="K203" s="140"/>
      <c r="L203" s="140">
        <f>L$190*Scenarios!$E$30</f>
        <v>0</v>
      </c>
      <c r="M203" s="140">
        <f>M$190*Scenarios!$E$30</f>
        <v>0</v>
      </c>
      <c r="N203" s="140">
        <f>N$190*Scenarios!$E$30</f>
        <v>0</v>
      </c>
      <c r="O203" s="140">
        <f>O$190*Scenarios!$E$30</f>
        <v>0</v>
      </c>
      <c r="P203" s="140">
        <f>P$190*Scenarios!$E$30</f>
        <v>0</v>
      </c>
      <c r="Q203" s="140">
        <f>Q$190*Scenarios!$E$30</f>
        <v>0</v>
      </c>
      <c r="R203" s="140">
        <f>R$190*Scenarios!$E$30</f>
        <v>0</v>
      </c>
      <c r="S203" s="140">
        <f>S$190*Scenarios!$E$30</f>
        <v>0</v>
      </c>
      <c r="T203" s="140">
        <f>T$190*Scenarios!$E$30</f>
        <v>0</v>
      </c>
      <c r="U203" s="140">
        <f>U$190*Scenarios!$E$30</f>
        <v>0</v>
      </c>
      <c r="V203" s="140">
        <f>V$190*Scenarios!$E$30</f>
        <v>0</v>
      </c>
      <c r="W203" s="140">
        <f>W$190*Scenarios!$E$30</f>
        <v>0</v>
      </c>
      <c r="X203" s="140">
        <f>X$190*Scenarios!$E$30</f>
        <v>0</v>
      </c>
      <c r="Y203" s="140">
        <f>Y$190*Scenarios!$E$30</f>
        <v>0</v>
      </c>
      <c r="Z203" s="140">
        <f>Z$190*Scenarios!$E$30</f>
        <v>0</v>
      </c>
      <c r="AA203" s="140">
        <f>AA$190*Scenarios!$E$30</f>
        <v>0</v>
      </c>
      <c r="AB203" s="140">
        <f>AB$190*Scenarios!$E$30</f>
        <v>0</v>
      </c>
      <c r="AC203" s="140">
        <f>AC$190*Scenarios!$E$30</f>
        <v>0</v>
      </c>
      <c r="AD203" s="140">
        <f>AD$190*Scenarios!$E$30</f>
        <v>0</v>
      </c>
      <c r="AE203" s="140">
        <f>AE$190*Scenarios!$E$30</f>
        <v>0</v>
      </c>
      <c r="AF203" s="141"/>
      <c r="AG203" s="141"/>
      <c r="AH203" s="141"/>
      <c r="AI203" s="141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8" t="str">
        <f>Settings!$B$3&amp;".mit.shpf.nga.ind.1"</f>
        <v>egy.mit.shpf.nga.ind.1</v>
      </c>
      <c r="K204" s="140"/>
      <c r="L204" s="140">
        <f>L$190*Scenarios!$E$31</f>
        <v>0</v>
      </c>
      <c r="M204" s="140">
        <f>M$190*Scenarios!$E$31</f>
        <v>0</v>
      </c>
      <c r="N204" s="140">
        <f>N$190*Scenarios!$E$31</f>
        <v>0</v>
      </c>
      <c r="O204" s="140">
        <f>O$190*Scenarios!$E$31</f>
        <v>0</v>
      </c>
      <c r="P204" s="140">
        <f>P$190*Scenarios!$E$31</f>
        <v>0</v>
      </c>
      <c r="Q204" s="140">
        <f>Q$190*Scenarios!$E$31</f>
        <v>0</v>
      </c>
      <c r="R204" s="140">
        <f>R$190*Scenarios!$E$31</f>
        <v>0</v>
      </c>
      <c r="S204" s="140">
        <f>S$190*Scenarios!$E$31</f>
        <v>0</v>
      </c>
      <c r="T204" s="140">
        <f>T$190*Scenarios!$E$31</f>
        <v>0</v>
      </c>
      <c r="U204" s="140">
        <f>U$190*Scenarios!$E$31</f>
        <v>0</v>
      </c>
      <c r="V204" s="140">
        <f>V$190*Scenarios!$E$31</f>
        <v>0</v>
      </c>
      <c r="W204" s="140">
        <f>W$190*Scenarios!$E$31</f>
        <v>0</v>
      </c>
      <c r="X204" s="140">
        <f>X$190*Scenarios!$E$31</f>
        <v>0</v>
      </c>
      <c r="Y204" s="140">
        <f>Y$190*Scenarios!$E$31</f>
        <v>0</v>
      </c>
      <c r="Z204" s="140">
        <f>Z$190*Scenarios!$E$31</f>
        <v>0</v>
      </c>
      <c r="AA204" s="140">
        <f>AA$190*Scenarios!$E$31</f>
        <v>0</v>
      </c>
      <c r="AB204" s="140">
        <f>AB$190*Scenarios!$E$31</f>
        <v>0</v>
      </c>
      <c r="AC204" s="140">
        <f>AC$190*Scenarios!$E$31</f>
        <v>0</v>
      </c>
      <c r="AD204" s="140">
        <f>AD$190*Scenarios!$E$31</f>
        <v>0</v>
      </c>
      <c r="AE204" s="140">
        <f>AE$190*Scenarios!$E$31</f>
        <v>0</v>
      </c>
      <c r="AF204" s="141"/>
      <c r="AG204" s="141"/>
      <c r="AH204" s="141"/>
      <c r="AI204" s="141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8" t="str">
        <f>Settings!$B$3&amp;".mit.shpf.gso.ind.1"</f>
        <v>egy.mit.shpf.gso.ind.1</v>
      </c>
      <c r="K205" s="140"/>
      <c r="L205" s="140">
        <f>L$190*Scenarios!$E$32</f>
        <v>0</v>
      </c>
      <c r="M205" s="140">
        <f>M$190*Scenarios!$E$32</f>
        <v>0</v>
      </c>
      <c r="N205" s="140">
        <f>N$190*Scenarios!$E$32</f>
        <v>0</v>
      </c>
      <c r="O205" s="140">
        <f>O$190*Scenarios!$E$32</f>
        <v>0</v>
      </c>
      <c r="P205" s="140">
        <f>P$190*Scenarios!$E$32</f>
        <v>0</v>
      </c>
      <c r="Q205" s="140">
        <f>Q$190*Scenarios!$E$32</f>
        <v>0</v>
      </c>
      <c r="R205" s="140">
        <f>R$190*Scenarios!$E$32</f>
        <v>0</v>
      </c>
      <c r="S205" s="140">
        <f>S$190*Scenarios!$E$32</f>
        <v>0</v>
      </c>
      <c r="T205" s="140">
        <f>T$190*Scenarios!$E$32</f>
        <v>0</v>
      </c>
      <c r="U205" s="140">
        <f>U$190*Scenarios!$E$32</f>
        <v>0</v>
      </c>
      <c r="V205" s="140">
        <f>V$190*Scenarios!$E$32</f>
        <v>0</v>
      </c>
      <c r="W205" s="140">
        <f>W$190*Scenarios!$E$32</f>
        <v>0</v>
      </c>
      <c r="X205" s="140">
        <f>X$190*Scenarios!$E$32</f>
        <v>0</v>
      </c>
      <c r="Y205" s="140">
        <f>Y$190*Scenarios!$E$32</f>
        <v>0</v>
      </c>
      <c r="Z205" s="140">
        <f>Z$190*Scenarios!$E$32</f>
        <v>0</v>
      </c>
      <c r="AA205" s="140">
        <f>AA$190*Scenarios!$E$32</f>
        <v>0</v>
      </c>
      <c r="AB205" s="140">
        <f>AB$190*Scenarios!$E$32</f>
        <v>0</v>
      </c>
      <c r="AC205" s="140">
        <f>AC$190*Scenarios!$E$32</f>
        <v>0</v>
      </c>
      <c r="AD205" s="140">
        <f>AD$190*Scenarios!$E$32</f>
        <v>0</v>
      </c>
      <c r="AE205" s="140">
        <f>AE$190*Scenarios!$E$32</f>
        <v>0</v>
      </c>
      <c r="AF205" s="141"/>
      <c r="AG205" s="141"/>
      <c r="AH205" s="141"/>
      <c r="AI205" s="141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8" t="str">
        <f>Settings!$B$3&amp;".mit.shpf.die.ind.1"</f>
        <v>egy.mit.shpf.die.ind.1</v>
      </c>
      <c r="K206" s="140"/>
      <c r="L206" s="140">
        <f>L$190*Scenarios!$E$33</f>
        <v>0</v>
      </c>
      <c r="M206" s="140">
        <f>M$190*Scenarios!$E$33</f>
        <v>0</v>
      </c>
      <c r="N206" s="140">
        <f>N$190*Scenarios!$E$33</f>
        <v>0</v>
      </c>
      <c r="O206" s="140">
        <f>O$190*Scenarios!$E$33</f>
        <v>0</v>
      </c>
      <c r="P206" s="140">
        <f>P$190*Scenarios!$E$33</f>
        <v>0</v>
      </c>
      <c r="Q206" s="140">
        <f>Q$190*Scenarios!$E$33</f>
        <v>0</v>
      </c>
      <c r="R206" s="140">
        <f>R$190*Scenarios!$E$33</f>
        <v>0</v>
      </c>
      <c r="S206" s="140">
        <f>S$190*Scenarios!$E$33</f>
        <v>0</v>
      </c>
      <c r="T206" s="140">
        <f>T$190*Scenarios!$E$33</f>
        <v>0</v>
      </c>
      <c r="U206" s="140">
        <f>U$190*Scenarios!$E$33</f>
        <v>0</v>
      </c>
      <c r="V206" s="140">
        <f>V$190*Scenarios!$E$33</f>
        <v>0</v>
      </c>
      <c r="W206" s="140">
        <f>W$190*Scenarios!$E$33</f>
        <v>0</v>
      </c>
      <c r="X206" s="140">
        <f>X$190*Scenarios!$E$33</f>
        <v>0</v>
      </c>
      <c r="Y206" s="140">
        <f>Y$190*Scenarios!$E$33</f>
        <v>0</v>
      </c>
      <c r="Z206" s="140">
        <f>Z$190*Scenarios!$E$33</f>
        <v>0</v>
      </c>
      <c r="AA206" s="140">
        <f>AA$190*Scenarios!$E$33</f>
        <v>0</v>
      </c>
      <c r="AB206" s="140">
        <f>AB$190*Scenarios!$E$33</f>
        <v>0</v>
      </c>
      <c r="AC206" s="140">
        <f>AC$190*Scenarios!$E$33</f>
        <v>0</v>
      </c>
      <c r="AD206" s="140">
        <f>AD$190*Scenarios!$E$33</f>
        <v>0</v>
      </c>
      <c r="AE206" s="140">
        <f>AE$190*Scenarios!$E$33</f>
        <v>0</v>
      </c>
      <c r="AF206" s="141"/>
      <c r="AG206" s="141"/>
      <c r="AH206" s="141"/>
      <c r="AI206" s="141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8" t="str">
        <f>Settings!$B$3&amp;".mit.shpf.lpg.ind.1"</f>
        <v>egy.mit.shpf.lpg.ind.1</v>
      </c>
      <c r="K207" s="140"/>
      <c r="L207" s="140">
        <f>L$190*Scenarios!$E$34</f>
        <v>0</v>
      </c>
      <c r="M207" s="140">
        <f>M$190*Scenarios!$E$34</f>
        <v>0</v>
      </c>
      <c r="N207" s="140">
        <f>N$190*Scenarios!$E$34</f>
        <v>0</v>
      </c>
      <c r="O207" s="140">
        <f>O$190*Scenarios!$E$34</f>
        <v>0</v>
      </c>
      <c r="P207" s="140">
        <f>P$190*Scenarios!$E$34</f>
        <v>0</v>
      </c>
      <c r="Q207" s="140">
        <f>Q$190*Scenarios!$E$34</f>
        <v>0</v>
      </c>
      <c r="R207" s="140">
        <f>R$190*Scenarios!$E$34</f>
        <v>0</v>
      </c>
      <c r="S207" s="140">
        <f>S$190*Scenarios!$E$34</f>
        <v>0</v>
      </c>
      <c r="T207" s="140">
        <f>T$190*Scenarios!$E$34</f>
        <v>0</v>
      </c>
      <c r="U207" s="140">
        <f>U$190*Scenarios!$E$34</f>
        <v>0</v>
      </c>
      <c r="V207" s="140">
        <f>V$190*Scenarios!$E$34</f>
        <v>0</v>
      </c>
      <c r="W207" s="140">
        <f>W$190*Scenarios!$E$34</f>
        <v>0</v>
      </c>
      <c r="X207" s="140">
        <f>X$190*Scenarios!$E$34</f>
        <v>0</v>
      </c>
      <c r="Y207" s="140">
        <f>Y$190*Scenarios!$E$34</f>
        <v>0</v>
      </c>
      <c r="Z207" s="140">
        <f>Z$190*Scenarios!$E$34</f>
        <v>0</v>
      </c>
      <c r="AA207" s="140">
        <f>AA$190*Scenarios!$E$34</f>
        <v>0</v>
      </c>
      <c r="AB207" s="140">
        <f>AB$190*Scenarios!$E$34</f>
        <v>0</v>
      </c>
      <c r="AC207" s="140">
        <f>AC$190*Scenarios!$E$34</f>
        <v>0</v>
      </c>
      <c r="AD207" s="140">
        <f>AD$190*Scenarios!$E$34</f>
        <v>0</v>
      </c>
      <c r="AE207" s="140">
        <f>AE$190*Scenarios!$E$34</f>
        <v>0</v>
      </c>
      <c r="AF207" s="141"/>
      <c r="AG207" s="141"/>
      <c r="AH207" s="141"/>
      <c r="AI207" s="141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8" t="str">
        <f>Settings!$B$3&amp;".mit.shpf.ker.ind.1"</f>
        <v>egy.mit.shpf.ker.ind.1</v>
      </c>
      <c r="K208" s="140"/>
      <c r="L208" s="140">
        <f>L$190*Scenarios!$E$35</f>
        <v>0</v>
      </c>
      <c r="M208" s="140">
        <f>M$190*Scenarios!$E$35</f>
        <v>0</v>
      </c>
      <c r="N208" s="140">
        <f>N$190*Scenarios!$E$35</f>
        <v>0</v>
      </c>
      <c r="O208" s="140">
        <f>O$190*Scenarios!$E$35</f>
        <v>0</v>
      </c>
      <c r="P208" s="140">
        <f>P$190*Scenarios!$E$35</f>
        <v>0</v>
      </c>
      <c r="Q208" s="140">
        <f>Q$190*Scenarios!$E$35</f>
        <v>0</v>
      </c>
      <c r="R208" s="140">
        <f>R$190*Scenarios!$E$35</f>
        <v>0</v>
      </c>
      <c r="S208" s="140">
        <f>S$190*Scenarios!$E$35</f>
        <v>0</v>
      </c>
      <c r="T208" s="140">
        <f>T$190*Scenarios!$E$35</f>
        <v>0</v>
      </c>
      <c r="U208" s="140">
        <f>U$190*Scenarios!$E$35</f>
        <v>0</v>
      </c>
      <c r="V208" s="140">
        <f>V$190*Scenarios!$E$35</f>
        <v>0</v>
      </c>
      <c r="W208" s="140">
        <f>W$190*Scenarios!$E$35</f>
        <v>0</v>
      </c>
      <c r="X208" s="140">
        <f>X$190*Scenarios!$E$35</f>
        <v>0</v>
      </c>
      <c r="Y208" s="140">
        <f>Y$190*Scenarios!$E$35</f>
        <v>0</v>
      </c>
      <c r="Z208" s="140">
        <f>Z$190*Scenarios!$E$35</f>
        <v>0</v>
      </c>
      <c r="AA208" s="140">
        <f>AA$190*Scenarios!$E$35</f>
        <v>0</v>
      </c>
      <c r="AB208" s="140">
        <f>AB$190*Scenarios!$E$35</f>
        <v>0</v>
      </c>
      <c r="AC208" s="140">
        <f>AC$190*Scenarios!$E$35</f>
        <v>0</v>
      </c>
      <c r="AD208" s="140">
        <f>AD$190*Scenarios!$E$35</f>
        <v>0</v>
      </c>
      <c r="AE208" s="140">
        <f>AE$190*Scenarios!$E$35</f>
        <v>0</v>
      </c>
      <c r="AF208" s="141"/>
      <c r="AG208" s="141"/>
      <c r="AH208" s="141"/>
      <c r="AI208" s="141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8" t="str">
        <f>Settings!$B$3&amp;".mit.shpf.oop.ind.1"</f>
        <v>egy.mit.shpf.oop.ind.1</v>
      </c>
      <c r="K209" s="140"/>
      <c r="L209" s="140">
        <f>L$190*Scenarios!$E$36</f>
        <v>0</v>
      </c>
      <c r="M209" s="140">
        <f>M$190*Scenarios!$E$36</f>
        <v>0</v>
      </c>
      <c r="N209" s="140">
        <f>N$190*Scenarios!$E$36</f>
        <v>0</v>
      </c>
      <c r="O209" s="140">
        <f>O$190*Scenarios!$E$36</f>
        <v>0</v>
      </c>
      <c r="P209" s="140">
        <f>P$190*Scenarios!$E$36</f>
        <v>0</v>
      </c>
      <c r="Q209" s="140">
        <f>Q$190*Scenarios!$E$36</f>
        <v>0</v>
      </c>
      <c r="R209" s="140">
        <f>R$190*Scenarios!$E$36</f>
        <v>0</v>
      </c>
      <c r="S209" s="140">
        <f>S$190*Scenarios!$E$36</f>
        <v>0</v>
      </c>
      <c r="T209" s="140">
        <f>T$190*Scenarios!$E$36</f>
        <v>0</v>
      </c>
      <c r="U209" s="140">
        <f>U$190*Scenarios!$E$36</f>
        <v>0</v>
      </c>
      <c r="V209" s="140">
        <f>V$190*Scenarios!$E$36</f>
        <v>0</v>
      </c>
      <c r="W209" s="140">
        <f>W$190*Scenarios!$E$36</f>
        <v>0</v>
      </c>
      <c r="X209" s="140">
        <f>X$190*Scenarios!$E$36</f>
        <v>0</v>
      </c>
      <c r="Y209" s="140">
        <f>Y$190*Scenarios!$E$36</f>
        <v>0</v>
      </c>
      <c r="Z209" s="140">
        <f>Z$190*Scenarios!$E$36</f>
        <v>0</v>
      </c>
      <c r="AA209" s="140">
        <f>AA$190*Scenarios!$E$36</f>
        <v>0</v>
      </c>
      <c r="AB209" s="140">
        <f>AB$190*Scenarios!$E$36</f>
        <v>0</v>
      </c>
      <c r="AC209" s="140">
        <f>AC$190*Scenarios!$E$36</f>
        <v>0</v>
      </c>
      <c r="AD209" s="140">
        <f>AD$190*Scenarios!$E$36</f>
        <v>0</v>
      </c>
      <c r="AE209" s="140">
        <f>AE$190*Scenarios!$E$36</f>
        <v>0</v>
      </c>
      <c r="AF209" s="141"/>
      <c r="AG209" s="141"/>
      <c r="AH209" s="141"/>
      <c r="AI209" s="141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8" t="str">
        <f>Settings!$B$3&amp;".mit.shpf.bio.ind.1"</f>
        <v>egy.mit.shpf.bio.ind.1</v>
      </c>
      <c r="K210" s="140"/>
      <c r="L210" s="140">
        <f>L$190*Scenarios!$E$37</f>
        <v>0</v>
      </c>
      <c r="M210" s="140">
        <f>M$190*Scenarios!$E$37</f>
        <v>0</v>
      </c>
      <c r="N210" s="140">
        <f>N$190*Scenarios!$E$37</f>
        <v>0</v>
      </c>
      <c r="O210" s="140">
        <f>O$190*Scenarios!$E$37</f>
        <v>0</v>
      </c>
      <c r="P210" s="140">
        <f>P$190*Scenarios!$E$37</f>
        <v>0</v>
      </c>
      <c r="Q210" s="140">
        <f>Q$190*Scenarios!$E$37</f>
        <v>0</v>
      </c>
      <c r="R210" s="140">
        <f>R$190*Scenarios!$E$37</f>
        <v>0</v>
      </c>
      <c r="S210" s="140">
        <f>S$190*Scenarios!$E$37</f>
        <v>0</v>
      </c>
      <c r="T210" s="140">
        <f>T$190*Scenarios!$E$37</f>
        <v>0</v>
      </c>
      <c r="U210" s="140">
        <f>U$190*Scenarios!$E$37</f>
        <v>0</v>
      </c>
      <c r="V210" s="140">
        <f>V$190*Scenarios!$E$37</f>
        <v>0</v>
      </c>
      <c r="W210" s="140">
        <f>W$190*Scenarios!$E$37</f>
        <v>0</v>
      </c>
      <c r="X210" s="140">
        <f>X$190*Scenarios!$E$37</f>
        <v>0</v>
      </c>
      <c r="Y210" s="140">
        <f>Y$190*Scenarios!$E$37</f>
        <v>0</v>
      </c>
      <c r="Z210" s="140">
        <f>Z$190*Scenarios!$E$37</f>
        <v>0</v>
      </c>
      <c r="AA210" s="140">
        <f>AA$190*Scenarios!$E$37</f>
        <v>0</v>
      </c>
      <c r="AB210" s="140">
        <f>AB$190*Scenarios!$E$37</f>
        <v>0</v>
      </c>
      <c r="AC210" s="140">
        <f>AC$190*Scenarios!$E$37</f>
        <v>0</v>
      </c>
      <c r="AD210" s="140">
        <f>AD$190*Scenarios!$E$37</f>
        <v>0</v>
      </c>
      <c r="AE210" s="140">
        <f>AE$190*Scenarios!$E$37</f>
        <v>0</v>
      </c>
      <c r="AF210" s="141"/>
      <c r="AG210" s="141"/>
      <c r="AH210" s="141"/>
      <c r="AI210" s="141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8" t="str">
        <f>Settings!$B$3&amp;".mit.shpf.ren.ind.1"</f>
        <v>egy.mit.shpf.ren.ind.1</v>
      </c>
      <c r="K211" s="140"/>
      <c r="L211" s="140">
        <f>L$190*Scenarios!$E$38</f>
        <v>0</v>
      </c>
      <c r="M211" s="140">
        <f>M$190*Scenarios!$E$38</f>
        <v>0</v>
      </c>
      <c r="N211" s="140">
        <f>N$190*Scenarios!$E$38</f>
        <v>0</v>
      </c>
      <c r="O211" s="140">
        <f>O$190*Scenarios!$E$38</f>
        <v>0</v>
      </c>
      <c r="P211" s="140">
        <f>P$190*Scenarios!$E$38</f>
        <v>0</v>
      </c>
      <c r="Q211" s="140">
        <f>Q$190*Scenarios!$E$38</f>
        <v>0</v>
      </c>
      <c r="R211" s="140">
        <f>R$190*Scenarios!$E$38</f>
        <v>0</v>
      </c>
      <c r="S211" s="140">
        <f>S$190*Scenarios!$E$38</f>
        <v>0</v>
      </c>
      <c r="T211" s="140">
        <f>T$190*Scenarios!$E$38</f>
        <v>0</v>
      </c>
      <c r="U211" s="140">
        <f>U$190*Scenarios!$E$38</f>
        <v>0</v>
      </c>
      <c r="V211" s="140">
        <f>V$190*Scenarios!$E$38</f>
        <v>0</v>
      </c>
      <c r="W211" s="140">
        <f>W$190*Scenarios!$E$38</f>
        <v>0</v>
      </c>
      <c r="X211" s="140">
        <f>X$190*Scenarios!$E$38</f>
        <v>0</v>
      </c>
      <c r="Y211" s="140">
        <f>Y$190*Scenarios!$E$38</f>
        <v>0</v>
      </c>
      <c r="Z211" s="140">
        <f>Z$190*Scenarios!$E$38</f>
        <v>0</v>
      </c>
      <c r="AA211" s="140">
        <f>AA$190*Scenarios!$E$38</f>
        <v>0</v>
      </c>
      <c r="AB211" s="140">
        <f>AB$190*Scenarios!$E$38</f>
        <v>0</v>
      </c>
      <c r="AC211" s="140">
        <f>AC$190*Scenarios!$E$38</f>
        <v>0</v>
      </c>
      <c r="AD211" s="140">
        <f>AD$190*Scenarios!$E$38</f>
        <v>0</v>
      </c>
      <c r="AE211" s="140">
        <f>AE$190*Scenarios!$E$38</f>
        <v>0</v>
      </c>
      <c r="AF211" s="141"/>
      <c r="AG211" s="141"/>
      <c r="AH211" s="141"/>
      <c r="AI211" s="141"/>
    </row>
    <row r="212" spans="1:35" x14ac:dyDescent="0.35"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spans="1:35" x14ac:dyDescent="0.35"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spans="1:35" x14ac:dyDescent="0.35"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</row>
    <row r="216" spans="1:35" x14ac:dyDescent="0.35"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7">
        <v>2021</v>
      </c>
      <c r="L217" s="138">
        <v>2022</v>
      </c>
      <c r="M217" s="137">
        <v>2023</v>
      </c>
      <c r="N217" s="137">
        <v>2024</v>
      </c>
      <c r="O217" s="137">
        <v>2025</v>
      </c>
      <c r="P217" s="137">
        <v>2026</v>
      </c>
      <c r="Q217" s="137">
        <v>2027</v>
      </c>
      <c r="R217" s="137">
        <v>2028</v>
      </c>
      <c r="S217" s="137">
        <v>2029</v>
      </c>
      <c r="T217" s="137">
        <v>2030</v>
      </c>
      <c r="U217" s="137">
        <v>2031</v>
      </c>
      <c r="V217" s="137">
        <v>2032</v>
      </c>
      <c r="W217" s="137">
        <v>2033</v>
      </c>
      <c r="X217" s="137">
        <v>2034</v>
      </c>
      <c r="Y217" s="137">
        <v>2035</v>
      </c>
      <c r="Z217" s="137">
        <v>2036</v>
      </c>
      <c r="AA217" s="137">
        <v>2037</v>
      </c>
      <c r="AB217" s="137">
        <v>2038</v>
      </c>
      <c r="AC217" s="137">
        <v>2039</v>
      </c>
      <c r="AD217" s="137">
        <v>2040</v>
      </c>
      <c r="AE217" s="137">
        <v>2041</v>
      </c>
      <c r="AF217" s="137">
        <v>2042</v>
      </c>
      <c r="AG217" s="137">
        <v>2043</v>
      </c>
      <c r="AH217" s="137">
        <v>2044</v>
      </c>
      <c r="AI217" s="137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8" t="s">
        <v>1792</v>
      </c>
      <c r="H218" s="17"/>
      <c r="I218" t="s">
        <v>2178</v>
      </c>
      <c r="K218" s="139"/>
      <c r="L218" s="140">
        <f>INDEX(Data_Prices!L:L,MATCH($G218,Data_Prices!$A:$A,0))</f>
        <v>0</v>
      </c>
      <c r="M218" s="140">
        <f>INDEX(Data_Prices!M:M,MATCH($G218,Data_Prices!$A:$A,0))</f>
        <v>0</v>
      </c>
      <c r="N218" s="140">
        <f>INDEX(Data_Prices!N:N,MATCH($G218,Data_Prices!$A:$A,0))</f>
        <v>0</v>
      </c>
      <c r="O218" s="140">
        <f>INDEX(Data_Prices!O:O,MATCH($G218,Data_Prices!$A:$A,0))</f>
        <v>0</v>
      </c>
      <c r="P218" s="140">
        <f>INDEX(Data_Prices!P:P,MATCH($G218,Data_Prices!$A:$A,0))</f>
        <v>0</v>
      </c>
      <c r="Q218" s="140">
        <f>INDEX(Data_Prices!Q:Q,MATCH($G218,Data_Prices!$A:$A,0))</f>
        <v>0</v>
      </c>
      <c r="R218" s="140">
        <f>INDEX(Data_Prices!R:R,MATCH($G218,Data_Prices!$A:$A,0))</f>
        <v>0</v>
      </c>
      <c r="S218" s="140">
        <f>INDEX(Data_Prices!S:S,MATCH($G218,Data_Prices!$A:$A,0))</f>
        <v>0</v>
      </c>
      <c r="T218" s="140">
        <f>INDEX(Data_Prices!T:T,MATCH($G218,Data_Prices!$A:$A,0))</f>
        <v>0</v>
      </c>
      <c r="U218" s="140">
        <f>INDEX(Data_Prices!U:U,MATCH($G218,Data_Prices!$A:$A,0))</f>
        <v>0</v>
      </c>
      <c r="V218" s="140">
        <f>INDEX(Data_Prices!V:V,MATCH($G218,Data_Prices!$A:$A,0))</f>
        <v>0</v>
      </c>
      <c r="W218" s="140">
        <f>INDEX(Data_Prices!W:W,MATCH($G218,Data_Prices!$A:$A,0))</f>
        <v>0</v>
      </c>
      <c r="X218" s="140">
        <f>INDEX(Data_Prices!X:X,MATCH($G218,Data_Prices!$A:$A,0))</f>
        <v>0</v>
      </c>
      <c r="Y218" s="140">
        <f>INDEX(Data_Prices!Y:Y,MATCH($G218,Data_Prices!$A:$A,0))</f>
        <v>0</v>
      </c>
      <c r="Z218" s="140">
        <f>INDEX(Data_Prices!Z:Z,MATCH($G218,Data_Prices!$A:$A,0))</f>
        <v>0</v>
      </c>
      <c r="AA218" s="140">
        <f>INDEX(Data_Prices!AA:AA,MATCH($G218,Data_Prices!$A:$A,0))</f>
        <v>0</v>
      </c>
      <c r="AB218" s="140">
        <f>INDEX(Data_Prices!AB:AB,MATCH($G218,Data_Prices!$A:$A,0))</f>
        <v>0</v>
      </c>
      <c r="AC218" s="140">
        <f>INDEX(Data_Prices!AC:AC,MATCH($G218,Data_Prices!$A:$A,0))</f>
        <v>0</v>
      </c>
      <c r="AD218" s="140">
        <f>INDEX(Data_Prices!AD:AD,MATCH($G218,Data_Prices!$A:$A,0))</f>
        <v>0</v>
      </c>
      <c r="AE218" s="140">
        <f>INDEX(Data_Prices!AE:AE,MATCH($G218,Data_Prices!$A:$A,0))</f>
        <v>0</v>
      </c>
      <c r="AF218" s="141"/>
      <c r="AG218" s="141"/>
      <c r="AH218" s="141"/>
      <c r="AI218" s="141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9"/>
      <c r="L219" s="140">
        <f>Mitigation_Industry!L$646</f>
        <v>0</v>
      </c>
      <c r="M219" s="140">
        <f>Mitigation_Industry!M$646</f>
        <v>0</v>
      </c>
      <c r="N219" s="140">
        <f>Mitigation_Industry!N$646</f>
        <v>0</v>
      </c>
      <c r="O219" s="140">
        <f>Mitigation_Industry!O$646</f>
        <v>0</v>
      </c>
      <c r="P219" s="140">
        <f>Mitigation_Industry!P$646</f>
        <v>0</v>
      </c>
      <c r="Q219" s="140">
        <f>Mitigation_Industry!Q$646</f>
        <v>12.5</v>
      </c>
      <c r="R219" s="140">
        <f>Mitigation_Industry!R$646</f>
        <v>25</v>
      </c>
      <c r="S219" s="140">
        <f>Mitigation_Industry!S$646</f>
        <v>37.5</v>
      </c>
      <c r="T219" s="140">
        <f>Mitigation_Industry!T$646</f>
        <v>50</v>
      </c>
      <c r="U219" s="140">
        <f>Mitigation_Industry!U$646</f>
        <v>62.5</v>
      </c>
      <c r="V219" s="140">
        <f>Mitigation_Industry!V$646</f>
        <v>75</v>
      </c>
      <c r="W219" s="140">
        <f>Mitigation_Industry!W$646</f>
        <v>87.5</v>
      </c>
      <c r="X219" s="140">
        <f>Mitigation_Industry!X$646</f>
        <v>100</v>
      </c>
      <c r="Y219" s="140">
        <f>Mitigation_Industry!Y$646</f>
        <v>112.5</v>
      </c>
      <c r="Z219" s="140">
        <f>Mitigation_Industry!Z$646</f>
        <v>125</v>
      </c>
      <c r="AA219" s="140">
        <f>Mitigation_Industry!AA$646</f>
        <v>137.5</v>
      </c>
      <c r="AB219" s="140">
        <f>Mitigation_Industry!AB$646</f>
        <v>150</v>
      </c>
      <c r="AC219" s="140">
        <f>Mitigation_Industry!AC$646</f>
        <v>162.5</v>
      </c>
      <c r="AD219" s="140">
        <f>Mitigation_Industry!AD$646</f>
        <v>175</v>
      </c>
      <c r="AE219" s="140">
        <f>Mitigation_Industry!AE$646</f>
        <v>187.5</v>
      </c>
      <c r="AF219" s="141"/>
      <c r="AG219" s="141"/>
      <c r="AH219" s="141"/>
      <c r="AI219" s="141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9"/>
      <c r="L220" s="140">
        <f>Mitigation_Industry!L$647</f>
        <v>0</v>
      </c>
      <c r="M220" s="140">
        <f>Mitigation_Industry!M$647</f>
        <v>0</v>
      </c>
      <c r="N220" s="140">
        <f>Mitigation_Industry!N$647</f>
        <v>0</v>
      </c>
      <c r="O220" s="140">
        <f>Mitigation_Industry!O$647</f>
        <v>0</v>
      </c>
      <c r="P220" s="140">
        <f>Mitigation_Industry!P$647</f>
        <v>0</v>
      </c>
      <c r="Q220" s="140">
        <f>Mitigation_Industry!Q$647</f>
        <v>0</v>
      </c>
      <c r="R220" s="140">
        <f>Mitigation_Industry!R$647</f>
        <v>0</v>
      </c>
      <c r="S220" s="140">
        <f>Mitigation_Industry!S$647</f>
        <v>0</v>
      </c>
      <c r="T220" s="140">
        <f>Mitigation_Industry!T$647</f>
        <v>0</v>
      </c>
      <c r="U220" s="140">
        <f>Mitigation_Industry!U$647</f>
        <v>0</v>
      </c>
      <c r="V220" s="140">
        <f>Mitigation_Industry!V$647</f>
        <v>0</v>
      </c>
      <c r="W220" s="140">
        <f>Mitigation_Industry!W$647</f>
        <v>0</v>
      </c>
      <c r="X220" s="140">
        <f>Mitigation_Industry!X$647</f>
        <v>0</v>
      </c>
      <c r="Y220" s="140">
        <f>Mitigation_Industry!Y$647</f>
        <v>0</v>
      </c>
      <c r="Z220" s="140">
        <f>Mitigation_Industry!Z$647</f>
        <v>0</v>
      </c>
      <c r="AA220" s="140">
        <f>Mitigation_Industry!AA$647</f>
        <v>0</v>
      </c>
      <c r="AB220" s="140">
        <f>Mitigation_Industry!AB$647</f>
        <v>0</v>
      </c>
      <c r="AC220" s="140">
        <f>Mitigation_Industry!AC$647</f>
        <v>0</v>
      </c>
      <c r="AD220" s="140">
        <f>Mitigation_Industry!AD$647</f>
        <v>0</v>
      </c>
      <c r="AE220" s="140">
        <f>Mitigation_Industry!AE$647</f>
        <v>0</v>
      </c>
      <c r="AF220" s="141"/>
      <c r="AG220" s="141"/>
      <c r="AH220" s="141"/>
      <c r="AI220" s="141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9"/>
      <c r="L221" s="140">
        <f>Mitigation_Industry!L$707</f>
        <v>0</v>
      </c>
      <c r="M221" s="140">
        <f>Mitigation_Industry!M$707</f>
        <v>0</v>
      </c>
      <c r="N221" s="140">
        <f>Mitigation_Industry!N$707</f>
        <v>0</v>
      </c>
      <c r="O221" s="140">
        <f>Mitigation_Industry!O$707</f>
        <v>0</v>
      </c>
      <c r="P221" s="140">
        <f>Mitigation_Industry!P$707</f>
        <v>0</v>
      </c>
      <c r="Q221" s="140">
        <f>Mitigation_Industry!Q$707</f>
        <v>0</v>
      </c>
      <c r="R221" s="140">
        <f>Mitigation_Industry!R$707</f>
        <v>0</v>
      </c>
      <c r="S221" s="140">
        <f>Mitigation_Industry!S$707</f>
        <v>0</v>
      </c>
      <c r="T221" s="140">
        <f>Mitigation_Industry!T$707</f>
        <v>0</v>
      </c>
      <c r="U221" s="140">
        <f>Mitigation_Industry!U$707</f>
        <v>0</v>
      </c>
      <c r="V221" s="140">
        <f>Mitigation_Industry!V$707</f>
        <v>0</v>
      </c>
      <c r="W221" s="140">
        <f>Mitigation_Industry!W$707</f>
        <v>0</v>
      </c>
      <c r="X221" s="140">
        <f>Mitigation_Industry!X$707</f>
        <v>0</v>
      </c>
      <c r="Y221" s="140">
        <f>Mitigation_Industry!Y$707</f>
        <v>0</v>
      </c>
      <c r="Z221" s="140">
        <f>Mitigation_Industry!Z$707</f>
        <v>0</v>
      </c>
      <c r="AA221" s="140">
        <f>Mitigation_Industry!AA$707</f>
        <v>0</v>
      </c>
      <c r="AB221" s="140">
        <f>Mitigation_Industry!AB$707</f>
        <v>0</v>
      </c>
      <c r="AC221" s="140">
        <f>Mitigation_Industry!AC$707</f>
        <v>0</v>
      </c>
      <c r="AD221" s="140">
        <f>Mitigation_Industry!AD$707</f>
        <v>0</v>
      </c>
      <c r="AE221" s="140">
        <f>Mitigation_Industry!AE$707</f>
        <v>0</v>
      </c>
      <c r="AF221" s="141"/>
      <c r="AG221" s="141"/>
      <c r="AH221" s="141"/>
      <c r="AI221" s="141"/>
    </row>
    <row r="222" spans="1:35" x14ac:dyDescent="0.35"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7">
        <v>2021</v>
      </c>
      <c r="L223" s="138">
        <v>2022</v>
      </c>
      <c r="M223" s="137">
        <v>2023</v>
      </c>
      <c r="N223" s="137">
        <v>2024</v>
      </c>
      <c r="O223" s="137">
        <v>2025</v>
      </c>
      <c r="P223" s="137">
        <v>2026</v>
      </c>
      <c r="Q223" s="137">
        <v>2027</v>
      </c>
      <c r="R223" s="137">
        <v>2028</v>
      </c>
      <c r="S223" s="137">
        <v>2029</v>
      </c>
      <c r="T223" s="137">
        <v>2030</v>
      </c>
      <c r="U223" s="137">
        <v>2031</v>
      </c>
      <c r="V223" s="137">
        <v>2032</v>
      </c>
      <c r="W223" s="137">
        <v>2033</v>
      </c>
      <c r="X223" s="137">
        <v>2034</v>
      </c>
      <c r="Y223" s="137">
        <v>2035</v>
      </c>
      <c r="Z223" s="137">
        <v>2036</v>
      </c>
      <c r="AA223" s="137">
        <v>2037</v>
      </c>
      <c r="AB223" s="137">
        <v>2038</v>
      </c>
      <c r="AC223" s="137">
        <v>2039</v>
      </c>
      <c r="AD223" s="137">
        <v>2040</v>
      </c>
      <c r="AE223" s="137">
        <v>2041</v>
      </c>
      <c r="AF223" s="137">
        <v>2042</v>
      </c>
      <c r="AG223" s="137">
        <v>2043</v>
      </c>
      <c r="AH223" s="137">
        <v>2044</v>
      </c>
      <c r="AI223" s="137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8" t="str">
        <f>Settings!$B$3&amp;".mit.pf.stl.drg.2"</f>
        <v>egy.mit.pf.stl.drg.2</v>
      </c>
      <c r="I224" t="s">
        <v>2556</v>
      </c>
      <c r="K224" s="139"/>
      <c r="L224" s="140">
        <f>Mitigation_Industry!$F$698*L$219+Mitigation_Industry!$G$698*L$220</f>
        <v>0</v>
      </c>
      <c r="M224" s="140">
        <f>Mitigation_Industry!$F$698*M$219+Mitigation_Industry!$G$698*M$220</f>
        <v>0</v>
      </c>
      <c r="N224" s="140">
        <f>Mitigation_Industry!$F$698*N$219+Mitigation_Industry!$G$698*N$220</f>
        <v>0</v>
      </c>
      <c r="O224" s="140">
        <f>Mitigation_Industry!$F$698*O$219+Mitigation_Industry!$G$698*O$220</f>
        <v>0</v>
      </c>
      <c r="P224" s="140">
        <f>Mitigation_Industry!$F$698*P$219+Mitigation_Industry!$G$698*P$220</f>
        <v>0</v>
      </c>
      <c r="Q224" s="140">
        <f>Mitigation_Industry!$F$698*Q$219+Mitigation_Industry!$G$698*Q$220</f>
        <v>12.5</v>
      </c>
      <c r="R224" s="140">
        <f>Mitigation_Industry!$F$698*R$219+Mitigation_Industry!$G$698*R$220</f>
        <v>25</v>
      </c>
      <c r="S224" s="140">
        <f>Mitigation_Industry!$F$698*S$219+Mitigation_Industry!$G$698*S$220</f>
        <v>37.5</v>
      </c>
      <c r="T224" s="140">
        <f>Mitigation_Industry!$F$698*T$219+Mitigation_Industry!$G$698*T$220</f>
        <v>50</v>
      </c>
      <c r="U224" s="140">
        <f>Mitigation_Industry!$F$698*U$219+Mitigation_Industry!$G$698*U$220</f>
        <v>62.5</v>
      </c>
      <c r="V224" s="140">
        <f>Mitigation_Industry!$F$698*V$219+Mitigation_Industry!$G$698*V$220</f>
        <v>75</v>
      </c>
      <c r="W224" s="140">
        <f>Mitigation_Industry!$F$698*W$219+Mitigation_Industry!$G$698*W$220</f>
        <v>87.5</v>
      </c>
      <c r="X224" s="140">
        <f>Mitigation_Industry!$F$698*X$219+Mitigation_Industry!$G$698*X$220</f>
        <v>100</v>
      </c>
      <c r="Y224" s="140">
        <f>Mitigation_Industry!$F$698*Y$219+Mitigation_Industry!$G$698*Y$220</f>
        <v>112.5</v>
      </c>
      <c r="Z224" s="140">
        <f>Mitigation_Industry!$F$698*Z$219+Mitigation_Industry!$G$698*Z$220</f>
        <v>125</v>
      </c>
      <c r="AA224" s="140">
        <f>Mitigation_Industry!$F$698*AA$219+Mitigation_Industry!$G$698*AA$220</f>
        <v>137.5</v>
      </c>
      <c r="AB224" s="140">
        <f>Mitigation_Industry!$F$698*AB$219+Mitigation_Industry!$G$698*AB$220</f>
        <v>150</v>
      </c>
      <c r="AC224" s="140">
        <f>Mitigation_Industry!$F$698*AC$219+Mitigation_Industry!$G$698*AC$220</f>
        <v>162.5</v>
      </c>
      <c r="AD224" s="140">
        <f>Mitigation_Industry!$F$698*AD$219+Mitigation_Industry!$G$698*AD$220</f>
        <v>175</v>
      </c>
      <c r="AE224" s="140">
        <f>Mitigation_Industry!$F$698*AE$219+Mitigation_Industry!$G$698*AE$220</f>
        <v>187.5</v>
      </c>
      <c r="AF224" s="141"/>
      <c r="AG224" s="141"/>
      <c r="AH224" s="141"/>
      <c r="AI224" s="141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8" t="str">
        <f>Settings!$B$3&amp;".mit.pf.stl.scr.2"</f>
        <v>egy.mit.pf.stl.scr.2</v>
      </c>
      <c r="K225" s="139"/>
      <c r="L225" s="140">
        <f>Mitigation_Industry!$F$699*L$219+Mitigation_Industry!$G$699*L$220</f>
        <v>0</v>
      </c>
      <c r="M225" s="140">
        <f>Mitigation_Industry!$F$699*M$219+Mitigation_Industry!$G$699*M$220</f>
        <v>0</v>
      </c>
      <c r="N225" s="140">
        <f>Mitigation_Industry!$F$699*N$219+Mitigation_Industry!$G$699*N$220</f>
        <v>0</v>
      </c>
      <c r="O225" s="140">
        <f>Mitigation_Industry!$F$699*O$219+Mitigation_Industry!$G$699*O$220</f>
        <v>0</v>
      </c>
      <c r="P225" s="140">
        <f>Mitigation_Industry!$F$699*P$219+Mitigation_Industry!$G$699*P$220</f>
        <v>0</v>
      </c>
      <c r="Q225" s="140">
        <f>Mitigation_Industry!$F$699*Q$219+Mitigation_Industry!$G$699*Q$220</f>
        <v>12.5</v>
      </c>
      <c r="R225" s="140">
        <f>Mitigation_Industry!$F$699*R$219+Mitigation_Industry!$G$699*R$220</f>
        <v>25</v>
      </c>
      <c r="S225" s="140">
        <f>Mitigation_Industry!$F$699*S$219+Mitigation_Industry!$G$699*S$220</f>
        <v>37.5</v>
      </c>
      <c r="T225" s="140">
        <f>Mitigation_Industry!$F$699*T$219+Mitigation_Industry!$G$699*T$220</f>
        <v>50</v>
      </c>
      <c r="U225" s="140">
        <f>Mitigation_Industry!$F$699*U$219+Mitigation_Industry!$G$699*U$220</f>
        <v>62.5</v>
      </c>
      <c r="V225" s="140">
        <f>Mitigation_Industry!$F$699*V$219+Mitigation_Industry!$G$699*V$220</f>
        <v>75</v>
      </c>
      <c r="W225" s="140">
        <f>Mitigation_Industry!$F$699*W$219+Mitigation_Industry!$G$699*W$220</f>
        <v>87.5</v>
      </c>
      <c r="X225" s="140">
        <f>Mitigation_Industry!$F$699*X$219+Mitigation_Industry!$G$699*X$220</f>
        <v>100</v>
      </c>
      <c r="Y225" s="140">
        <f>Mitigation_Industry!$F$699*Y$219+Mitigation_Industry!$G$699*Y$220</f>
        <v>112.5</v>
      </c>
      <c r="Z225" s="140">
        <f>Mitigation_Industry!$F$699*Z$219+Mitigation_Industry!$G$699*Z$220</f>
        <v>125</v>
      </c>
      <c r="AA225" s="140">
        <f>Mitigation_Industry!$F$699*AA$219+Mitigation_Industry!$G$699*AA$220</f>
        <v>137.5</v>
      </c>
      <c r="AB225" s="140">
        <f>Mitigation_Industry!$F$699*AB$219+Mitigation_Industry!$G$699*AB$220</f>
        <v>150</v>
      </c>
      <c r="AC225" s="140">
        <f>Mitigation_Industry!$F$699*AC$219+Mitigation_Industry!$G$699*AC$220</f>
        <v>162.5</v>
      </c>
      <c r="AD225" s="140">
        <f>Mitigation_Industry!$F$699*AD$219+Mitigation_Industry!$G$699*AD$220</f>
        <v>175</v>
      </c>
      <c r="AE225" s="140">
        <f>Mitigation_Industry!$F$699*AE$219+Mitigation_Industry!$G$699*AE$220</f>
        <v>187.5</v>
      </c>
      <c r="AF225" s="141"/>
      <c r="AG225" s="141"/>
      <c r="AH225" s="141"/>
      <c r="AI225" s="141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8" t="str">
        <f>Settings!$B$3&amp;".mit.pf.stl.bof.2"</f>
        <v>egy.mit.pf.stl.bof.2</v>
      </c>
      <c r="K226" s="139"/>
      <c r="L226" s="140">
        <f>Mitigation_Industry!$F$700*L$219+Mitigation_Industry!$G$700*L$220</f>
        <v>0</v>
      </c>
      <c r="M226" s="140">
        <f>Mitigation_Industry!$F$700*M$219+Mitigation_Industry!$G$700*M$220</f>
        <v>0</v>
      </c>
      <c r="N226" s="140">
        <f>Mitigation_Industry!$F$700*N$219+Mitigation_Industry!$G$700*N$220</f>
        <v>0</v>
      </c>
      <c r="O226" s="140">
        <f>Mitigation_Industry!$F$700*O$219+Mitigation_Industry!$G$700*O$220</f>
        <v>0</v>
      </c>
      <c r="P226" s="140">
        <f>Mitigation_Industry!$F$700*P$219+Mitigation_Industry!$G$700*P$220</f>
        <v>0</v>
      </c>
      <c r="Q226" s="140">
        <f>Mitigation_Industry!$F$700*Q$219+Mitigation_Industry!$G$700*Q$220</f>
        <v>12.5</v>
      </c>
      <c r="R226" s="140">
        <f>Mitigation_Industry!$F$700*R$219+Mitigation_Industry!$G$700*R$220</f>
        <v>25</v>
      </c>
      <c r="S226" s="140">
        <f>Mitigation_Industry!$F$700*S$219+Mitigation_Industry!$G$700*S$220</f>
        <v>37.5</v>
      </c>
      <c r="T226" s="140">
        <f>Mitigation_Industry!$F$700*T$219+Mitigation_Industry!$G$700*T$220</f>
        <v>50</v>
      </c>
      <c r="U226" s="140">
        <f>Mitigation_Industry!$F$700*U$219+Mitigation_Industry!$G$700*U$220</f>
        <v>62.5</v>
      </c>
      <c r="V226" s="140">
        <f>Mitigation_Industry!$F$700*V$219+Mitigation_Industry!$G$700*V$220</f>
        <v>75</v>
      </c>
      <c r="W226" s="140">
        <f>Mitigation_Industry!$F$700*W$219+Mitigation_Industry!$G$700*W$220</f>
        <v>87.5</v>
      </c>
      <c r="X226" s="140">
        <f>Mitigation_Industry!$F$700*X$219+Mitigation_Industry!$G$700*X$220</f>
        <v>100</v>
      </c>
      <c r="Y226" s="140">
        <f>Mitigation_Industry!$F$700*Y$219+Mitigation_Industry!$G$700*Y$220</f>
        <v>112.5</v>
      </c>
      <c r="Z226" s="140">
        <f>Mitigation_Industry!$F$700*Z$219+Mitigation_Industry!$G$700*Z$220</f>
        <v>125</v>
      </c>
      <c r="AA226" s="140">
        <f>Mitigation_Industry!$F$700*AA$219+Mitigation_Industry!$G$700*AA$220</f>
        <v>137.5</v>
      </c>
      <c r="AB226" s="140">
        <f>Mitigation_Industry!$F$700*AB$219+Mitigation_Industry!$G$700*AB$220</f>
        <v>150</v>
      </c>
      <c r="AC226" s="140">
        <f>Mitigation_Industry!$F$700*AC$219+Mitigation_Industry!$G$700*AC$220</f>
        <v>162.5</v>
      </c>
      <c r="AD226" s="140">
        <f>Mitigation_Industry!$F$700*AD$219+Mitigation_Industry!$G$700*AD$220</f>
        <v>175</v>
      </c>
      <c r="AE226" s="140">
        <f>Mitigation_Industry!$F$700*AE$219+Mitigation_Industry!$G$700*AE$220</f>
        <v>187.5</v>
      </c>
      <c r="AF226" s="141"/>
      <c r="AG226" s="141"/>
      <c r="AH226" s="141"/>
      <c r="AI226" s="141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8" t="str">
        <f>Settings!$B$3&amp;".mit.pf.cmt.dry.2"</f>
        <v>egy.mit.pf.cmt.dry.2</v>
      </c>
      <c r="K227" s="139"/>
      <c r="L227" s="140">
        <f>Mitigation_Industry!$F$701*L$219+Mitigation_Industry!$G$701*L$220</f>
        <v>0</v>
      </c>
      <c r="M227" s="140">
        <f>Mitigation_Industry!$F$701*M$219+Mitigation_Industry!$G$701*M$220</f>
        <v>0</v>
      </c>
      <c r="N227" s="140">
        <f>Mitigation_Industry!$F$701*N$219+Mitigation_Industry!$G$701*N$220</f>
        <v>0</v>
      </c>
      <c r="O227" s="140">
        <f>Mitigation_Industry!$F$701*O$219+Mitigation_Industry!$G$701*O$220</f>
        <v>0</v>
      </c>
      <c r="P227" s="140">
        <f>Mitigation_Industry!$F$701*P$219+Mitigation_Industry!$G$701*P$220</f>
        <v>0</v>
      </c>
      <c r="Q227" s="140">
        <f>Mitigation_Industry!$F$701*Q$219+Mitigation_Industry!$G$701*Q$220</f>
        <v>12.5</v>
      </c>
      <c r="R227" s="140">
        <f>Mitigation_Industry!$F$701*R$219+Mitigation_Industry!$G$701*R$220</f>
        <v>25</v>
      </c>
      <c r="S227" s="140">
        <f>Mitigation_Industry!$F$701*S$219+Mitigation_Industry!$G$701*S$220</f>
        <v>37.5</v>
      </c>
      <c r="T227" s="140">
        <f>Mitigation_Industry!$F$701*T$219+Mitigation_Industry!$G$701*T$220</f>
        <v>50</v>
      </c>
      <c r="U227" s="140">
        <f>Mitigation_Industry!$F$701*U$219+Mitigation_Industry!$G$701*U$220</f>
        <v>62.5</v>
      </c>
      <c r="V227" s="140">
        <f>Mitigation_Industry!$F$701*V$219+Mitigation_Industry!$G$701*V$220</f>
        <v>75</v>
      </c>
      <c r="W227" s="140">
        <f>Mitigation_Industry!$F$701*W$219+Mitigation_Industry!$G$701*W$220</f>
        <v>87.5</v>
      </c>
      <c r="X227" s="140">
        <f>Mitigation_Industry!$F$701*X$219+Mitigation_Industry!$G$701*X$220</f>
        <v>100</v>
      </c>
      <c r="Y227" s="140">
        <f>Mitigation_Industry!$F$701*Y$219+Mitigation_Industry!$G$701*Y$220</f>
        <v>112.5</v>
      </c>
      <c r="Z227" s="140">
        <f>Mitigation_Industry!$F$701*Z$219+Mitigation_Industry!$G$701*Z$220</f>
        <v>125</v>
      </c>
      <c r="AA227" s="140">
        <f>Mitigation_Industry!$F$701*AA$219+Mitigation_Industry!$G$701*AA$220</f>
        <v>137.5</v>
      </c>
      <c r="AB227" s="140">
        <f>Mitigation_Industry!$F$701*AB$219+Mitigation_Industry!$G$701*AB$220</f>
        <v>150</v>
      </c>
      <c r="AC227" s="140">
        <f>Mitigation_Industry!$F$701*AC$219+Mitigation_Industry!$G$701*AC$220</f>
        <v>162.5</v>
      </c>
      <c r="AD227" s="140">
        <f>Mitigation_Industry!$F$701*AD$219+Mitigation_Industry!$G$701*AD$220</f>
        <v>175</v>
      </c>
      <c r="AE227" s="140">
        <f>Mitigation_Industry!$F$701*AE$219+Mitigation_Industry!$G$701*AE$220</f>
        <v>187.5</v>
      </c>
      <c r="AF227" s="141"/>
      <c r="AG227" s="141"/>
      <c r="AH227" s="141"/>
      <c r="AI227" s="141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8" t="str">
        <f>Settings!$B$3&amp;".mit.pf.frt.amc.2"</f>
        <v>egy.mit.pf.frt.amc.2</v>
      </c>
      <c r="K228" s="139"/>
      <c r="L228" s="140">
        <f>Mitigation_Industry!$F$702*L$219+Mitigation_Industry!$G$702*L$220</f>
        <v>0</v>
      </c>
      <c r="M228" s="140">
        <f>Mitigation_Industry!$F$702*M$219+Mitigation_Industry!$G$702*M$220</f>
        <v>0</v>
      </c>
      <c r="N228" s="140">
        <f>Mitigation_Industry!$F$702*N$219+Mitigation_Industry!$G$702*N$220</f>
        <v>0</v>
      </c>
      <c r="O228" s="140">
        <f>Mitigation_Industry!$F$702*O$219+Mitigation_Industry!$G$702*O$220</f>
        <v>0</v>
      </c>
      <c r="P228" s="140">
        <f>Mitigation_Industry!$F$702*P$219+Mitigation_Industry!$G$702*P$220</f>
        <v>0</v>
      </c>
      <c r="Q228" s="140">
        <f>Mitigation_Industry!$F$702*Q$219+Mitigation_Industry!$G$702*Q$220</f>
        <v>12.5</v>
      </c>
      <c r="R228" s="140">
        <f>Mitigation_Industry!$F$702*R$219+Mitigation_Industry!$G$702*R$220</f>
        <v>25</v>
      </c>
      <c r="S228" s="140">
        <f>Mitigation_Industry!$F$702*S$219+Mitigation_Industry!$G$702*S$220</f>
        <v>37.5</v>
      </c>
      <c r="T228" s="140">
        <f>Mitigation_Industry!$F$702*T$219+Mitigation_Industry!$G$702*T$220</f>
        <v>50</v>
      </c>
      <c r="U228" s="140">
        <f>Mitigation_Industry!$F$702*U$219+Mitigation_Industry!$G$702*U$220</f>
        <v>62.5</v>
      </c>
      <c r="V228" s="140">
        <f>Mitigation_Industry!$F$702*V$219+Mitigation_Industry!$G$702*V$220</f>
        <v>75</v>
      </c>
      <c r="W228" s="140">
        <f>Mitigation_Industry!$F$702*W$219+Mitigation_Industry!$G$702*W$220</f>
        <v>87.5</v>
      </c>
      <c r="X228" s="140">
        <f>Mitigation_Industry!$F$702*X$219+Mitigation_Industry!$G$702*X$220</f>
        <v>100</v>
      </c>
      <c r="Y228" s="140">
        <f>Mitigation_Industry!$F$702*Y$219+Mitigation_Industry!$G$702*Y$220</f>
        <v>112.5</v>
      </c>
      <c r="Z228" s="140">
        <f>Mitigation_Industry!$F$702*Z$219+Mitigation_Industry!$G$702*Z$220</f>
        <v>125</v>
      </c>
      <c r="AA228" s="140">
        <f>Mitigation_Industry!$F$702*AA$219+Mitigation_Industry!$G$702*AA$220</f>
        <v>137.5</v>
      </c>
      <c r="AB228" s="140">
        <f>Mitigation_Industry!$F$702*AB$219+Mitigation_Industry!$G$702*AB$220</f>
        <v>150</v>
      </c>
      <c r="AC228" s="140">
        <f>Mitigation_Industry!$F$702*AC$219+Mitigation_Industry!$G$702*AC$220</f>
        <v>162.5</v>
      </c>
      <c r="AD228" s="140">
        <f>Mitigation_Industry!$F$702*AD$219+Mitigation_Industry!$G$702*AD$220</f>
        <v>175</v>
      </c>
      <c r="AE228" s="140">
        <f>Mitigation_Industry!$F$702*AE$219+Mitigation_Industry!$G$702*AE$220</f>
        <v>187.5</v>
      </c>
      <c r="AF228" s="141"/>
      <c r="AG228" s="141"/>
      <c r="AH228" s="141"/>
      <c r="AI228" s="141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8" t="str">
        <f>Settings!$B$3&amp;".mit.pf.frt.ure.2"</f>
        <v>egy.mit.pf.frt.ure.2</v>
      </c>
      <c r="K229" s="139"/>
      <c r="L229" s="140">
        <f>Mitigation_Industry!$F$703*L$219+Mitigation_Industry!$G$703*L$220</f>
        <v>0</v>
      </c>
      <c r="M229" s="140">
        <f>Mitigation_Industry!$F$703*M$219+Mitigation_Industry!$G$703*M$220</f>
        <v>0</v>
      </c>
      <c r="N229" s="140">
        <f>Mitigation_Industry!$F$703*N$219+Mitigation_Industry!$G$703*N$220</f>
        <v>0</v>
      </c>
      <c r="O229" s="140">
        <f>Mitigation_Industry!$F$703*O$219+Mitigation_Industry!$G$703*O$220</f>
        <v>0</v>
      </c>
      <c r="P229" s="140">
        <f>Mitigation_Industry!$F$703*P$219+Mitigation_Industry!$G$703*P$220</f>
        <v>0</v>
      </c>
      <c r="Q229" s="140">
        <f>Mitigation_Industry!$F$703*Q$219+Mitigation_Industry!$G$703*Q$220</f>
        <v>12.5</v>
      </c>
      <c r="R229" s="140">
        <f>Mitigation_Industry!$F$703*R$219+Mitigation_Industry!$G$703*R$220</f>
        <v>25</v>
      </c>
      <c r="S229" s="140">
        <f>Mitigation_Industry!$F$703*S$219+Mitigation_Industry!$G$703*S$220</f>
        <v>37.5</v>
      </c>
      <c r="T229" s="140">
        <f>Mitigation_Industry!$F$703*T$219+Mitigation_Industry!$G$703*T$220</f>
        <v>50</v>
      </c>
      <c r="U229" s="140">
        <f>Mitigation_Industry!$F$703*U$219+Mitigation_Industry!$G$703*U$220</f>
        <v>62.5</v>
      </c>
      <c r="V229" s="140">
        <f>Mitigation_Industry!$F$703*V$219+Mitigation_Industry!$G$703*V$220</f>
        <v>75</v>
      </c>
      <c r="W229" s="140">
        <f>Mitigation_Industry!$F$703*W$219+Mitigation_Industry!$G$703*W$220</f>
        <v>87.5</v>
      </c>
      <c r="X229" s="140">
        <f>Mitigation_Industry!$F$703*X$219+Mitigation_Industry!$G$703*X$220</f>
        <v>100</v>
      </c>
      <c r="Y229" s="140">
        <f>Mitigation_Industry!$F$703*Y$219+Mitigation_Industry!$G$703*Y$220</f>
        <v>112.5</v>
      </c>
      <c r="Z229" s="140">
        <f>Mitigation_Industry!$F$703*Z$219+Mitigation_Industry!$G$703*Z$220</f>
        <v>125</v>
      </c>
      <c r="AA229" s="140">
        <f>Mitigation_Industry!$F$703*AA$219+Mitigation_Industry!$G$703*AA$220</f>
        <v>137.5</v>
      </c>
      <c r="AB229" s="140">
        <f>Mitigation_Industry!$F$703*AB$219+Mitigation_Industry!$G$703*AB$220</f>
        <v>150</v>
      </c>
      <c r="AC229" s="140">
        <f>Mitigation_Industry!$F$703*AC$219+Mitigation_Industry!$G$703*AC$220</f>
        <v>162.5</v>
      </c>
      <c r="AD229" s="140">
        <f>Mitigation_Industry!$F$703*AD$219+Mitigation_Industry!$G$703*AD$220</f>
        <v>175</v>
      </c>
      <c r="AE229" s="140">
        <f>Mitigation_Industry!$F$703*AE$219+Mitigation_Industry!$G$703*AE$220</f>
        <v>187.5</v>
      </c>
      <c r="AF229" s="141"/>
      <c r="AG229" s="141"/>
      <c r="AH229" s="141"/>
      <c r="AI229" s="141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8" t="str">
        <f>Settings!$B$3&amp;".mit.pf.frt.nit.2"</f>
        <v>egy.mit.pf.frt.nit.2</v>
      </c>
      <c r="K230" s="139"/>
      <c r="L230" s="140">
        <f>Mitigation_Industry!$F$704*L$219+Mitigation_Industry!$G$704*L$220</f>
        <v>0</v>
      </c>
      <c r="M230" s="140">
        <f>Mitigation_Industry!$F$704*M$219+Mitigation_Industry!$G$704*M$220</f>
        <v>0</v>
      </c>
      <c r="N230" s="140">
        <f>Mitigation_Industry!$F$704*N$219+Mitigation_Industry!$G$704*N$220</f>
        <v>0</v>
      </c>
      <c r="O230" s="140">
        <f>Mitigation_Industry!$F$704*O$219+Mitigation_Industry!$G$704*O$220</f>
        <v>0</v>
      </c>
      <c r="P230" s="140">
        <f>Mitigation_Industry!$F$704*P$219+Mitigation_Industry!$G$704*P$220</f>
        <v>0</v>
      </c>
      <c r="Q230" s="140">
        <f>Mitigation_Industry!$F$704*Q$219+Mitigation_Industry!$G$704*Q$220</f>
        <v>12.5</v>
      </c>
      <c r="R230" s="140">
        <f>Mitigation_Industry!$F$704*R$219+Mitigation_Industry!$G$704*R$220</f>
        <v>25</v>
      </c>
      <c r="S230" s="140">
        <f>Mitigation_Industry!$F$704*S$219+Mitigation_Industry!$G$704*S$220</f>
        <v>37.5</v>
      </c>
      <c r="T230" s="140">
        <f>Mitigation_Industry!$F$704*T$219+Mitigation_Industry!$G$704*T$220</f>
        <v>50</v>
      </c>
      <c r="U230" s="140">
        <f>Mitigation_Industry!$F$704*U$219+Mitigation_Industry!$G$704*U$220</f>
        <v>62.5</v>
      </c>
      <c r="V230" s="140">
        <f>Mitigation_Industry!$F$704*V$219+Mitigation_Industry!$G$704*V$220</f>
        <v>75</v>
      </c>
      <c r="W230" s="140">
        <f>Mitigation_Industry!$F$704*W$219+Mitigation_Industry!$G$704*W$220</f>
        <v>87.5</v>
      </c>
      <c r="X230" s="140">
        <f>Mitigation_Industry!$F$704*X$219+Mitigation_Industry!$G$704*X$220</f>
        <v>100</v>
      </c>
      <c r="Y230" s="140">
        <f>Mitigation_Industry!$F$704*Y$219+Mitigation_Industry!$G$704*Y$220</f>
        <v>112.5</v>
      </c>
      <c r="Z230" s="140">
        <f>Mitigation_Industry!$F$704*Z$219+Mitigation_Industry!$G$704*Z$220</f>
        <v>125</v>
      </c>
      <c r="AA230" s="140">
        <f>Mitigation_Industry!$F$704*AA$219+Mitigation_Industry!$G$704*AA$220</f>
        <v>137.5</v>
      </c>
      <c r="AB230" s="140">
        <f>Mitigation_Industry!$F$704*AB$219+Mitigation_Industry!$G$704*AB$220</f>
        <v>150</v>
      </c>
      <c r="AC230" s="140">
        <f>Mitigation_Industry!$F$704*AC$219+Mitigation_Industry!$G$704*AC$220</f>
        <v>162.5</v>
      </c>
      <c r="AD230" s="140">
        <f>Mitigation_Industry!$F$704*AD$219+Mitigation_Industry!$G$704*AD$220</f>
        <v>175</v>
      </c>
      <c r="AE230" s="140">
        <f>Mitigation_Industry!$F$704*AE$219+Mitigation_Industry!$G$704*AE$220</f>
        <v>187.5</v>
      </c>
      <c r="AF230" s="141"/>
      <c r="AG230" s="141"/>
      <c r="AH230" s="141"/>
      <c r="AI230" s="141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8" t="str">
        <f>Settings!$B$3&amp;".mit.pf.alu.prp.2"</f>
        <v>egy.mit.pf.alu.prp.2</v>
      </c>
      <c r="K231" s="139"/>
      <c r="L231" s="140">
        <f>Mitigation_Industry!$F$705*L$219+Mitigation_Industry!$G$705*L$220</f>
        <v>0</v>
      </c>
      <c r="M231" s="140">
        <f>Mitigation_Industry!$F$705*M$219+Mitigation_Industry!$G$705*M$220</f>
        <v>0</v>
      </c>
      <c r="N231" s="140">
        <f>Mitigation_Industry!$F$705*N$219+Mitigation_Industry!$G$705*N$220</f>
        <v>0</v>
      </c>
      <c r="O231" s="140">
        <f>Mitigation_Industry!$F$705*O$219+Mitigation_Industry!$G$705*O$220</f>
        <v>0</v>
      </c>
      <c r="P231" s="140">
        <f>Mitigation_Industry!$F$705*P$219+Mitigation_Industry!$G$705*P$220</f>
        <v>0</v>
      </c>
      <c r="Q231" s="140">
        <f>Mitigation_Industry!$F$705*Q$219+Mitigation_Industry!$G$705*Q$220</f>
        <v>12.5</v>
      </c>
      <c r="R231" s="140">
        <f>Mitigation_Industry!$F$705*R$219+Mitigation_Industry!$G$705*R$220</f>
        <v>25</v>
      </c>
      <c r="S231" s="140">
        <f>Mitigation_Industry!$F$705*S$219+Mitigation_Industry!$G$705*S$220</f>
        <v>37.5</v>
      </c>
      <c r="T231" s="140">
        <f>Mitigation_Industry!$F$705*T$219+Mitigation_Industry!$G$705*T$220</f>
        <v>50</v>
      </c>
      <c r="U231" s="140">
        <f>Mitigation_Industry!$F$705*U$219+Mitigation_Industry!$G$705*U$220</f>
        <v>62.5</v>
      </c>
      <c r="V231" s="140">
        <f>Mitigation_Industry!$F$705*V$219+Mitigation_Industry!$G$705*V$220</f>
        <v>75</v>
      </c>
      <c r="W231" s="140">
        <f>Mitigation_Industry!$F$705*W$219+Mitigation_Industry!$G$705*W$220</f>
        <v>87.5</v>
      </c>
      <c r="X231" s="140">
        <f>Mitigation_Industry!$F$705*X$219+Mitigation_Industry!$G$705*X$220</f>
        <v>100</v>
      </c>
      <c r="Y231" s="140">
        <f>Mitigation_Industry!$F$705*Y$219+Mitigation_Industry!$G$705*Y$220</f>
        <v>112.5</v>
      </c>
      <c r="Z231" s="140">
        <f>Mitigation_Industry!$F$705*Z$219+Mitigation_Industry!$G$705*Z$220</f>
        <v>125</v>
      </c>
      <c r="AA231" s="140">
        <f>Mitigation_Industry!$F$705*AA$219+Mitigation_Industry!$G$705*AA$220</f>
        <v>137.5</v>
      </c>
      <c r="AB231" s="140">
        <f>Mitigation_Industry!$F$705*AB$219+Mitigation_Industry!$G$705*AB$220</f>
        <v>150</v>
      </c>
      <c r="AC231" s="140">
        <f>Mitigation_Industry!$F$705*AC$219+Mitigation_Industry!$G$705*AC$220</f>
        <v>162.5</v>
      </c>
      <c r="AD231" s="140">
        <f>Mitigation_Industry!$F$705*AD$219+Mitigation_Industry!$G$705*AD$220</f>
        <v>175</v>
      </c>
      <c r="AE231" s="140">
        <f>Mitigation_Industry!$F$705*AE$219+Mitigation_Industry!$G$705*AE$220</f>
        <v>187.5</v>
      </c>
      <c r="AF231" s="141"/>
      <c r="AG231" s="141"/>
      <c r="AH231" s="141"/>
      <c r="AI231" s="141"/>
    </row>
    <row r="232" spans="1:35" x14ac:dyDescent="0.35"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7">
        <v>2021</v>
      </c>
      <c r="L233" s="138">
        <v>2022</v>
      </c>
      <c r="M233" s="137">
        <v>2023</v>
      </c>
      <c r="N233" s="137">
        <v>2024</v>
      </c>
      <c r="O233" s="137">
        <v>2025</v>
      </c>
      <c r="P233" s="137">
        <v>2026</v>
      </c>
      <c r="Q233" s="137">
        <v>2027</v>
      </c>
      <c r="R233" s="137">
        <v>2028</v>
      </c>
      <c r="S233" s="137">
        <v>2029</v>
      </c>
      <c r="T233" s="137">
        <v>2030</v>
      </c>
      <c r="U233" s="137">
        <v>2031</v>
      </c>
      <c r="V233" s="137">
        <v>2032</v>
      </c>
      <c r="W233" s="137">
        <v>2033</v>
      </c>
      <c r="X233" s="137">
        <v>2034</v>
      </c>
      <c r="Y233" s="137">
        <v>2035</v>
      </c>
      <c r="Z233" s="137">
        <v>2036</v>
      </c>
      <c r="AA233" s="137">
        <v>2037</v>
      </c>
      <c r="AB233" s="137">
        <v>2038</v>
      </c>
      <c r="AC233" s="137">
        <v>2039</v>
      </c>
      <c r="AD233" s="137">
        <v>2040</v>
      </c>
      <c r="AE233" s="137">
        <v>2041</v>
      </c>
      <c r="AF233" s="137">
        <v>2042</v>
      </c>
      <c r="AG233" s="137">
        <v>2043</v>
      </c>
      <c r="AH233" s="137">
        <v>2044</v>
      </c>
      <c r="AI233" s="137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8" t="str">
        <f>Settings!$B$3&amp;".mit.pp.stl.drg.np.2"</f>
        <v>egy.mit.pp.stl.drg.np.2</v>
      </c>
      <c r="I234" t="s">
        <v>2567</v>
      </c>
      <c r="K234" s="139"/>
      <c r="L234" s="140">
        <f>Mitigation_Industry!$F$709*L$221+Mitigation_Industry!$G$709*L$220</f>
        <v>0</v>
      </c>
      <c r="M234" s="140">
        <f>Mitigation_Industry!$F$709*M$221+Mitigation_Industry!$G$709*M$220</f>
        <v>0</v>
      </c>
      <c r="N234" s="140">
        <f>Mitigation_Industry!$F$709*N$221+Mitigation_Industry!$G$709*N$220</f>
        <v>0</v>
      </c>
      <c r="O234" s="140">
        <f>Mitigation_Industry!$F$709*O$221+Mitigation_Industry!$G$709*O$220</f>
        <v>0</v>
      </c>
      <c r="P234" s="140">
        <f>Mitigation_Industry!$F$709*P$221+Mitigation_Industry!$G$709*P$220</f>
        <v>0</v>
      </c>
      <c r="Q234" s="140">
        <f>Mitigation_Industry!$F$709*Q$221+Mitigation_Industry!$G$709*Q$220</f>
        <v>0</v>
      </c>
      <c r="R234" s="140">
        <f>Mitigation_Industry!$F$709*R$221+Mitigation_Industry!$G$709*R$220</f>
        <v>0</v>
      </c>
      <c r="S234" s="140">
        <f>Mitigation_Industry!$F$709*S$221+Mitigation_Industry!$G$709*S$220</f>
        <v>0</v>
      </c>
      <c r="T234" s="140">
        <f>Mitigation_Industry!$F$709*T$221+Mitigation_Industry!$G$709*T$220</f>
        <v>0</v>
      </c>
      <c r="U234" s="140">
        <f>Mitigation_Industry!$F$709*U$221+Mitigation_Industry!$G$709*U$220</f>
        <v>0</v>
      </c>
      <c r="V234" s="140">
        <f>Mitigation_Industry!$F$709*V$221+Mitigation_Industry!$G$709*V$220</f>
        <v>0</v>
      </c>
      <c r="W234" s="140">
        <f>Mitigation_Industry!$F$709*W$221+Mitigation_Industry!$G$709*W$220</f>
        <v>0</v>
      </c>
      <c r="X234" s="140">
        <f>Mitigation_Industry!$F$709*X$221+Mitigation_Industry!$G$709*X$220</f>
        <v>0</v>
      </c>
      <c r="Y234" s="140">
        <f>Mitigation_Industry!$F$709*Y$221+Mitigation_Industry!$G$709*Y$220</f>
        <v>0</v>
      </c>
      <c r="Z234" s="140">
        <f>Mitigation_Industry!$F$709*Z$221+Mitigation_Industry!$G$709*Z$220</f>
        <v>0</v>
      </c>
      <c r="AA234" s="140">
        <f>Mitigation_Industry!$F$709*AA$221+Mitigation_Industry!$G$709*AA$220</f>
        <v>0</v>
      </c>
      <c r="AB234" s="140">
        <f>Mitigation_Industry!$F$709*AB$221+Mitigation_Industry!$G$709*AB$220</f>
        <v>0</v>
      </c>
      <c r="AC234" s="140">
        <f>Mitigation_Industry!$F$709*AC$221+Mitigation_Industry!$G$709*AC$220</f>
        <v>0</v>
      </c>
      <c r="AD234" s="140">
        <f>Mitigation_Industry!$F$709*AD$221+Mitigation_Industry!$G$709*AD$220</f>
        <v>0</v>
      </c>
      <c r="AE234" s="140">
        <f>Mitigation_Industry!$F$709*AE$221+Mitigation_Industry!$G$709*AE$220</f>
        <v>0</v>
      </c>
      <c r="AF234" s="141"/>
      <c r="AG234" s="141"/>
      <c r="AH234" s="141"/>
      <c r="AI234" s="141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8" t="str">
        <f>Settings!$B$3&amp;".mit.pp.stl.scr.np.2"</f>
        <v>egy.mit.pp.stl.scr.np.2</v>
      </c>
      <c r="K235" s="139"/>
      <c r="L235" s="140">
        <f>Mitigation_Industry!$F$710*L$221+Mitigation_Industry!$G$710*L$220</f>
        <v>0</v>
      </c>
      <c r="M235" s="140">
        <f>Mitigation_Industry!$F$710*M$221+Mitigation_Industry!$G$710*M$220</f>
        <v>0</v>
      </c>
      <c r="N235" s="140">
        <f>Mitigation_Industry!$F$710*N$221+Mitigation_Industry!$G$710*N$220</f>
        <v>0</v>
      </c>
      <c r="O235" s="140">
        <f>Mitigation_Industry!$F$710*O$221+Mitigation_Industry!$G$710*O$220</f>
        <v>0</v>
      </c>
      <c r="P235" s="140">
        <f>Mitigation_Industry!$F$710*P$221+Mitigation_Industry!$G$710*P$220</f>
        <v>0</v>
      </c>
      <c r="Q235" s="140">
        <f>Mitigation_Industry!$F$710*Q$221+Mitigation_Industry!$G$710*Q$220</f>
        <v>0</v>
      </c>
      <c r="R235" s="140">
        <f>Mitigation_Industry!$F$710*R$221+Mitigation_Industry!$G$710*R$220</f>
        <v>0</v>
      </c>
      <c r="S235" s="140">
        <f>Mitigation_Industry!$F$710*S$221+Mitigation_Industry!$G$710*S$220</f>
        <v>0</v>
      </c>
      <c r="T235" s="140">
        <f>Mitigation_Industry!$F$710*T$221+Mitigation_Industry!$G$710*T$220</f>
        <v>0</v>
      </c>
      <c r="U235" s="140">
        <f>Mitigation_Industry!$F$710*U$221+Mitigation_Industry!$G$710*U$220</f>
        <v>0</v>
      </c>
      <c r="V235" s="140">
        <f>Mitigation_Industry!$F$710*V$221+Mitigation_Industry!$G$710*V$220</f>
        <v>0</v>
      </c>
      <c r="W235" s="140">
        <f>Mitigation_Industry!$F$710*W$221+Mitigation_Industry!$G$710*W$220</f>
        <v>0</v>
      </c>
      <c r="X235" s="140">
        <f>Mitigation_Industry!$F$710*X$221+Mitigation_Industry!$G$710*X$220</f>
        <v>0</v>
      </c>
      <c r="Y235" s="140">
        <f>Mitigation_Industry!$F$710*Y$221+Mitigation_Industry!$G$710*Y$220</f>
        <v>0</v>
      </c>
      <c r="Z235" s="140">
        <f>Mitigation_Industry!$F$710*Z$221+Mitigation_Industry!$G$710*Z$220</f>
        <v>0</v>
      </c>
      <c r="AA235" s="140">
        <f>Mitigation_Industry!$F$710*AA$221+Mitigation_Industry!$G$710*AA$220</f>
        <v>0</v>
      </c>
      <c r="AB235" s="140">
        <f>Mitigation_Industry!$F$710*AB$221+Mitigation_Industry!$G$710*AB$220</f>
        <v>0</v>
      </c>
      <c r="AC235" s="140">
        <f>Mitigation_Industry!$F$710*AC$221+Mitigation_Industry!$G$710*AC$220</f>
        <v>0</v>
      </c>
      <c r="AD235" s="140">
        <f>Mitigation_Industry!$F$710*AD$221+Mitigation_Industry!$G$710*AD$220</f>
        <v>0</v>
      </c>
      <c r="AE235" s="140">
        <f>Mitigation_Industry!$F$710*AE$221+Mitigation_Industry!$G$710*AE$220</f>
        <v>0</v>
      </c>
      <c r="AF235" s="141"/>
      <c r="AG235" s="141"/>
      <c r="AH235" s="141"/>
      <c r="AI235" s="141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8" t="str">
        <f>Settings!$B$3&amp;".mit.pp.stl.bof.np.2"</f>
        <v>egy.mit.pp.stl.bof.np.2</v>
      </c>
      <c r="K236" s="139"/>
      <c r="L236" s="140">
        <f>Mitigation_Industry!$F$711*L$221+Mitigation_Industry!$G$711*L$220</f>
        <v>0</v>
      </c>
      <c r="M236" s="140">
        <f>Mitigation_Industry!$F$711*M$221+Mitigation_Industry!$G$711*M$220</f>
        <v>0</v>
      </c>
      <c r="N236" s="140">
        <f>Mitigation_Industry!$F$711*N$221+Mitigation_Industry!$G$711*N$220</f>
        <v>0</v>
      </c>
      <c r="O236" s="140">
        <f>Mitigation_Industry!$F$711*O$221+Mitigation_Industry!$G$711*O$220</f>
        <v>0</v>
      </c>
      <c r="P236" s="140">
        <f>Mitigation_Industry!$F$711*P$221+Mitigation_Industry!$G$711*P$220</f>
        <v>0</v>
      </c>
      <c r="Q236" s="140">
        <f>Mitigation_Industry!$F$711*Q$221+Mitigation_Industry!$G$711*Q$220</f>
        <v>0</v>
      </c>
      <c r="R236" s="140">
        <f>Mitigation_Industry!$F$711*R$221+Mitigation_Industry!$G$711*R$220</f>
        <v>0</v>
      </c>
      <c r="S236" s="140">
        <f>Mitigation_Industry!$F$711*S$221+Mitigation_Industry!$G$711*S$220</f>
        <v>0</v>
      </c>
      <c r="T236" s="140">
        <f>Mitigation_Industry!$F$711*T$221+Mitigation_Industry!$G$711*T$220</f>
        <v>0</v>
      </c>
      <c r="U236" s="140">
        <f>Mitigation_Industry!$F$711*U$221+Mitigation_Industry!$G$711*U$220</f>
        <v>0</v>
      </c>
      <c r="V236" s="140">
        <f>Mitigation_Industry!$F$711*V$221+Mitigation_Industry!$G$711*V$220</f>
        <v>0</v>
      </c>
      <c r="W236" s="140">
        <f>Mitigation_Industry!$F$711*W$221+Mitigation_Industry!$G$711*W$220</f>
        <v>0</v>
      </c>
      <c r="X236" s="140">
        <f>Mitigation_Industry!$F$711*X$221+Mitigation_Industry!$G$711*X$220</f>
        <v>0</v>
      </c>
      <c r="Y236" s="140">
        <f>Mitigation_Industry!$F$711*Y$221+Mitigation_Industry!$G$711*Y$220</f>
        <v>0</v>
      </c>
      <c r="Z236" s="140">
        <f>Mitigation_Industry!$F$711*Z$221+Mitigation_Industry!$G$711*Z$220</f>
        <v>0</v>
      </c>
      <c r="AA236" s="140">
        <f>Mitigation_Industry!$F$711*AA$221+Mitigation_Industry!$G$711*AA$220</f>
        <v>0</v>
      </c>
      <c r="AB236" s="140">
        <f>Mitigation_Industry!$F$711*AB$221+Mitigation_Industry!$G$711*AB$220</f>
        <v>0</v>
      </c>
      <c r="AC236" s="140">
        <f>Mitigation_Industry!$F$711*AC$221+Mitigation_Industry!$G$711*AC$220</f>
        <v>0</v>
      </c>
      <c r="AD236" s="140">
        <f>Mitigation_Industry!$F$711*AD$221+Mitigation_Industry!$G$711*AD$220</f>
        <v>0</v>
      </c>
      <c r="AE236" s="140">
        <f>Mitigation_Industry!$F$711*AE$221+Mitigation_Industry!$G$711*AE$220</f>
        <v>0</v>
      </c>
      <c r="AF236" s="141"/>
      <c r="AG236" s="141"/>
      <c r="AH236" s="141"/>
      <c r="AI236" s="141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8" t="str">
        <f>Settings!$B$3&amp;".mit.pp.cmt.dry.np.2"</f>
        <v>egy.mit.pp.cmt.dry.np.2</v>
      </c>
      <c r="K237" s="139"/>
      <c r="L237" s="140">
        <f>Mitigation_Industry!$F$712*L$221+Mitigation_Industry!$G$712*L$220</f>
        <v>0</v>
      </c>
      <c r="M237" s="140">
        <f>Mitigation_Industry!$F$712*M$221+Mitigation_Industry!$G$712*M$220</f>
        <v>0</v>
      </c>
      <c r="N237" s="140">
        <f>Mitigation_Industry!$F$712*N$221+Mitigation_Industry!$G$712*N$220</f>
        <v>0</v>
      </c>
      <c r="O237" s="140">
        <f>Mitigation_Industry!$F$712*O$221+Mitigation_Industry!$G$712*O$220</f>
        <v>0</v>
      </c>
      <c r="P237" s="140">
        <f>Mitigation_Industry!$F$712*P$221+Mitigation_Industry!$G$712*P$220</f>
        <v>0</v>
      </c>
      <c r="Q237" s="140">
        <f>Mitigation_Industry!$F$712*Q$221+Mitigation_Industry!$G$712*Q$220</f>
        <v>0</v>
      </c>
      <c r="R237" s="140">
        <f>Mitigation_Industry!$F$712*R$221+Mitigation_Industry!$G$712*R$220</f>
        <v>0</v>
      </c>
      <c r="S237" s="140">
        <f>Mitigation_Industry!$F$712*S$221+Mitigation_Industry!$G$712*S$220</f>
        <v>0</v>
      </c>
      <c r="T237" s="140">
        <f>Mitigation_Industry!$F$712*T$221+Mitigation_Industry!$G$712*T$220</f>
        <v>0</v>
      </c>
      <c r="U237" s="140">
        <f>Mitigation_Industry!$F$712*U$221+Mitigation_Industry!$G$712*U$220</f>
        <v>0</v>
      </c>
      <c r="V237" s="140">
        <f>Mitigation_Industry!$F$712*V$221+Mitigation_Industry!$G$712*V$220</f>
        <v>0</v>
      </c>
      <c r="W237" s="140">
        <f>Mitigation_Industry!$F$712*W$221+Mitigation_Industry!$G$712*W$220</f>
        <v>0</v>
      </c>
      <c r="X237" s="140">
        <f>Mitigation_Industry!$F$712*X$221+Mitigation_Industry!$G$712*X$220</f>
        <v>0</v>
      </c>
      <c r="Y237" s="140">
        <f>Mitigation_Industry!$F$712*Y$221+Mitigation_Industry!$G$712*Y$220</f>
        <v>0</v>
      </c>
      <c r="Z237" s="140">
        <f>Mitigation_Industry!$F$712*Z$221+Mitigation_Industry!$G$712*Z$220</f>
        <v>0</v>
      </c>
      <c r="AA237" s="140">
        <f>Mitigation_Industry!$F$712*AA$221+Mitigation_Industry!$G$712*AA$220</f>
        <v>0</v>
      </c>
      <c r="AB237" s="140">
        <f>Mitigation_Industry!$F$712*AB$221+Mitigation_Industry!$G$712*AB$220</f>
        <v>0</v>
      </c>
      <c r="AC237" s="140">
        <f>Mitigation_Industry!$F$712*AC$221+Mitigation_Industry!$G$712*AC$220</f>
        <v>0</v>
      </c>
      <c r="AD237" s="140">
        <f>Mitigation_Industry!$F$712*AD$221+Mitigation_Industry!$G$712*AD$220</f>
        <v>0</v>
      </c>
      <c r="AE237" s="140">
        <f>Mitigation_Industry!$F$712*AE$221+Mitigation_Industry!$G$712*AE$220</f>
        <v>0</v>
      </c>
      <c r="AF237" s="141"/>
      <c r="AG237" s="141"/>
      <c r="AH237" s="141"/>
      <c r="AI237" s="141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8" t="str">
        <f>Settings!$B$3&amp;".mit.pp.frt.amc.np.2"</f>
        <v>egy.mit.pp.frt.amc.np.2</v>
      </c>
      <c r="K238" s="139"/>
      <c r="L238" s="140">
        <f>Mitigation_Industry!$F$713*L$221+Mitigation_Industry!$G$713*L$220</f>
        <v>0</v>
      </c>
      <c r="M238" s="140">
        <f>Mitigation_Industry!$F$713*M$221+Mitigation_Industry!$G$713*M$220</f>
        <v>0</v>
      </c>
      <c r="N238" s="140">
        <f>Mitigation_Industry!$F$713*N$221+Mitigation_Industry!$G$713*N$220</f>
        <v>0</v>
      </c>
      <c r="O238" s="140">
        <f>Mitigation_Industry!$F$713*O$221+Mitigation_Industry!$G$713*O$220</f>
        <v>0</v>
      </c>
      <c r="P238" s="140">
        <f>Mitigation_Industry!$F$713*P$221+Mitigation_Industry!$G$713*P$220</f>
        <v>0</v>
      </c>
      <c r="Q238" s="140">
        <f>Mitigation_Industry!$F$713*Q$221+Mitigation_Industry!$G$713*Q$220</f>
        <v>0</v>
      </c>
      <c r="R238" s="140">
        <f>Mitigation_Industry!$F$713*R$221+Mitigation_Industry!$G$713*R$220</f>
        <v>0</v>
      </c>
      <c r="S238" s="140">
        <f>Mitigation_Industry!$F$713*S$221+Mitigation_Industry!$G$713*S$220</f>
        <v>0</v>
      </c>
      <c r="T238" s="140">
        <f>Mitigation_Industry!$F$713*T$221+Mitigation_Industry!$G$713*T$220</f>
        <v>0</v>
      </c>
      <c r="U238" s="140">
        <f>Mitigation_Industry!$F$713*U$221+Mitigation_Industry!$G$713*U$220</f>
        <v>0</v>
      </c>
      <c r="V238" s="140">
        <f>Mitigation_Industry!$F$713*V$221+Mitigation_Industry!$G$713*V$220</f>
        <v>0</v>
      </c>
      <c r="W238" s="140">
        <f>Mitigation_Industry!$F$713*W$221+Mitigation_Industry!$G$713*W$220</f>
        <v>0</v>
      </c>
      <c r="X238" s="140">
        <f>Mitigation_Industry!$F$713*X$221+Mitigation_Industry!$G$713*X$220</f>
        <v>0</v>
      </c>
      <c r="Y238" s="140">
        <f>Mitigation_Industry!$F$713*Y$221+Mitigation_Industry!$G$713*Y$220</f>
        <v>0</v>
      </c>
      <c r="Z238" s="140">
        <f>Mitigation_Industry!$F$713*Z$221+Mitigation_Industry!$G$713*Z$220</f>
        <v>0</v>
      </c>
      <c r="AA238" s="140">
        <f>Mitigation_Industry!$F$713*AA$221+Mitigation_Industry!$G$713*AA$220</f>
        <v>0</v>
      </c>
      <c r="AB238" s="140">
        <f>Mitigation_Industry!$F$713*AB$221+Mitigation_Industry!$G$713*AB$220</f>
        <v>0</v>
      </c>
      <c r="AC238" s="140">
        <f>Mitigation_Industry!$F$713*AC$221+Mitigation_Industry!$G$713*AC$220</f>
        <v>0</v>
      </c>
      <c r="AD238" s="140">
        <f>Mitigation_Industry!$F$713*AD$221+Mitigation_Industry!$G$713*AD$220</f>
        <v>0</v>
      </c>
      <c r="AE238" s="140">
        <f>Mitigation_Industry!$F$713*AE$221+Mitigation_Industry!$G$713*AE$220</f>
        <v>0</v>
      </c>
      <c r="AF238" s="141"/>
      <c r="AG238" s="141"/>
      <c r="AH238" s="141"/>
      <c r="AI238" s="141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8" t="str">
        <f>Settings!$B$3&amp;".mit.pp.frt.ure.np.2"</f>
        <v>egy.mit.pp.frt.ure.np.2</v>
      </c>
      <c r="K239" s="139"/>
      <c r="L239" s="140">
        <f>Mitigation_Industry!$F$714*L$221+Mitigation_Industry!$G$714*L$220</f>
        <v>0</v>
      </c>
      <c r="M239" s="140">
        <f>Mitigation_Industry!$F$714*M$221+Mitigation_Industry!$G$714*M$220</f>
        <v>0</v>
      </c>
      <c r="N239" s="140">
        <f>Mitigation_Industry!$F$714*N$221+Mitigation_Industry!$G$714*N$220</f>
        <v>0</v>
      </c>
      <c r="O239" s="140">
        <f>Mitigation_Industry!$F$714*O$221+Mitigation_Industry!$G$714*O$220</f>
        <v>0</v>
      </c>
      <c r="P239" s="140">
        <f>Mitigation_Industry!$F$714*P$221+Mitigation_Industry!$G$714*P$220</f>
        <v>0</v>
      </c>
      <c r="Q239" s="140">
        <f>Mitigation_Industry!$F$714*Q$221+Mitigation_Industry!$G$714*Q$220</f>
        <v>0</v>
      </c>
      <c r="R239" s="140">
        <f>Mitigation_Industry!$F$714*R$221+Mitigation_Industry!$G$714*R$220</f>
        <v>0</v>
      </c>
      <c r="S239" s="140">
        <f>Mitigation_Industry!$F$714*S$221+Mitigation_Industry!$G$714*S$220</f>
        <v>0</v>
      </c>
      <c r="T239" s="140">
        <f>Mitigation_Industry!$F$714*T$221+Mitigation_Industry!$G$714*T$220</f>
        <v>0</v>
      </c>
      <c r="U239" s="140">
        <f>Mitigation_Industry!$F$714*U$221+Mitigation_Industry!$G$714*U$220</f>
        <v>0</v>
      </c>
      <c r="V239" s="140">
        <f>Mitigation_Industry!$F$714*V$221+Mitigation_Industry!$G$714*V$220</f>
        <v>0</v>
      </c>
      <c r="W239" s="140">
        <f>Mitigation_Industry!$F$714*W$221+Mitigation_Industry!$G$714*W$220</f>
        <v>0</v>
      </c>
      <c r="X239" s="140">
        <f>Mitigation_Industry!$F$714*X$221+Mitigation_Industry!$G$714*X$220</f>
        <v>0</v>
      </c>
      <c r="Y239" s="140">
        <f>Mitigation_Industry!$F$714*Y$221+Mitigation_Industry!$G$714*Y$220</f>
        <v>0</v>
      </c>
      <c r="Z239" s="140">
        <f>Mitigation_Industry!$F$714*Z$221+Mitigation_Industry!$G$714*Z$220</f>
        <v>0</v>
      </c>
      <c r="AA239" s="140">
        <f>Mitigation_Industry!$F$714*AA$221+Mitigation_Industry!$G$714*AA$220</f>
        <v>0</v>
      </c>
      <c r="AB239" s="140">
        <f>Mitigation_Industry!$F$714*AB$221+Mitigation_Industry!$G$714*AB$220</f>
        <v>0</v>
      </c>
      <c r="AC239" s="140">
        <f>Mitigation_Industry!$F$714*AC$221+Mitigation_Industry!$G$714*AC$220</f>
        <v>0</v>
      </c>
      <c r="AD239" s="140">
        <f>Mitigation_Industry!$F$714*AD$221+Mitigation_Industry!$G$714*AD$220</f>
        <v>0</v>
      </c>
      <c r="AE239" s="140">
        <f>Mitigation_Industry!$F$714*AE$221+Mitigation_Industry!$G$714*AE$220</f>
        <v>0</v>
      </c>
      <c r="AF239" s="141"/>
      <c r="AG239" s="141"/>
      <c r="AH239" s="141"/>
      <c r="AI239" s="141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8" t="str">
        <f>Settings!$B$3&amp;".mit.pp.frt.nit.np.2"</f>
        <v>egy.mit.pp.frt.nit.np.2</v>
      </c>
      <c r="K240" s="139"/>
      <c r="L240" s="140">
        <f>Mitigation_Industry!$F$715*L$221+Mitigation_Industry!$G$715*L$220</f>
        <v>0</v>
      </c>
      <c r="M240" s="140">
        <f>Mitigation_Industry!$F$715*M$221+Mitigation_Industry!$G$715*M$220</f>
        <v>0</v>
      </c>
      <c r="N240" s="140">
        <f>Mitigation_Industry!$F$715*N$221+Mitigation_Industry!$G$715*N$220</f>
        <v>0</v>
      </c>
      <c r="O240" s="140">
        <f>Mitigation_Industry!$F$715*O$221+Mitigation_Industry!$G$715*O$220</f>
        <v>0</v>
      </c>
      <c r="P240" s="140">
        <f>Mitigation_Industry!$F$715*P$221+Mitigation_Industry!$G$715*P$220</f>
        <v>0</v>
      </c>
      <c r="Q240" s="140">
        <f>Mitigation_Industry!$F$715*Q$221+Mitigation_Industry!$G$715*Q$220</f>
        <v>0</v>
      </c>
      <c r="R240" s="140">
        <f>Mitigation_Industry!$F$715*R$221+Mitigation_Industry!$G$715*R$220</f>
        <v>0</v>
      </c>
      <c r="S240" s="140">
        <f>Mitigation_Industry!$F$715*S$221+Mitigation_Industry!$G$715*S$220</f>
        <v>0</v>
      </c>
      <c r="T240" s="140">
        <f>Mitigation_Industry!$F$715*T$221+Mitigation_Industry!$G$715*T$220</f>
        <v>0</v>
      </c>
      <c r="U240" s="140">
        <f>Mitigation_Industry!$F$715*U$221+Mitigation_Industry!$G$715*U$220</f>
        <v>0</v>
      </c>
      <c r="V240" s="140">
        <f>Mitigation_Industry!$F$715*V$221+Mitigation_Industry!$G$715*V$220</f>
        <v>0</v>
      </c>
      <c r="W240" s="140">
        <f>Mitigation_Industry!$F$715*W$221+Mitigation_Industry!$G$715*W$220</f>
        <v>0</v>
      </c>
      <c r="X240" s="140">
        <f>Mitigation_Industry!$F$715*X$221+Mitigation_Industry!$G$715*X$220</f>
        <v>0</v>
      </c>
      <c r="Y240" s="140">
        <f>Mitigation_Industry!$F$715*Y$221+Mitigation_Industry!$G$715*Y$220</f>
        <v>0</v>
      </c>
      <c r="Z240" s="140">
        <f>Mitigation_Industry!$F$715*Z$221+Mitigation_Industry!$G$715*Z$220</f>
        <v>0</v>
      </c>
      <c r="AA240" s="140">
        <f>Mitigation_Industry!$F$715*AA$221+Mitigation_Industry!$G$715*AA$220</f>
        <v>0</v>
      </c>
      <c r="AB240" s="140">
        <f>Mitigation_Industry!$F$715*AB$221+Mitigation_Industry!$G$715*AB$220</f>
        <v>0</v>
      </c>
      <c r="AC240" s="140">
        <f>Mitigation_Industry!$F$715*AC$221+Mitigation_Industry!$G$715*AC$220</f>
        <v>0</v>
      </c>
      <c r="AD240" s="140">
        <f>Mitigation_Industry!$F$715*AD$221+Mitigation_Industry!$G$715*AD$220</f>
        <v>0</v>
      </c>
      <c r="AE240" s="140">
        <f>Mitigation_Industry!$F$715*AE$221+Mitigation_Industry!$G$715*AE$220</f>
        <v>0</v>
      </c>
      <c r="AF240" s="141"/>
      <c r="AG240" s="141"/>
      <c r="AH240" s="141"/>
      <c r="AI240" s="141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8" t="str">
        <f>Settings!$B$3&amp;".mit.pp.alu.prp.np.2"</f>
        <v>egy.mit.pp.alu.prp.np.2</v>
      </c>
      <c r="K241" s="139"/>
      <c r="L241" s="140">
        <f>Mitigation_Industry!$F$716*L$221+Mitigation_Industry!$G$716*L$220</f>
        <v>0</v>
      </c>
      <c r="M241" s="140">
        <f>Mitigation_Industry!$F$716*M$221+Mitigation_Industry!$G$716*M$220</f>
        <v>0</v>
      </c>
      <c r="N241" s="140">
        <f>Mitigation_Industry!$F$716*N$221+Mitigation_Industry!$G$716*N$220</f>
        <v>0</v>
      </c>
      <c r="O241" s="140">
        <f>Mitigation_Industry!$F$716*O$221+Mitigation_Industry!$G$716*O$220</f>
        <v>0</v>
      </c>
      <c r="P241" s="140">
        <f>Mitigation_Industry!$F$716*P$221+Mitigation_Industry!$G$716*P$220</f>
        <v>0</v>
      </c>
      <c r="Q241" s="140">
        <f>Mitigation_Industry!$F$716*Q$221+Mitigation_Industry!$G$716*Q$220</f>
        <v>0</v>
      </c>
      <c r="R241" s="140">
        <f>Mitigation_Industry!$F$716*R$221+Mitigation_Industry!$G$716*R$220</f>
        <v>0</v>
      </c>
      <c r="S241" s="140">
        <f>Mitigation_Industry!$F$716*S$221+Mitigation_Industry!$G$716*S$220</f>
        <v>0</v>
      </c>
      <c r="T241" s="140">
        <f>Mitigation_Industry!$F$716*T$221+Mitigation_Industry!$G$716*T$220</f>
        <v>0</v>
      </c>
      <c r="U241" s="140">
        <f>Mitigation_Industry!$F$716*U$221+Mitigation_Industry!$G$716*U$220</f>
        <v>0</v>
      </c>
      <c r="V241" s="140">
        <f>Mitigation_Industry!$F$716*V$221+Mitigation_Industry!$G$716*V$220</f>
        <v>0</v>
      </c>
      <c r="W241" s="140">
        <f>Mitigation_Industry!$F$716*W$221+Mitigation_Industry!$G$716*W$220</f>
        <v>0</v>
      </c>
      <c r="X241" s="140">
        <f>Mitigation_Industry!$F$716*X$221+Mitigation_Industry!$G$716*X$220</f>
        <v>0</v>
      </c>
      <c r="Y241" s="140">
        <f>Mitigation_Industry!$F$716*Y$221+Mitigation_Industry!$G$716*Y$220</f>
        <v>0</v>
      </c>
      <c r="Z241" s="140">
        <f>Mitigation_Industry!$F$716*Z$221+Mitigation_Industry!$G$716*Z$220</f>
        <v>0</v>
      </c>
      <c r="AA241" s="140">
        <f>Mitigation_Industry!$F$716*AA$221+Mitigation_Industry!$G$716*AA$220</f>
        <v>0</v>
      </c>
      <c r="AB241" s="140">
        <f>Mitigation_Industry!$F$716*AB$221+Mitigation_Industry!$G$716*AB$220</f>
        <v>0</v>
      </c>
      <c r="AC241" s="140">
        <f>Mitigation_Industry!$F$716*AC$221+Mitigation_Industry!$G$716*AC$220</f>
        <v>0</v>
      </c>
      <c r="AD241" s="140">
        <f>Mitigation_Industry!$F$716*AD$221+Mitigation_Industry!$G$716*AD$220</f>
        <v>0</v>
      </c>
      <c r="AE241" s="140">
        <f>Mitigation_Industry!$F$716*AE$221+Mitigation_Industry!$G$716*AE$220</f>
        <v>0</v>
      </c>
      <c r="AF241" s="141"/>
      <c r="AG241" s="141"/>
      <c r="AH241" s="141"/>
      <c r="AI241" s="141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8" t="str">
        <f>Settings!$B$3&amp;".mit.pp.stl.drg.no.2"</f>
        <v>egy.mit.pp.stl.drg.no.2</v>
      </c>
      <c r="K242" s="139"/>
      <c r="L242" s="140">
        <f>Mitigation_Industry!$F$709*L$221+Mitigation_Industry!$G$709*L$220</f>
        <v>0</v>
      </c>
      <c r="M242" s="140">
        <f>Mitigation_Industry!$F$709*M$221+Mitigation_Industry!$G$709*M$220</f>
        <v>0</v>
      </c>
      <c r="N242" s="140">
        <f>Mitigation_Industry!$F$709*N$221+Mitigation_Industry!$G$709*N$220</f>
        <v>0</v>
      </c>
      <c r="O242" s="140">
        <f>Mitigation_Industry!$F$709*O$221+Mitigation_Industry!$G$709*O$220</f>
        <v>0</v>
      </c>
      <c r="P242" s="140">
        <f>Mitigation_Industry!$F$709*P$221+Mitigation_Industry!$G$709*P$220</f>
        <v>0</v>
      </c>
      <c r="Q242" s="140">
        <f>Mitigation_Industry!$F$709*Q$221+Mitigation_Industry!$G$709*Q$220</f>
        <v>0</v>
      </c>
      <c r="R242" s="140">
        <f>Mitigation_Industry!$F$709*R$221+Mitigation_Industry!$G$709*R$220</f>
        <v>0</v>
      </c>
      <c r="S242" s="140">
        <f>Mitigation_Industry!$F$709*S$221+Mitigation_Industry!$G$709*S$220</f>
        <v>0</v>
      </c>
      <c r="T242" s="140">
        <f>Mitigation_Industry!$F$709*T$221+Mitigation_Industry!$G$709*T$220</f>
        <v>0</v>
      </c>
      <c r="U242" s="140">
        <f>Mitigation_Industry!$F$709*U$221+Mitigation_Industry!$G$709*U$220</f>
        <v>0</v>
      </c>
      <c r="V242" s="140">
        <f>Mitigation_Industry!$F$709*V$221+Mitigation_Industry!$G$709*V$220</f>
        <v>0</v>
      </c>
      <c r="W242" s="140">
        <f>Mitigation_Industry!$F$709*W$221+Mitigation_Industry!$G$709*W$220</f>
        <v>0</v>
      </c>
      <c r="X242" s="140">
        <f>Mitigation_Industry!$F$709*X$221+Mitigation_Industry!$G$709*X$220</f>
        <v>0</v>
      </c>
      <c r="Y242" s="140">
        <f>Mitigation_Industry!$F$709*Y$221+Mitigation_Industry!$G$709*Y$220</f>
        <v>0</v>
      </c>
      <c r="Z242" s="140">
        <f>Mitigation_Industry!$F$709*Z$221+Mitigation_Industry!$G$709*Z$220</f>
        <v>0</v>
      </c>
      <c r="AA242" s="140">
        <f>Mitigation_Industry!$F$709*AA$221+Mitigation_Industry!$G$709*AA$220</f>
        <v>0</v>
      </c>
      <c r="AB242" s="140">
        <f>Mitigation_Industry!$F$709*AB$221+Mitigation_Industry!$G$709*AB$220</f>
        <v>0</v>
      </c>
      <c r="AC242" s="140">
        <f>Mitigation_Industry!$F$709*AC$221+Mitigation_Industry!$G$709*AC$220</f>
        <v>0</v>
      </c>
      <c r="AD242" s="140">
        <f>Mitigation_Industry!$F$709*AD$221+Mitigation_Industry!$G$709*AD$220</f>
        <v>0</v>
      </c>
      <c r="AE242" s="140">
        <f>Mitigation_Industry!$F$709*AE$221+Mitigation_Industry!$G$709*AE$220</f>
        <v>0</v>
      </c>
      <c r="AF242" s="141"/>
      <c r="AG242" s="141"/>
      <c r="AH242" s="141"/>
      <c r="AI242" s="141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8" t="str">
        <f>Settings!$B$3&amp;".mit.pp.stl.scr.no.2"</f>
        <v>egy.mit.pp.stl.scr.no.2</v>
      </c>
      <c r="K243" s="139"/>
      <c r="L243" s="140">
        <f>Mitigation_Industry!$F$710*L$221+Mitigation_Industry!$G$710*L$220</f>
        <v>0</v>
      </c>
      <c r="M243" s="140">
        <f>Mitigation_Industry!$F$710*M$221+Mitigation_Industry!$G$710*M$220</f>
        <v>0</v>
      </c>
      <c r="N243" s="140">
        <f>Mitigation_Industry!$F$710*N$221+Mitigation_Industry!$G$710*N$220</f>
        <v>0</v>
      </c>
      <c r="O243" s="140">
        <f>Mitigation_Industry!$F$710*O$221+Mitigation_Industry!$G$710*O$220</f>
        <v>0</v>
      </c>
      <c r="P243" s="140">
        <f>Mitigation_Industry!$F$710*P$221+Mitigation_Industry!$G$710*P$220</f>
        <v>0</v>
      </c>
      <c r="Q243" s="140">
        <f>Mitigation_Industry!$F$710*Q$221+Mitigation_Industry!$G$710*Q$220</f>
        <v>0</v>
      </c>
      <c r="R243" s="140">
        <f>Mitigation_Industry!$F$710*R$221+Mitigation_Industry!$G$710*R$220</f>
        <v>0</v>
      </c>
      <c r="S243" s="140">
        <f>Mitigation_Industry!$F$710*S$221+Mitigation_Industry!$G$710*S$220</f>
        <v>0</v>
      </c>
      <c r="T243" s="140">
        <f>Mitigation_Industry!$F$710*T$221+Mitigation_Industry!$G$710*T$220</f>
        <v>0</v>
      </c>
      <c r="U243" s="140">
        <f>Mitigation_Industry!$F$710*U$221+Mitigation_Industry!$G$710*U$220</f>
        <v>0</v>
      </c>
      <c r="V243" s="140">
        <f>Mitigation_Industry!$F$710*V$221+Mitigation_Industry!$G$710*V$220</f>
        <v>0</v>
      </c>
      <c r="W243" s="140">
        <f>Mitigation_Industry!$F$710*W$221+Mitigation_Industry!$G$710*W$220</f>
        <v>0</v>
      </c>
      <c r="X243" s="140">
        <f>Mitigation_Industry!$F$710*X$221+Mitigation_Industry!$G$710*X$220</f>
        <v>0</v>
      </c>
      <c r="Y243" s="140">
        <f>Mitigation_Industry!$F$710*Y$221+Mitigation_Industry!$G$710*Y$220</f>
        <v>0</v>
      </c>
      <c r="Z243" s="140">
        <f>Mitigation_Industry!$F$710*Z$221+Mitigation_Industry!$G$710*Z$220</f>
        <v>0</v>
      </c>
      <c r="AA243" s="140">
        <f>Mitigation_Industry!$F$710*AA$221+Mitigation_Industry!$G$710*AA$220</f>
        <v>0</v>
      </c>
      <c r="AB243" s="140">
        <f>Mitigation_Industry!$F$710*AB$221+Mitigation_Industry!$G$710*AB$220</f>
        <v>0</v>
      </c>
      <c r="AC243" s="140">
        <f>Mitigation_Industry!$F$710*AC$221+Mitigation_Industry!$G$710*AC$220</f>
        <v>0</v>
      </c>
      <c r="AD243" s="140">
        <f>Mitigation_Industry!$F$710*AD$221+Mitigation_Industry!$G$710*AD$220</f>
        <v>0</v>
      </c>
      <c r="AE243" s="140">
        <f>Mitigation_Industry!$F$710*AE$221+Mitigation_Industry!$G$710*AE$220</f>
        <v>0</v>
      </c>
      <c r="AF243" s="141"/>
      <c r="AG243" s="141"/>
      <c r="AH243" s="141"/>
      <c r="AI243" s="141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8" t="str">
        <f>Settings!$B$3&amp;".mit.pp.stl.bof.no.2"</f>
        <v>egy.mit.pp.stl.bof.no.2</v>
      </c>
      <c r="K244" s="139"/>
      <c r="L244" s="140">
        <f>Mitigation_Industry!$F$711*L$221+Mitigation_Industry!$G$711*L$220</f>
        <v>0</v>
      </c>
      <c r="M244" s="140">
        <f>Mitigation_Industry!$F$711*M$221+Mitigation_Industry!$G$711*M$220</f>
        <v>0</v>
      </c>
      <c r="N244" s="140">
        <f>Mitigation_Industry!$F$711*N$221+Mitigation_Industry!$G$711*N$220</f>
        <v>0</v>
      </c>
      <c r="O244" s="140">
        <f>Mitigation_Industry!$F$711*O$221+Mitigation_Industry!$G$711*O$220</f>
        <v>0</v>
      </c>
      <c r="P244" s="140">
        <f>Mitigation_Industry!$F$711*P$221+Mitigation_Industry!$G$711*P$220</f>
        <v>0</v>
      </c>
      <c r="Q244" s="140">
        <f>Mitigation_Industry!$F$711*Q$221+Mitigation_Industry!$G$711*Q$220</f>
        <v>0</v>
      </c>
      <c r="R244" s="140">
        <f>Mitigation_Industry!$F$711*R$221+Mitigation_Industry!$G$711*R$220</f>
        <v>0</v>
      </c>
      <c r="S244" s="140">
        <f>Mitigation_Industry!$F$711*S$221+Mitigation_Industry!$G$711*S$220</f>
        <v>0</v>
      </c>
      <c r="T244" s="140">
        <f>Mitigation_Industry!$F$711*T$221+Mitigation_Industry!$G$711*T$220</f>
        <v>0</v>
      </c>
      <c r="U244" s="140">
        <f>Mitigation_Industry!$F$711*U$221+Mitigation_Industry!$G$711*U$220</f>
        <v>0</v>
      </c>
      <c r="V244" s="140">
        <f>Mitigation_Industry!$F$711*V$221+Mitigation_Industry!$G$711*V$220</f>
        <v>0</v>
      </c>
      <c r="W244" s="140">
        <f>Mitigation_Industry!$F$711*W$221+Mitigation_Industry!$G$711*W$220</f>
        <v>0</v>
      </c>
      <c r="X244" s="140">
        <f>Mitigation_Industry!$F$711*X$221+Mitigation_Industry!$G$711*X$220</f>
        <v>0</v>
      </c>
      <c r="Y244" s="140">
        <f>Mitigation_Industry!$F$711*Y$221+Mitigation_Industry!$G$711*Y$220</f>
        <v>0</v>
      </c>
      <c r="Z244" s="140">
        <f>Mitigation_Industry!$F$711*Z$221+Mitigation_Industry!$G$711*Z$220</f>
        <v>0</v>
      </c>
      <c r="AA244" s="140">
        <f>Mitigation_Industry!$F$711*AA$221+Mitigation_Industry!$G$711*AA$220</f>
        <v>0</v>
      </c>
      <c r="AB244" s="140">
        <f>Mitigation_Industry!$F$711*AB$221+Mitigation_Industry!$G$711*AB$220</f>
        <v>0</v>
      </c>
      <c r="AC244" s="140">
        <f>Mitigation_Industry!$F$711*AC$221+Mitigation_Industry!$G$711*AC$220</f>
        <v>0</v>
      </c>
      <c r="AD244" s="140">
        <f>Mitigation_Industry!$F$711*AD$221+Mitigation_Industry!$G$711*AD$220</f>
        <v>0</v>
      </c>
      <c r="AE244" s="140">
        <f>Mitigation_Industry!$F$711*AE$221+Mitigation_Industry!$G$711*AE$220</f>
        <v>0</v>
      </c>
      <c r="AF244" s="141"/>
      <c r="AG244" s="141"/>
      <c r="AH244" s="141"/>
      <c r="AI244" s="141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8" t="str">
        <f>Settings!$B$3&amp;".mit.pp.cmt.dry.no.2"</f>
        <v>egy.mit.pp.cmt.dry.no.2</v>
      </c>
      <c r="K245" s="139"/>
      <c r="L245" s="140">
        <f>Mitigation_Industry!$F$712*L$221+Mitigation_Industry!$G$712*L$220</f>
        <v>0</v>
      </c>
      <c r="M245" s="140">
        <f>Mitigation_Industry!$F$712*M$221+Mitigation_Industry!$G$712*M$220</f>
        <v>0</v>
      </c>
      <c r="N245" s="140">
        <f>Mitigation_Industry!$F$712*N$221+Mitigation_Industry!$G$712*N$220</f>
        <v>0</v>
      </c>
      <c r="O245" s="140">
        <f>Mitigation_Industry!$F$712*O$221+Mitigation_Industry!$G$712*O$220</f>
        <v>0</v>
      </c>
      <c r="P245" s="140">
        <f>Mitigation_Industry!$F$712*P$221+Mitigation_Industry!$G$712*P$220</f>
        <v>0</v>
      </c>
      <c r="Q245" s="140">
        <f>Mitigation_Industry!$F$712*Q$221+Mitigation_Industry!$G$712*Q$220</f>
        <v>0</v>
      </c>
      <c r="R245" s="140">
        <f>Mitigation_Industry!$F$712*R$221+Mitigation_Industry!$G$712*R$220</f>
        <v>0</v>
      </c>
      <c r="S245" s="140">
        <f>Mitigation_Industry!$F$712*S$221+Mitigation_Industry!$G$712*S$220</f>
        <v>0</v>
      </c>
      <c r="T245" s="140">
        <f>Mitigation_Industry!$F$712*T$221+Mitigation_Industry!$G$712*T$220</f>
        <v>0</v>
      </c>
      <c r="U245" s="140">
        <f>Mitigation_Industry!$F$712*U$221+Mitigation_Industry!$G$712*U$220</f>
        <v>0</v>
      </c>
      <c r="V245" s="140">
        <f>Mitigation_Industry!$F$712*V$221+Mitigation_Industry!$G$712*V$220</f>
        <v>0</v>
      </c>
      <c r="W245" s="140">
        <f>Mitigation_Industry!$F$712*W$221+Mitigation_Industry!$G$712*W$220</f>
        <v>0</v>
      </c>
      <c r="X245" s="140">
        <f>Mitigation_Industry!$F$712*X$221+Mitigation_Industry!$G$712*X$220</f>
        <v>0</v>
      </c>
      <c r="Y245" s="140">
        <f>Mitigation_Industry!$F$712*Y$221+Mitigation_Industry!$G$712*Y$220</f>
        <v>0</v>
      </c>
      <c r="Z245" s="140">
        <f>Mitigation_Industry!$F$712*Z$221+Mitigation_Industry!$G$712*Z$220</f>
        <v>0</v>
      </c>
      <c r="AA245" s="140">
        <f>Mitigation_Industry!$F$712*AA$221+Mitigation_Industry!$G$712*AA$220</f>
        <v>0</v>
      </c>
      <c r="AB245" s="140">
        <f>Mitigation_Industry!$F$712*AB$221+Mitigation_Industry!$G$712*AB$220</f>
        <v>0</v>
      </c>
      <c r="AC245" s="140">
        <f>Mitigation_Industry!$F$712*AC$221+Mitigation_Industry!$G$712*AC$220</f>
        <v>0</v>
      </c>
      <c r="AD245" s="140">
        <f>Mitigation_Industry!$F$712*AD$221+Mitigation_Industry!$G$712*AD$220</f>
        <v>0</v>
      </c>
      <c r="AE245" s="140">
        <f>Mitigation_Industry!$F$712*AE$221+Mitigation_Industry!$G$712*AE$220</f>
        <v>0</v>
      </c>
      <c r="AF245" s="141"/>
      <c r="AG245" s="141"/>
      <c r="AH245" s="141"/>
      <c r="AI245" s="141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8" t="str">
        <f>Settings!$B$3&amp;".mit.pp.frt.amc.no.2"</f>
        <v>egy.mit.pp.frt.amc.no.2</v>
      </c>
      <c r="K246" s="139"/>
      <c r="L246" s="140">
        <f>Mitigation_Industry!$F$713*L$221+Mitigation_Industry!$G$713*L$220</f>
        <v>0</v>
      </c>
      <c r="M246" s="140">
        <f>Mitigation_Industry!$F$713*M$221+Mitigation_Industry!$G$713*M$220</f>
        <v>0</v>
      </c>
      <c r="N246" s="140">
        <f>Mitigation_Industry!$F$713*N$221+Mitigation_Industry!$G$713*N$220</f>
        <v>0</v>
      </c>
      <c r="O246" s="140">
        <f>Mitigation_Industry!$F$713*O$221+Mitigation_Industry!$G$713*O$220</f>
        <v>0</v>
      </c>
      <c r="P246" s="140">
        <f>Mitigation_Industry!$F$713*P$221+Mitigation_Industry!$G$713*P$220</f>
        <v>0</v>
      </c>
      <c r="Q246" s="140">
        <f>Mitigation_Industry!$F$713*Q$221+Mitigation_Industry!$G$713*Q$220</f>
        <v>0</v>
      </c>
      <c r="R246" s="140">
        <f>Mitigation_Industry!$F$713*R$221+Mitigation_Industry!$G$713*R$220</f>
        <v>0</v>
      </c>
      <c r="S246" s="140">
        <f>Mitigation_Industry!$F$713*S$221+Mitigation_Industry!$G$713*S$220</f>
        <v>0</v>
      </c>
      <c r="T246" s="140">
        <f>Mitigation_Industry!$F$713*T$221+Mitigation_Industry!$G$713*T$220</f>
        <v>0</v>
      </c>
      <c r="U246" s="140">
        <f>Mitigation_Industry!$F$713*U$221+Mitigation_Industry!$G$713*U$220</f>
        <v>0</v>
      </c>
      <c r="V246" s="140">
        <f>Mitigation_Industry!$F$713*V$221+Mitigation_Industry!$G$713*V$220</f>
        <v>0</v>
      </c>
      <c r="W246" s="140">
        <f>Mitigation_Industry!$F$713*W$221+Mitigation_Industry!$G$713*W$220</f>
        <v>0</v>
      </c>
      <c r="X246" s="140">
        <f>Mitigation_Industry!$F$713*X$221+Mitigation_Industry!$G$713*X$220</f>
        <v>0</v>
      </c>
      <c r="Y246" s="140">
        <f>Mitigation_Industry!$F$713*Y$221+Mitigation_Industry!$G$713*Y$220</f>
        <v>0</v>
      </c>
      <c r="Z246" s="140">
        <f>Mitigation_Industry!$F$713*Z$221+Mitigation_Industry!$G$713*Z$220</f>
        <v>0</v>
      </c>
      <c r="AA246" s="140">
        <f>Mitigation_Industry!$F$713*AA$221+Mitigation_Industry!$G$713*AA$220</f>
        <v>0</v>
      </c>
      <c r="AB246" s="140">
        <f>Mitigation_Industry!$F$713*AB$221+Mitigation_Industry!$G$713*AB$220</f>
        <v>0</v>
      </c>
      <c r="AC246" s="140">
        <f>Mitigation_Industry!$F$713*AC$221+Mitigation_Industry!$G$713*AC$220</f>
        <v>0</v>
      </c>
      <c r="AD246" s="140">
        <f>Mitigation_Industry!$F$713*AD$221+Mitigation_Industry!$G$713*AD$220</f>
        <v>0</v>
      </c>
      <c r="AE246" s="140">
        <f>Mitigation_Industry!$F$713*AE$221+Mitigation_Industry!$G$713*AE$220</f>
        <v>0</v>
      </c>
      <c r="AF246" s="141"/>
      <c r="AG246" s="141"/>
      <c r="AH246" s="141"/>
      <c r="AI246" s="141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8" t="str">
        <f>Settings!$B$3&amp;".mit.pp.frt.ure.no.2"</f>
        <v>egy.mit.pp.frt.ure.no.2</v>
      </c>
      <c r="K247" s="139"/>
      <c r="L247" s="140">
        <f>Mitigation_Industry!$F$714*L$221+Mitigation_Industry!$G$714*L$220</f>
        <v>0</v>
      </c>
      <c r="M247" s="140">
        <f>Mitigation_Industry!$F$714*M$221+Mitigation_Industry!$G$714*M$220</f>
        <v>0</v>
      </c>
      <c r="N247" s="140">
        <f>Mitigation_Industry!$F$714*N$221+Mitigation_Industry!$G$714*N$220</f>
        <v>0</v>
      </c>
      <c r="O247" s="140">
        <f>Mitigation_Industry!$F$714*O$221+Mitigation_Industry!$G$714*O$220</f>
        <v>0</v>
      </c>
      <c r="P247" s="140">
        <f>Mitigation_Industry!$F$714*P$221+Mitigation_Industry!$G$714*P$220</f>
        <v>0</v>
      </c>
      <c r="Q247" s="140">
        <f>Mitigation_Industry!$F$714*Q$221+Mitigation_Industry!$G$714*Q$220</f>
        <v>0</v>
      </c>
      <c r="R247" s="140">
        <f>Mitigation_Industry!$F$714*R$221+Mitigation_Industry!$G$714*R$220</f>
        <v>0</v>
      </c>
      <c r="S247" s="140">
        <f>Mitigation_Industry!$F$714*S$221+Mitigation_Industry!$G$714*S$220</f>
        <v>0</v>
      </c>
      <c r="T247" s="140">
        <f>Mitigation_Industry!$F$714*T$221+Mitigation_Industry!$G$714*T$220</f>
        <v>0</v>
      </c>
      <c r="U247" s="140">
        <f>Mitigation_Industry!$F$714*U$221+Mitigation_Industry!$G$714*U$220</f>
        <v>0</v>
      </c>
      <c r="V247" s="140">
        <f>Mitigation_Industry!$F$714*V$221+Mitigation_Industry!$G$714*V$220</f>
        <v>0</v>
      </c>
      <c r="W247" s="140">
        <f>Mitigation_Industry!$F$714*W$221+Mitigation_Industry!$G$714*W$220</f>
        <v>0</v>
      </c>
      <c r="X247" s="140">
        <f>Mitigation_Industry!$F$714*X$221+Mitigation_Industry!$G$714*X$220</f>
        <v>0</v>
      </c>
      <c r="Y247" s="140">
        <f>Mitigation_Industry!$F$714*Y$221+Mitigation_Industry!$G$714*Y$220</f>
        <v>0</v>
      </c>
      <c r="Z247" s="140">
        <f>Mitigation_Industry!$F$714*Z$221+Mitigation_Industry!$G$714*Z$220</f>
        <v>0</v>
      </c>
      <c r="AA247" s="140">
        <f>Mitigation_Industry!$F$714*AA$221+Mitigation_Industry!$G$714*AA$220</f>
        <v>0</v>
      </c>
      <c r="AB247" s="140">
        <f>Mitigation_Industry!$F$714*AB$221+Mitigation_Industry!$G$714*AB$220</f>
        <v>0</v>
      </c>
      <c r="AC247" s="140">
        <f>Mitigation_Industry!$F$714*AC$221+Mitigation_Industry!$G$714*AC$220</f>
        <v>0</v>
      </c>
      <c r="AD247" s="140">
        <f>Mitigation_Industry!$F$714*AD$221+Mitigation_Industry!$G$714*AD$220</f>
        <v>0</v>
      </c>
      <c r="AE247" s="140">
        <f>Mitigation_Industry!$F$714*AE$221+Mitigation_Industry!$G$714*AE$220</f>
        <v>0</v>
      </c>
      <c r="AF247" s="141"/>
      <c r="AG247" s="141"/>
      <c r="AH247" s="141"/>
      <c r="AI247" s="141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8" t="str">
        <f>Settings!$B$3&amp;".mit.pp.frt.nit.no.2"</f>
        <v>egy.mit.pp.frt.nit.no.2</v>
      </c>
      <c r="K248" s="139"/>
      <c r="L248" s="140">
        <f>Mitigation_Industry!$F$715*L$221+Mitigation_Industry!$G$715*L$220</f>
        <v>0</v>
      </c>
      <c r="M248" s="140">
        <f>Mitigation_Industry!$F$715*M$221+Mitigation_Industry!$G$715*M$220</f>
        <v>0</v>
      </c>
      <c r="N248" s="140">
        <f>Mitigation_Industry!$F$715*N$221+Mitigation_Industry!$G$715*N$220</f>
        <v>0</v>
      </c>
      <c r="O248" s="140">
        <f>Mitigation_Industry!$F$715*O$221+Mitigation_Industry!$G$715*O$220</f>
        <v>0</v>
      </c>
      <c r="P248" s="140">
        <f>Mitigation_Industry!$F$715*P$221+Mitigation_Industry!$G$715*P$220</f>
        <v>0</v>
      </c>
      <c r="Q248" s="140">
        <f>Mitigation_Industry!$F$715*Q$221+Mitigation_Industry!$G$715*Q$220</f>
        <v>0</v>
      </c>
      <c r="R248" s="140">
        <f>Mitigation_Industry!$F$715*R$221+Mitigation_Industry!$G$715*R$220</f>
        <v>0</v>
      </c>
      <c r="S248" s="140">
        <f>Mitigation_Industry!$F$715*S$221+Mitigation_Industry!$G$715*S$220</f>
        <v>0</v>
      </c>
      <c r="T248" s="140">
        <f>Mitigation_Industry!$F$715*T$221+Mitigation_Industry!$G$715*T$220</f>
        <v>0</v>
      </c>
      <c r="U248" s="140">
        <f>Mitigation_Industry!$F$715*U$221+Mitigation_Industry!$G$715*U$220</f>
        <v>0</v>
      </c>
      <c r="V248" s="140">
        <f>Mitigation_Industry!$F$715*V$221+Mitigation_Industry!$G$715*V$220</f>
        <v>0</v>
      </c>
      <c r="W248" s="140">
        <f>Mitigation_Industry!$F$715*W$221+Mitigation_Industry!$G$715*W$220</f>
        <v>0</v>
      </c>
      <c r="X248" s="140">
        <f>Mitigation_Industry!$F$715*X$221+Mitigation_Industry!$G$715*X$220</f>
        <v>0</v>
      </c>
      <c r="Y248" s="140">
        <f>Mitigation_Industry!$F$715*Y$221+Mitigation_Industry!$G$715*Y$220</f>
        <v>0</v>
      </c>
      <c r="Z248" s="140">
        <f>Mitigation_Industry!$F$715*Z$221+Mitigation_Industry!$G$715*Z$220</f>
        <v>0</v>
      </c>
      <c r="AA248" s="140">
        <f>Mitigation_Industry!$F$715*AA$221+Mitigation_Industry!$G$715*AA$220</f>
        <v>0</v>
      </c>
      <c r="AB248" s="140">
        <f>Mitigation_Industry!$F$715*AB$221+Mitigation_Industry!$G$715*AB$220</f>
        <v>0</v>
      </c>
      <c r="AC248" s="140">
        <f>Mitigation_Industry!$F$715*AC$221+Mitigation_Industry!$G$715*AC$220</f>
        <v>0</v>
      </c>
      <c r="AD248" s="140">
        <f>Mitigation_Industry!$F$715*AD$221+Mitigation_Industry!$G$715*AD$220</f>
        <v>0</v>
      </c>
      <c r="AE248" s="140">
        <f>Mitigation_Industry!$F$715*AE$221+Mitigation_Industry!$G$715*AE$220</f>
        <v>0</v>
      </c>
      <c r="AF248" s="141"/>
      <c r="AG248" s="141"/>
      <c r="AH248" s="141"/>
      <c r="AI248" s="141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8" t="str">
        <f>Settings!$B$3&amp;".mit.pp.alu.prp.no.2"</f>
        <v>egy.mit.pp.alu.prp.no.2</v>
      </c>
      <c r="K249" s="139"/>
      <c r="L249" s="140">
        <f>Mitigation_Industry!$F$716*L$221+Mitigation_Industry!$G$716*L$220</f>
        <v>0</v>
      </c>
      <c r="M249" s="140">
        <f>Mitigation_Industry!$F$716*M$221+Mitigation_Industry!$G$716*M$220</f>
        <v>0</v>
      </c>
      <c r="N249" s="140">
        <f>Mitigation_Industry!$F$716*N$221+Mitigation_Industry!$G$716*N$220</f>
        <v>0</v>
      </c>
      <c r="O249" s="140">
        <f>Mitigation_Industry!$F$716*O$221+Mitigation_Industry!$G$716*O$220</f>
        <v>0</v>
      </c>
      <c r="P249" s="140">
        <f>Mitigation_Industry!$F$716*P$221+Mitigation_Industry!$G$716*P$220</f>
        <v>0</v>
      </c>
      <c r="Q249" s="140">
        <f>Mitigation_Industry!$F$716*Q$221+Mitigation_Industry!$G$716*Q$220</f>
        <v>0</v>
      </c>
      <c r="R249" s="140">
        <f>Mitigation_Industry!$F$716*R$221+Mitigation_Industry!$G$716*R$220</f>
        <v>0</v>
      </c>
      <c r="S249" s="140">
        <f>Mitigation_Industry!$F$716*S$221+Mitigation_Industry!$G$716*S$220</f>
        <v>0</v>
      </c>
      <c r="T249" s="140">
        <f>Mitigation_Industry!$F$716*T$221+Mitigation_Industry!$G$716*T$220</f>
        <v>0</v>
      </c>
      <c r="U249" s="140">
        <f>Mitigation_Industry!$F$716*U$221+Mitigation_Industry!$G$716*U$220</f>
        <v>0</v>
      </c>
      <c r="V249" s="140">
        <f>Mitigation_Industry!$F$716*V$221+Mitigation_Industry!$G$716*V$220</f>
        <v>0</v>
      </c>
      <c r="W249" s="140">
        <f>Mitigation_Industry!$F$716*W$221+Mitigation_Industry!$G$716*W$220</f>
        <v>0</v>
      </c>
      <c r="X249" s="140">
        <f>Mitigation_Industry!$F$716*X$221+Mitigation_Industry!$G$716*X$220</f>
        <v>0</v>
      </c>
      <c r="Y249" s="140">
        <f>Mitigation_Industry!$F$716*Y$221+Mitigation_Industry!$G$716*Y$220</f>
        <v>0</v>
      </c>
      <c r="Z249" s="140">
        <f>Mitigation_Industry!$F$716*Z$221+Mitigation_Industry!$G$716*Z$220</f>
        <v>0</v>
      </c>
      <c r="AA249" s="140">
        <f>Mitigation_Industry!$F$716*AA$221+Mitigation_Industry!$G$716*AA$220</f>
        <v>0</v>
      </c>
      <c r="AB249" s="140">
        <f>Mitigation_Industry!$F$716*AB$221+Mitigation_Industry!$G$716*AB$220</f>
        <v>0</v>
      </c>
      <c r="AC249" s="140">
        <f>Mitigation_Industry!$F$716*AC$221+Mitigation_Industry!$G$716*AC$220</f>
        <v>0</v>
      </c>
      <c r="AD249" s="140">
        <f>Mitigation_Industry!$F$716*AD$221+Mitigation_Industry!$G$716*AD$220</f>
        <v>0</v>
      </c>
      <c r="AE249" s="140">
        <f>Mitigation_Industry!$F$716*AE$221+Mitigation_Industry!$G$716*AE$220</f>
        <v>0</v>
      </c>
      <c r="AF249" s="141"/>
      <c r="AG249" s="141"/>
      <c r="AH249" s="141"/>
      <c r="AI249" s="141"/>
    </row>
    <row r="250" spans="1:35" x14ac:dyDescent="0.35"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7">
        <v>2021</v>
      </c>
      <c r="L251" s="138">
        <v>2022</v>
      </c>
      <c r="M251" s="137">
        <v>2023</v>
      </c>
      <c r="N251" s="137">
        <v>2024</v>
      </c>
      <c r="O251" s="137">
        <v>2025</v>
      </c>
      <c r="P251" s="137">
        <v>2026</v>
      </c>
      <c r="Q251" s="137">
        <v>2027</v>
      </c>
      <c r="R251" s="137">
        <v>2028</v>
      </c>
      <c r="S251" s="137">
        <v>2029</v>
      </c>
      <c r="T251" s="137">
        <v>2030</v>
      </c>
      <c r="U251" s="137">
        <v>2031</v>
      </c>
      <c r="V251" s="137">
        <v>2032</v>
      </c>
      <c r="W251" s="137">
        <v>2033</v>
      </c>
      <c r="X251" s="137">
        <v>2034</v>
      </c>
      <c r="Y251" s="137">
        <v>2035</v>
      </c>
      <c r="Z251" s="137">
        <v>2036</v>
      </c>
      <c r="AA251" s="137">
        <v>2037</v>
      </c>
      <c r="AB251" s="137">
        <v>2038</v>
      </c>
      <c r="AC251" s="137">
        <v>2039</v>
      </c>
      <c r="AD251" s="137">
        <v>2040</v>
      </c>
      <c r="AE251" s="137">
        <v>2041</v>
      </c>
      <c r="AF251" s="137">
        <v>2042</v>
      </c>
      <c r="AG251" s="137">
        <v>2043</v>
      </c>
      <c r="AH251" s="137">
        <v>2044</v>
      </c>
      <c r="AI251" s="137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8" t="str">
        <f>Settings!$B$3&amp;".mit.wf.stl.drg.2"</f>
        <v>egy.mit.wf.stl.drg.2</v>
      </c>
      <c r="I252" t="s">
        <v>2600</v>
      </c>
      <c r="K252" s="139"/>
      <c r="L252" s="140">
        <f>Mitigation_Industry!L$729</f>
        <v>2.6717650641872548</v>
      </c>
      <c r="M252" s="140">
        <f>Mitigation_Industry!M$729</f>
        <v>2.789322727011494</v>
      </c>
      <c r="N252" s="140">
        <f>Mitigation_Industry!N$729</f>
        <v>2.9120529269999995</v>
      </c>
      <c r="O252" s="140">
        <f>Mitigation_Industry!O$729</f>
        <v>3.0401832557880004</v>
      </c>
      <c r="P252" s="140">
        <f>Mitigation_Industry!P$729</f>
        <v>3.173951319042672</v>
      </c>
      <c r="Q252" s="140">
        <f>Mitigation_Industry!Q$729</f>
        <v>3.3136051770805501</v>
      </c>
      <c r="R252" s="140">
        <f>Mitigation_Industry!R$729</f>
        <v>3.4594038048720939</v>
      </c>
      <c r="S252" s="140">
        <f>Mitigation_Industry!S$729</f>
        <v>3.6116175722864661</v>
      </c>
      <c r="T252" s="140">
        <f>Mitigation_Industry!T$729</f>
        <v>3.7705287454670713</v>
      </c>
      <c r="U252" s="140">
        <f>Mitigation_Industry!U$729</f>
        <v>3.9364320102676222</v>
      </c>
      <c r="V252" s="140">
        <f>Mitigation_Industry!V$729</f>
        <v>4.1096350187193975</v>
      </c>
      <c r="W252" s="140">
        <f>Mitigation_Industry!W$729</f>
        <v>4.2904589595430505</v>
      </c>
      <c r="X252" s="140">
        <f>Mitigation_Industry!X$729</f>
        <v>4.4792391537629452</v>
      </c>
      <c r="Y252" s="140">
        <f>Mitigation_Industry!Y$729</f>
        <v>4.6763256765285162</v>
      </c>
      <c r="Z252" s="140">
        <f>Mitigation_Industry!Z$729</f>
        <v>4.8820840062957691</v>
      </c>
      <c r="AA252" s="140">
        <f>Mitigation_Industry!AA$729</f>
        <v>5.096895702572783</v>
      </c>
      <c r="AB252" s="140">
        <f>Mitigation_Industry!AB$729</f>
        <v>5.3211591134859875</v>
      </c>
      <c r="AC252" s="140">
        <f>Mitigation_Industry!AC$729</f>
        <v>5.5552901144793703</v>
      </c>
      <c r="AD252" s="140">
        <f>Mitigation_Industry!AD$729</f>
        <v>5.7997228795164624</v>
      </c>
      <c r="AE252" s="140">
        <f>Mitigation_Industry!AE$729</f>
        <v>6.0549106862151856</v>
      </c>
      <c r="AF252" s="141"/>
      <c r="AG252" s="141"/>
      <c r="AH252" s="141"/>
      <c r="AI252" s="141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8" t="str">
        <f>Settings!$B$3&amp;".mit.wf.stl.scr.2"</f>
        <v>egy.mit.wf.stl.scr.2</v>
      </c>
      <c r="K253" s="139"/>
      <c r="L253" s="140">
        <f>Mitigation_Industry!L$730</f>
        <v>0.19764830228563882</v>
      </c>
      <c r="M253" s="140">
        <f>Mitigation_Industry!M$730</f>
        <v>0.20634482758620692</v>
      </c>
      <c r="N253" s="140">
        <f>Mitigation_Industry!N$730</f>
        <v>0.215424</v>
      </c>
      <c r="O253" s="140">
        <f>Mitigation_Industry!O$730</f>
        <v>0.22490265600000001</v>
      </c>
      <c r="P253" s="140">
        <f>Mitigation_Industry!P$730</f>
        <v>0.23479837286400002</v>
      </c>
      <c r="Q253" s="140">
        <f>Mitigation_Industry!Q$730</f>
        <v>0.24512950127001604</v>
      </c>
      <c r="R253" s="140">
        <f>Mitigation_Industry!R$730</f>
        <v>0.25591519932589668</v>
      </c>
      <c r="S253" s="140">
        <f>Mitigation_Industry!S$730</f>
        <v>0.26717546809623621</v>
      </c>
      <c r="T253" s="140">
        <f>Mitigation_Industry!T$730</f>
        <v>0.27893118869247063</v>
      </c>
      <c r="U253" s="140">
        <f>Mitigation_Industry!U$730</f>
        <v>0.29120416099493934</v>
      </c>
      <c r="V253" s="140">
        <f>Mitigation_Industry!V$730</f>
        <v>0.30401714407871661</v>
      </c>
      <c r="W253" s="140">
        <f>Mitigation_Industry!W$730</f>
        <v>0.31739389841818022</v>
      </c>
      <c r="X253" s="140">
        <f>Mitigation_Industry!X$730</f>
        <v>0.33135922994858014</v>
      </c>
      <c r="Y253" s="140">
        <f>Mitigation_Industry!Y$730</f>
        <v>0.34593903606631771</v>
      </c>
      <c r="Z253" s="140">
        <f>Mitigation_Industry!Z$730</f>
        <v>0.36116035365323562</v>
      </c>
      <c r="AA253" s="140">
        <f>Mitigation_Industry!AA$730</f>
        <v>0.37705140921397801</v>
      </c>
      <c r="AB253" s="140">
        <f>Mitigation_Industry!AB$730</f>
        <v>0.39364167121939314</v>
      </c>
      <c r="AC253" s="140">
        <f>Mitigation_Industry!AC$730</f>
        <v>0.41096190475304639</v>
      </c>
      <c r="AD253" s="140">
        <f>Mitigation_Industry!AD$730</f>
        <v>0.42904422856218044</v>
      </c>
      <c r="AE253" s="140">
        <f>Mitigation_Industry!AE$730</f>
        <v>0.44792217461891631</v>
      </c>
      <c r="AF253" s="141"/>
      <c r="AG253" s="141"/>
      <c r="AH253" s="141"/>
      <c r="AI253" s="141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8" t="str">
        <f>Settings!$B$3&amp;".mit.wf.stl.bof.2"</f>
        <v>egy.mit.wf.stl.bof.2</v>
      </c>
      <c r="K254" s="139"/>
      <c r="L254" s="140">
        <f>Mitigation_Industry!L$731</f>
        <v>0</v>
      </c>
      <c r="M254" s="140">
        <f>Mitigation_Industry!M$731</f>
        <v>0</v>
      </c>
      <c r="N254" s="140">
        <f>Mitigation_Industry!N$731</f>
        <v>0</v>
      </c>
      <c r="O254" s="140">
        <f>Mitigation_Industry!O$731</f>
        <v>0</v>
      </c>
      <c r="P254" s="140">
        <f>Mitigation_Industry!P$731</f>
        <v>0</v>
      </c>
      <c r="Q254" s="140">
        <f>Mitigation_Industry!Q$731</f>
        <v>0</v>
      </c>
      <c r="R254" s="140">
        <f>Mitigation_Industry!R$731</f>
        <v>0</v>
      </c>
      <c r="S254" s="140">
        <f>Mitigation_Industry!S$731</f>
        <v>0</v>
      </c>
      <c r="T254" s="140">
        <f>Mitigation_Industry!T$731</f>
        <v>0</v>
      </c>
      <c r="U254" s="140">
        <f>Mitigation_Industry!U$731</f>
        <v>0</v>
      </c>
      <c r="V254" s="140">
        <f>Mitigation_Industry!V$731</f>
        <v>0</v>
      </c>
      <c r="W254" s="140">
        <f>Mitigation_Industry!W$731</f>
        <v>0</v>
      </c>
      <c r="X254" s="140">
        <f>Mitigation_Industry!X$731</f>
        <v>0</v>
      </c>
      <c r="Y254" s="140">
        <f>Mitigation_Industry!Y$731</f>
        <v>0</v>
      </c>
      <c r="Z254" s="140">
        <f>Mitigation_Industry!Z$731</f>
        <v>0</v>
      </c>
      <c r="AA254" s="140">
        <f>Mitigation_Industry!AA$731</f>
        <v>0</v>
      </c>
      <c r="AB254" s="140">
        <f>Mitigation_Industry!AB$731</f>
        <v>0</v>
      </c>
      <c r="AC254" s="140">
        <f>Mitigation_Industry!AC$731</f>
        <v>0</v>
      </c>
      <c r="AD254" s="140">
        <f>Mitigation_Industry!AD$731</f>
        <v>0</v>
      </c>
      <c r="AE254" s="140">
        <f>Mitigation_Industry!AE$731</f>
        <v>0</v>
      </c>
      <c r="AF254" s="141"/>
      <c r="AG254" s="141"/>
      <c r="AH254" s="141"/>
      <c r="AI254" s="141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8" t="str">
        <f>Settings!$B$3&amp;".mit.wf.cmt.dry.2"</f>
        <v>egy.mit.wf.cmt.dry.2</v>
      </c>
      <c r="K255" s="139"/>
      <c r="L255" s="140">
        <f>Mitigation_Industry!L$732</f>
        <v>14.692706044200628</v>
      </c>
      <c r="M255" s="140">
        <f>Mitigation_Industry!M$732</f>
        <v>15.177565343659246</v>
      </c>
      <c r="N255" s="140">
        <f>Mitigation_Industry!N$732</f>
        <v>15.678424999999999</v>
      </c>
      <c r="O255" s="140">
        <f>Mitigation_Industry!O$732</f>
        <v>16.195813024999996</v>
      </c>
      <c r="P255" s="140">
        <f>Mitigation_Industry!P$732</f>
        <v>16.730274854824994</v>
      </c>
      <c r="Q255" s="140">
        <f>Mitigation_Industry!Q$732</f>
        <v>17.282373925034218</v>
      </c>
      <c r="R255" s="140">
        <f>Mitigation_Industry!R$732</f>
        <v>17.852692264560343</v>
      </c>
      <c r="S255" s="140">
        <f>Mitigation_Industry!S$732</f>
        <v>18.441831109290838</v>
      </c>
      <c r="T255" s="140">
        <f>Mitigation_Industry!T$732</f>
        <v>19.050411535897432</v>
      </c>
      <c r="U255" s="140">
        <f>Mitigation_Industry!U$732</f>
        <v>19.679075116582045</v>
      </c>
      <c r="V255" s="140">
        <f>Mitigation_Industry!V$732</f>
        <v>20.328484595429249</v>
      </c>
      <c r="W255" s="140">
        <f>Mitigation_Industry!W$732</f>
        <v>20.999324587078412</v>
      </c>
      <c r="X255" s="140">
        <f>Mitigation_Industry!X$732</f>
        <v>21.692302298451992</v>
      </c>
      <c r="Y255" s="140">
        <f>Mitigation_Industry!Y$732</f>
        <v>22.40814827430091</v>
      </c>
      <c r="Z255" s="140">
        <f>Mitigation_Industry!Z$732</f>
        <v>23.147617167352838</v>
      </c>
      <c r="AA255" s="140">
        <f>Mitigation_Industry!AA$732</f>
        <v>23.911488533875481</v>
      </c>
      <c r="AB255" s="140">
        <f>Mitigation_Industry!AB$732</f>
        <v>24.700567655493362</v>
      </c>
      <c r="AC255" s="140">
        <f>Mitigation_Industry!AC$732</f>
        <v>25.515686388124642</v>
      </c>
      <c r="AD255" s="140">
        <f>Mitigation_Industry!AD$732</f>
        <v>26.357704038932756</v>
      </c>
      <c r="AE255" s="140">
        <f>Mitigation_Industry!AE$732</f>
        <v>27.227508272217527</v>
      </c>
      <c r="AF255" s="141"/>
      <c r="AG255" s="141"/>
      <c r="AH255" s="141"/>
      <c r="AI255" s="141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8" t="str">
        <f>Settings!$B$3&amp;".mit.wf.frt.amc.2"</f>
        <v>egy.mit.wf.frt.amc.2</v>
      </c>
      <c r="K256" s="139"/>
      <c r="L256" s="140">
        <f>Mitigation_Industry!L$733</f>
        <v>3.3747527008551588</v>
      </c>
      <c r="M256" s="140">
        <f>Mitigation_Industry!M$733</f>
        <v>3.4489972602739725</v>
      </c>
      <c r="N256" s="140">
        <f>Mitigation_Industry!N$733</f>
        <v>3.5248751999999999</v>
      </c>
      <c r="O256" s="140">
        <f>Mitigation_Industry!O$733</f>
        <v>3.6024224544000001</v>
      </c>
      <c r="P256" s="140">
        <f>Mitigation_Industry!P$733</f>
        <v>3.6816757483967999</v>
      </c>
      <c r="Q256" s="140">
        <f>Mitigation_Industry!Q$733</f>
        <v>3.7626726148615299</v>
      </c>
      <c r="R256" s="140">
        <f>Mitigation_Industry!R$733</f>
        <v>3.8454514123884831</v>
      </c>
      <c r="S256" s="140">
        <f>Mitigation_Industry!S$733</f>
        <v>3.9300513434610296</v>
      </c>
      <c r="T256" s="140">
        <f>Mitigation_Industry!T$733</f>
        <v>4.0165124730171726</v>
      </c>
      <c r="U256" s="140">
        <f>Mitigation_Industry!U$733</f>
        <v>4.1048757474235504</v>
      </c>
      <c r="V256" s="140">
        <f>Mitigation_Industry!V$733</f>
        <v>4.1951830138668695</v>
      </c>
      <c r="W256" s="140">
        <f>Mitigation_Industry!W$733</f>
        <v>4.2874770401719395</v>
      </c>
      <c r="X256" s="140">
        <f>Mitigation_Industry!X$733</f>
        <v>4.3818015350557227</v>
      </c>
      <c r="Y256" s="140">
        <f>Mitigation_Industry!Y$733</f>
        <v>4.4782011688269483</v>
      </c>
      <c r="Z256" s="140">
        <f>Mitigation_Industry!Z$733</f>
        <v>4.5767215945411417</v>
      </c>
      <c r="AA256" s="140">
        <f>Mitigation_Industry!AA$733</f>
        <v>4.6774094696210469</v>
      </c>
      <c r="AB256" s="140">
        <f>Mitigation_Industry!AB$733</f>
        <v>4.7803124779527089</v>
      </c>
      <c r="AC256" s="140">
        <f>Mitigation_Industry!AC$733</f>
        <v>4.8854793524676694</v>
      </c>
      <c r="AD256" s="140">
        <f>Mitigation_Industry!AD$733</f>
        <v>4.9929598982219581</v>
      </c>
      <c r="AE256" s="140">
        <f>Mitigation_Industry!AE$733</f>
        <v>5.1028050159828409</v>
      </c>
      <c r="AF256" s="141"/>
      <c r="AG256" s="141"/>
      <c r="AH256" s="141"/>
      <c r="AI256" s="141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8" t="str">
        <f>Settings!$B$3&amp;".mit.wf.frt.ure.2"</f>
        <v>egy.mit.wf.frt.ure.2</v>
      </c>
      <c r="K257" s="139"/>
      <c r="L257" s="140">
        <f>Mitigation_Industry!L$734</f>
        <v>0.30078009811543305</v>
      </c>
      <c r="M257" s="140">
        <f>Mitigation_Industry!M$734</f>
        <v>0.30739726027397257</v>
      </c>
      <c r="N257" s="140">
        <f>Mitigation_Industry!N$734</f>
        <v>0.31415999999999999</v>
      </c>
      <c r="O257" s="140">
        <f>Mitigation_Industry!O$734</f>
        <v>0.32107151999999994</v>
      </c>
      <c r="P257" s="140">
        <f>Mitigation_Industry!P$734</f>
        <v>0.32813509343999991</v>
      </c>
      <c r="Q257" s="140">
        <f>Mitigation_Industry!Q$734</f>
        <v>0.33535406549567992</v>
      </c>
      <c r="R257" s="140">
        <f>Mitigation_Industry!R$734</f>
        <v>0.34273185493658498</v>
      </c>
      <c r="S257" s="140">
        <f>Mitigation_Industry!S$734</f>
        <v>0.35027195574518982</v>
      </c>
      <c r="T257" s="140">
        <f>Mitigation_Industry!T$734</f>
        <v>0.3579779387715839</v>
      </c>
      <c r="U257" s="140">
        <f>Mitigation_Industry!U$734</f>
        <v>0.36585345342455883</v>
      </c>
      <c r="V257" s="140">
        <f>Mitigation_Industry!V$734</f>
        <v>0.37390222939989914</v>
      </c>
      <c r="W257" s="140">
        <f>Mitigation_Industry!W$734</f>
        <v>0.38212807844669694</v>
      </c>
      <c r="X257" s="140">
        <f>Mitigation_Industry!X$734</f>
        <v>0.39053489617252429</v>
      </c>
      <c r="Y257" s="140">
        <f>Mitigation_Industry!Y$734</f>
        <v>0.39912666388831985</v>
      </c>
      <c r="Z257" s="140">
        <f>Mitigation_Industry!Z$734</f>
        <v>0.4079074504938629</v>
      </c>
      <c r="AA257" s="140">
        <f>Mitigation_Industry!AA$734</f>
        <v>0.41688141440472787</v>
      </c>
      <c r="AB257" s="140">
        <f>Mitigation_Industry!AB$734</f>
        <v>0.42605280552163183</v>
      </c>
      <c r="AC257" s="140">
        <f>Mitigation_Industry!AC$734</f>
        <v>0.43542596724310778</v>
      </c>
      <c r="AD257" s="140">
        <f>Mitigation_Industry!AD$734</f>
        <v>0.44500533852245616</v>
      </c>
      <c r="AE257" s="140">
        <f>Mitigation_Industry!AE$734</f>
        <v>0.45479545596995019</v>
      </c>
      <c r="AF257" s="141"/>
      <c r="AG257" s="141"/>
      <c r="AH257" s="141"/>
      <c r="AI257" s="141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8" t="str">
        <f>Settings!$B$3&amp;".mit.wf.frt.nit.2"</f>
        <v>egy.mit.wf.frt.nit.2</v>
      </c>
      <c r="K258" s="139"/>
      <c r="L258" s="140">
        <f>Mitigation_Industry!L$735</f>
        <v>6.4452878167592806E-2</v>
      </c>
      <c r="M258" s="140">
        <f>Mitigation_Industry!M$735</f>
        <v>6.5870841487279841E-2</v>
      </c>
      <c r="N258" s="140">
        <f>Mitigation_Industry!N$735</f>
        <v>6.7319999999999991E-2</v>
      </c>
      <c r="O258" s="140">
        <f>Mitigation_Industry!O$735</f>
        <v>6.8801039999999994E-2</v>
      </c>
      <c r="P258" s="140">
        <f>Mitigation_Industry!P$735</f>
        <v>7.031466287999999E-2</v>
      </c>
      <c r="Q258" s="140">
        <f>Mitigation_Industry!Q$735</f>
        <v>7.1861585463359995E-2</v>
      </c>
      <c r="R258" s="140">
        <f>Mitigation_Industry!R$735</f>
        <v>7.3442540343553922E-2</v>
      </c>
      <c r="S258" s="140">
        <f>Mitigation_Industry!S$735</f>
        <v>7.5058276231112109E-2</v>
      </c>
      <c r="T258" s="140">
        <f>Mitigation_Industry!T$735</f>
        <v>7.6709558308196563E-2</v>
      </c>
      <c r="U258" s="140">
        <f>Mitigation_Industry!U$735</f>
        <v>7.8397168590976896E-2</v>
      </c>
      <c r="V258" s="140">
        <f>Mitigation_Industry!V$735</f>
        <v>8.012190629997841E-2</v>
      </c>
      <c r="W258" s="140">
        <f>Mitigation_Industry!W$735</f>
        <v>8.1884588238577902E-2</v>
      </c>
      <c r="X258" s="140">
        <f>Mitigation_Industry!X$735</f>
        <v>8.3686049179826624E-2</v>
      </c>
      <c r="Y258" s="140">
        <f>Mitigation_Industry!Y$735</f>
        <v>8.5527142261782832E-2</v>
      </c>
      <c r="Z258" s="140">
        <f>Mitigation_Industry!Z$735</f>
        <v>8.7408739391542062E-2</v>
      </c>
      <c r="AA258" s="140">
        <f>Mitigation_Industry!AA$735</f>
        <v>8.9331731658155972E-2</v>
      </c>
      <c r="AB258" s="140">
        <f>Mitigation_Industry!AB$735</f>
        <v>9.1297029754635384E-2</v>
      </c>
      <c r="AC258" s="140">
        <f>Mitigation_Industry!AC$735</f>
        <v>9.3305564409237374E-2</v>
      </c>
      <c r="AD258" s="140">
        <f>Mitigation_Industry!AD$735</f>
        <v>9.5358286826240604E-2</v>
      </c>
      <c r="AE258" s="140">
        <f>Mitigation_Industry!AE$735</f>
        <v>9.74561691364179E-2</v>
      </c>
      <c r="AF258" s="141"/>
      <c r="AG258" s="141"/>
      <c r="AH258" s="141"/>
      <c r="AI258" s="141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8" t="str">
        <f>Settings!$B$3&amp;".mit.wf.alu.prp.2"</f>
        <v>egy.mit.wf.alu.prp.2</v>
      </c>
      <c r="K259" s="139"/>
      <c r="L259" s="140">
        <f>Mitigation_Industry!L$736</f>
        <v>3.3266099144224071E-2</v>
      </c>
      <c r="M259" s="140">
        <f>Mitigation_Industry!M$736</f>
        <v>3.5095734597156404E-2</v>
      </c>
      <c r="N259" s="140">
        <f>Mitigation_Industry!N$736</f>
        <v>3.7026000000000003E-2</v>
      </c>
      <c r="O259" s="140">
        <f>Mitigation_Industry!O$736</f>
        <v>3.9062430000000002E-2</v>
      </c>
      <c r="P259" s="140">
        <f>Mitigation_Industry!P$736</f>
        <v>4.1210863649999999E-2</v>
      </c>
      <c r="Q259" s="140">
        <f>Mitigation_Industry!Q$736</f>
        <v>4.3477461150749991E-2</v>
      </c>
      <c r="R259" s="140">
        <f>Mitigation_Industry!R$736</f>
        <v>4.5868721514041248E-2</v>
      </c>
      <c r="S259" s="140">
        <f>Mitigation_Industry!S$736</f>
        <v>4.8391501197313509E-2</v>
      </c>
      <c r="T259" s="140">
        <f>Mitigation_Industry!T$736</f>
        <v>5.105303376316575E-2</v>
      </c>
      <c r="U259" s="140">
        <f>Mitigation_Industry!U$736</f>
        <v>5.3860950620139861E-2</v>
      </c>
      <c r="V259" s="140">
        <f>Mitigation_Industry!V$736</f>
        <v>5.6823302904247558E-2</v>
      </c>
      <c r="W259" s="140">
        <f>Mitigation_Industry!W$736</f>
        <v>5.9948584563981173E-2</v>
      </c>
      <c r="X259" s="140">
        <f>Mitigation_Industry!X$736</f>
        <v>6.3245756715000129E-2</v>
      </c>
      <c r="Y259" s="140">
        <f>Mitigation_Industry!Y$736</f>
        <v>6.6724273334325138E-2</v>
      </c>
      <c r="Z259" s="140">
        <f>Mitigation_Industry!Z$736</f>
        <v>7.039410836771301E-2</v>
      </c>
      <c r="AA259" s="140">
        <f>Mitigation_Industry!AA$736</f>
        <v>7.426578432793722E-2</v>
      </c>
      <c r="AB259" s="140">
        <f>Mitigation_Industry!AB$736</f>
        <v>7.8350402465973787E-2</v>
      </c>
      <c r="AC259" s="140">
        <f>Mitigation_Industry!AC$736</f>
        <v>8.2659674601602312E-2</v>
      </c>
      <c r="AD259" s="140">
        <f>Mitigation_Industry!AD$736</f>
        <v>8.7205956704690446E-2</v>
      </c>
      <c r="AE259" s="140">
        <f>Mitigation_Industry!AE$736</f>
        <v>9.2002284323448424E-2</v>
      </c>
      <c r="AF259" s="141"/>
      <c r="AG259" s="141"/>
      <c r="AH259" s="141"/>
      <c r="AI259" s="141"/>
    </row>
    <row r="260" spans="1:35" x14ac:dyDescent="0.35"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7">
        <v>2021</v>
      </c>
      <c r="L261" s="138">
        <v>2022</v>
      </c>
      <c r="M261" s="137">
        <v>2023</v>
      </c>
      <c r="N261" s="137">
        <v>2024</v>
      </c>
      <c r="O261" s="137">
        <v>2025</v>
      </c>
      <c r="P261" s="137">
        <v>2026</v>
      </c>
      <c r="Q261" s="137">
        <v>2027</v>
      </c>
      <c r="R261" s="137">
        <v>2028</v>
      </c>
      <c r="S261" s="137">
        <v>2029</v>
      </c>
      <c r="T261" s="137">
        <v>2030</v>
      </c>
      <c r="U261" s="137">
        <v>2031</v>
      </c>
      <c r="V261" s="137">
        <v>2032</v>
      </c>
      <c r="W261" s="137">
        <v>2033</v>
      </c>
      <c r="X261" s="137">
        <v>2034</v>
      </c>
      <c r="Y261" s="137">
        <v>2035</v>
      </c>
      <c r="Z261" s="137">
        <v>2036</v>
      </c>
      <c r="AA261" s="137">
        <v>2037</v>
      </c>
      <c r="AB261" s="137">
        <v>2038</v>
      </c>
      <c r="AC261" s="137">
        <v>2039</v>
      </c>
      <c r="AD261" s="137">
        <v>2040</v>
      </c>
      <c r="AE261" s="137">
        <v>2041</v>
      </c>
      <c r="AF261" s="137">
        <v>2042</v>
      </c>
      <c r="AG261" s="137">
        <v>2043</v>
      </c>
      <c r="AH261" s="137">
        <v>2044</v>
      </c>
      <c r="AI261" s="137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8" t="str">
        <f>Settings!$B$3&amp;".mit.bf.stl.drg.2"</f>
        <v>egy.mit.bf.stl.drg.2</v>
      </c>
      <c r="I262" t="s">
        <v>2611</v>
      </c>
      <c r="K262" s="139"/>
      <c r="L262" s="142">
        <f>Mitigation_Industry!$E$751</f>
        <v>1.0536051565782599E-3</v>
      </c>
      <c r="M262" s="142">
        <f>Mitigation_Industry!$E$751</f>
        <v>1.0536051565782599E-3</v>
      </c>
      <c r="N262" s="142">
        <f>Mitigation_Industry!$E$751</f>
        <v>1.0536051565782599E-3</v>
      </c>
      <c r="O262" s="142">
        <f>Mitigation_Industry!$E$751</f>
        <v>1.0536051565782599E-3</v>
      </c>
      <c r="P262" s="142">
        <f>Mitigation_Industry!$E$751</f>
        <v>1.0536051565782599E-3</v>
      </c>
      <c r="Q262" s="142">
        <f>Mitigation_Industry!$E$751</f>
        <v>1.0536051565782599E-3</v>
      </c>
      <c r="R262" s="142">
        <f>Mitigation_Industry!$E$751</f>
        <v>1.0536051565782599E-3</v>
      </c>
      <c r="S262" s="142">
        <f>Mitigation_Industry!$E$751</f>
        <v>1.0536051565782599E-3</v>
      </c>
      <c r="T262" s="142">
        <f>Mitigation_Industry!$E$751</f>
        <v>1.0536051565782599E-3</v>
      </c>
      <c r="U262" s="142">
        <f>Mitigation_Industry!$E$751</f>
        <v>1.0536051565782599E-3</v>
      </c>
      <c r="V262" s="142">
        <f>Mitigation_Industry!$E$751</f>
        <v>1.0536051565782599E-3</v>
      </c>
      <c r="W262" s="142">
        <f>Mitigation_Industry!$E$751</f>
        <v>1.0536051565782599E-3</v>
      </c>
      <c r="X262" s="142">
        <f>Mitigation_Industry!$E$751</f>
        <v>1.0536051565782599E-3</v>
      </c>
      <c r="Y262" s="142">
        <f>Mitigation_Industry!$E$751</f>
        <v>1.0536051565782599E-3</v>
      </c>
      <c r="Z262" s="142">
        <f>Mitigation_Industry!$E$751</f>
        <v>1.0536051565782599E-3</v>
      </c>
      <c r="AA262" s="142">
        <f>Mitigation_Industry!$E$751</f>
        <v>1.0536051565782599E-3</v>
      </c>
      <c r="AB262" s="142">
        <f>Mitigation_Industry!$E$751</f>
        <v>1.0536051565782599E-3</v>
      </c>
      <c r="AC262" s="142">
        <f>Mitigation_Industry!$E$751</f>
        <v>1.0536051565782599E-3</v>
      </c>
      <c r="AD262" s="142">
        <f>Mitigation_Industry!$E$751</f>
        <v>1.0536051565782599E-3</v>
      </c>
      <c r="AE262" s="142">
        <f>Mitigation_Industry!$E$751</f>
        <v>1.0536051565782599E-3</v>
      </c>
      <c r="AF262" s="141"/>
      <c r="AG262" s="141"/>
      <c r="AH262" s="141"/>
      <c r="AI262" s="141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8" t="str">
        <f>Settings!$B$3&amp;".mit.bf.stl.scr.2"</f>
        <v>egy.mit.bf.stl.scr.2</v>
      </c>
      <c r="K263" s="139"/>
      <c r="L263" s="142">
        <f>Mitigation_Industry!$E$752</f>
        <v>2.0202707317519501E-4</v>
      </c>
      <c r="M263" s="142">
        <f>Mitigation_Industry!$E$752</f>
        <v>2.0202707317519501E-4</v>
      </c>
      <c r="N263" s="142">
        <f>Mitigation_Industry!$E$752</f>
        <v>2.0202707317519501E-4</v>
      </c>
      <c r="O263" s="142">
        <f>Mitigation_Industry!$E$752</f>
        <v>2.0202707317519501E-4</v>
      </c>
      <c r="P263" s="142">
        <f>Mitigation_Industry!$E$752</f>
        <v>2.0202707317519501E-4</v>
      </c>
      <c r="Q263" s="142">
        <f>Mitigation_Industry!$E$752</f>
        <v>2.0202707317519501E-4</v>
      </c>
      <c r="R263" s="142">
        <f>Mitigation_Industry!$E$752</f>
        <v>2.0202707317519501E-4</v>
      </c>
      <c r="S263" s="142">
        <f>Mitigation_Industry!$E$752</f>
        <v>2.0202707317519501E-4</v>
      </c>
      <c r="T263" s="142">
        <f>Mitigation_Industry!$E$752</f>
        <v>2.0202707317519501E-4</v>
      </c>
      <c r="U263" s="142">
        <f>Mitigation_Industry!$E$752</f>
        <v>2.0202707317519501E-4</v>
      </c>
      <c r="V263" s="142">
        <f>Mitigation_Industry!$E$752</f>
        <v>2.0202707317519501E-4</v>
      </c>
      <c r="W263" s="142">
        <f>Mitigation_Industry!$E$752</f>
        <v>2.0202707317519501E-4</v>
      </c>
      <c r="X263" s="142">
        <f>Mitigation_Industry!$E$752</f>
        <v>2.0202707317519501E-4</v>
      </c>
      <c r="Y263" s="142">
        <f>Mitigation_Industry!$E$752</f>
        <v>2.0202707317519501E-4</v>
      </c>
      <c r="Z263" s="142">
        <f>Mitigation_Industry!$E$752</f>
        <v>2.0202707317519501E-4</v>
      </c>
      <c r="AA263" s="142">
        <f>Mitigation_Industry!$E$752</f>
        <v>2.0202707317519501E-4</v>
      </c>
      <c r="AB263" s="142">
        <f>Mitigation_Industry!$E$752</f>
        <v>2.0202707317519501E-4</v>
      </c>
      <c r="AC263" s="142">
        <f>Mitigation_Industry!$E$752</f>
        <v>2.0202707317519501E-4</v>
      </c>
      <c r="AD263" s="142">
        <f>Mitigation_Industry!$E$752</f>
        <v>2.0202707317519501E-4</v>
      </c>
      <c r="AE263" s="142">
        <f>Mitigation_Industry!$E$752</f>
        <v>2.0202707317519501E-4</v>
      </c>
      <c r="AF263" s="141"/>
      <c r="AG263" s="141"/>
      <c r="AH263" s="141"/>
      <c r="AI263" s="141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8" t="str">
        <f>Settings!$B$3&amp;".mit.bf.stl.bof.2"</f>
        <v>egy.mit.bf.stl.bof.2</v>
      </c>
      <c r="K264" s="139"/>
      <c r="L264" s="142">
        <f>Mitigation_Industry!$E$753</f>
        <v>5.1293294387550598E-4</v>
      </c>
      <c r="M264" s="142">
        <f>Mitigation_Industry!$E$753</f>
        <v>5.1293294387550598E-4</v>
      </c>
      <c r="N264" s="142">
        <f>Mitigation_Industry!$E$753</f>
        <v>5.1293294387550598E-4</v>
      </c>
      <c r="O264" s="142">
        <f>Mitigation_Industry!$E$753</f>
        <v>5.1293294387550598E-4</v>
      </c>
      <c r="P264" s="142">
        <f>Mitigation_Industry!$E$753</f>
        <v>5.1293294387550598E-4</v>
      </c>
      <c r="Q264" s="142">
        <f>Mitigation_Industry!$E$753</f>
        <v>5.1293294387550598E-4</v>
      </c>
      <c r="R264" s="142">
        <f>Mitigation_Industry!$E$753</f>
        <v>5.1293294387550598E-4</v>
      </c>
      <c r="S264" s="142">
        <f>Mitigation_Industry!$E$753</f>
        <v>5.1293294387550598E-4</v>
      </c>
      <c r="T264" s="142">
        <f>Mitigation_Industry!$E$753</f>
        <v>5.1293294387550598E-4</v>
      </c>
      <c r="U264" s="142">
        <f>Mitigation_Industry!$E$753</f>
        <v>5.1293294387550598E-4</v>
      </c>
      <c r="V264" s="142">
        <f>Mitigation_Industry!$E$753</f>
        <v>5.1293294387550598E-4</v>
      </c>
      <c r="W264" s="142">
        <f>Mitigation_Industry!$E$753</f>
        <v>5.1293294387550598E-4</v>
      </c>
      <c r="X264" s="142">
        <f>Mitigation_Industry!$E$753</f>
        <v>5.1293294387550598E-4</v>
      </c>
      <c r="Y264" s="142">
        <f>Mitigation_Industry!$E$753</f>
        <v>5.1293294387550598E-4</v>
      </c>
      <c r="Z264" s="142">
        <f>Mitigation_Industry!$E$753</f>
        <v>5.1293294387550598E-4</v>
      </c>
      <c r="AA264" s="142">
        <f>Mitigation_Industry!$E$753</f>
        <v>5.1293294387550598E-4</v>
      </c>
      <c r="AB264" s="142">
        <f>Mitigation_Industry!$E$753</f>
        <v>5.1293294387550598E-4</v>
      </c>
      <c r="AC264" s="142">
        <f>Mitigation_Industry!$E$753</f>
        <v>5.1293294387550598E-4</v>
      </c>
      <c r="AD264" s="142">
        <f>Mitigation_Industry!$E$753</f>
        <v>5.1293294387550598E-4</v>
      </c>
      <c r="AE264" s="142">
        <f>Mitigation_Industry!$E$753</f>
        <v>5.1293294387550598E-4</v>
      </c>
      <c r="AF264" s="141"/>
      <c r="AG264" s="141"/>
      <c r="AH264" s="141"/>
      <c r="AI264" s="141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8" t="str">
        <f>Settings!$B$3&amp;".mit.bf.cmt.dry.2"</f>
        <v>egy.mit.bf.cmt.dry.2</v>
      </c>
      <c r="K265" s="139"/>
      <c r="L265" s="142">
        <f>Mitigation_Industry!$E$754</f>
        <v>8.3381608939051E-4</v>
      </c>
      <c r="M265" s="142">
        <f>Mitigation_Industry!$E$754</f>
        <v>8.3381608939051E-4</v>
      </c>
      <c r="N265" s="142">
        <f>Mitigation_Industry!$E$754</f>
        <v>8.3381608939051E-4</v>
      </c>
      <c r="O265" s="142">
        <f>Mitigation_Industry!$E$754</f>
        <v>8.3381608939051E-4</v>
      </c>
      <c r="P265" s="142">
        <f>Mitigation_Industry!$E$754</f>
        <v>8.3381608939051E-4</v>
      </c>
      <c r="Q265" s="142">
        <f>Mitigation_Industry!$E$754</f>
        <v>8.3381608939051E-4</v>
      </c>
      <c r="R265" s="142">
        <f>Mitigation_Industry!$E$754</f>
        <v>8.3381608939051E-4</v>
      </c>
      <c r="S265" s="142">
        <f>Mitigation_Industry!$E$754</f>
        <v>8.3381608939051E-4</v>
      </c>
      <c r="T265" s="142">
        <f>Mitigation_Industry!$E$754</f>
        <v>8.3381608939051E-4</v>
      </c>
      <c r="U265" s="142">
        <f>Mitigation_Industry!$E$754</f>
        <v>8.3381608939051E-4</v>
      </c>
      <c r="V265" s="142">
        <f>Mitigation_Industry!$E$754</f>
        <v>8.3381608939051E-4</v>
      </c>
      <c r="W265" s="142">
        <f>Mitigation_Industry!$E$754</f>
        <v>8.3381608939051E-4</v>
      </c>
      <c r="X265" s="142">
        <f>Mitigation_Industry!$E$754</f>
        <v>8.3381608939051E-4</v>
      </c>
      <c r="Y265" s="142">
        <f>Mitigation_Industry!$E$754</f>
        <v>8.3381608939051E-4</v>
      </c>
      <c r="Z265" s="142">
        <f>Mitigation_Industry!$E$754</f>
        <v>8.3381608939051E-4</v>
      </c>
      <c r="AA265" s="142">
        <f>Mitigation_Industry!$E$754</f>
        <v>8.3381608939051E-4</v>
      </c>
      <c r="AB265" s="142">
        <f>Mitigation_Industry!$E$754</f>
        <v>8.3381608939051E-4</v>
      </c>
      <c r="AC265" s="142">
        <f>Mitigation_Industry!$E$754</f>
        <v>8.3381608939051E-4</v>
      </c>
      <c r="AD265" s="142">
        <f>Mitigation_Industry!$E$754</f>
        <v>8.3381608939051E-4</v>
      </c>
      <c r="AE265" s="142">
        <f>Mitigation_Industry!$E$754</f>
        <v>8.3381608939051E-4</v>
      </c>
      <c r="AF265" s="141"/>
      <c r="AG265" s="141"/>
      <c r="AH265" s="141"/>
      <c r="AI265" s="141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8" t="str">
        <f>Settings!$B$3&amp;".mit.bf.frt.amc.2"</f>
        <v>egy.mit.bf.frt.amc.2</v>
      </c>
      <c r="K266" s="139"/>
      <c r="L266" s="142">
        <f>Mitigation_Industry!$E$755</f>
        <v>1.98450938723838E-3</v>
      </c>
      <c r="M266" s="142">
        <f>Mitigation_Industry!$E$755</f>
        <v>1.98450938723838E-3</v>
      </c>
      <c r="N266" s="142">
        <f>Mitigation_Industry!$E$755</f>
        <v>1.98450938723838E-3</v>
      </c>
      <c r="O266" s="142">
        <f>Mitigation_Industry!$E$755</f>
        <v>1.98450938723838E-3</v>
      </c>
      <c r="P266" s="142">
        <f>Mitigation_Industry!$E$755</f>
        <v>1.98450938723838E-3</v>
      </c>
      <c r="Q266" s="142">
        <f>Mitigation_Industry!$E$755</f>
        <v>1.98450938723838E-3</v>
      </c>
      <c r="R266" s="142">
        <f>Mitigation_Industry!$E$755</f>
        <v>1.98450938723838E-3</v>
      </c>
      <c r="S266" s="142">
        <f>Mitigation_Industry!$E$755</f>
        <v>1.98450938723838E-3</v>
      </c>
      <c r="T266" s="142">
        <f>Mitigation_Industry!$E$755</f>
        <v>1.98450938723838E-3</v>
      </c>
      <c r="U266" s="142">
        <f>Mitigation_Industry!$E$755</f>
        <v>1.98450938723838E-3</v>
      </c>
      <c r="V266" s="142">
        <f>Mitigation_Industry!$E$755</f>
        <v>1.98450938723838E-3</v>
      </c>
      <c r="W266" s="142">
        <f>Mitigation_Industry!$E$755</f>
        <v>1.98450938723838E-3</v>
      </c>
      <c r="X266" s="142">
        <f>Mitigation_Industry!$E$755</f>
        <v>1.98450938723838E-3</v>
      </c>
      <c r="Y266" s="142">
        <f>Mitigation_Industry!$E$755</f>
        <v>1.98450938723838E-3</v>
      </c>
      <c r="Z266" s="142">
        <f>Mitigation_Industry!$E$755</f>
        <v>1.98450938723838E-3</v>
      </c>
      <c r="AA266" s="142">
        <f>Mitigation_Industry!$E$755</f>
        <v>1.98450938723838E-3</v>
      </c>
      <c r="AB266" s="142">
        <f>Mitigation_Industry!$E$755</f>
        <v>1.98450938723838E-3</v>
      </c>
      <c r="AC266" s="142">
        <f>Mitigation_Industry!$E$755</f>
        <v>1.98450938723838E-3</v>
      </c>
      <c r="AD266" s="142">
        <f>Mitigation_Industry!$E$755</f>
        <v>1.98450938723838E-3</v>
      </c>
      <c r="AE266" s="142">
        <f>Mitigation_Industry!$E$755</f>
        <v>1.98450938723838E-3</v>
      </c>
      <c r="AF266" s="141"/>
      <c r="AG266" s="141"/>
      <c r="AH266" s="141"/>
      <c r="AI266" s="141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8" t="str">
        <f>Settings!$B$3&amp;".mit.bf.frt.ure.2"</f>
        <v>egy.mit.bf.frt.ure.2</v>
      </c>
      <c r="K267" s="139"/>
      <c r="L267" s="142">
        <f>Mitigation_Industry!$E$756</f>
        <v>0</v>
      </c>
      <c r="M267" s="142">
        <f>Mitigation_Industry!$E$756</f>
        <v>0</v>
      </c>
      <c r="N267" s="142">
        <f>Mitigation_Industry!$E$756</f>
        <v>0</v>
      </c>
      <c r="O267" s="142">
        <f>Mitigation_Industry!$E$756</f>
        <v>0</v>
      </c>
      <c r="P267" s="142">
        <f>Mitigation_Industry!$E$756</f>
        <v>0</v>
      </c>
      <c r="Q267" s="142">
        <f>Mitigation_Industry!$E$756</f>
        <v>0</v>
      </c>
      <c r="R267" s="142">
        <f>Mitigation_Industry!$E$756</f>
        <v>0</v>
      </c>
      <c r="S267" s="142">
        <f>Mitigation_Industry!$E$756</f>
        <v>0</v>
      </c>
      <c r="T267" s="142">
        <f>Mitigation_Industry!$E$756</f>
        <v>0</v>
      </c>
      <c r="U267" s="142">
        <f>Mitigation_Industry!$E$756</f>
        <v>0</v>
      </c>
      <c r="V267" s="142">
        <f>Mitigation_Industry!$E$756</f>
        <v>0</v>
      </c>
      <c r="W267" s="142">
        <f>Mitigation_Industry!$E$756</f>
        <v>0</v>
      </c>
      <c r="X267" s="142">
        <f>Mitigation_Industry!$E$756</f>
        <v>0</v>
      </c>
      <c r="Y267" s="142">
        <f>Mitigation_Industry!$E$756</f>
        <v>0</v>
      </c>
      <c r="Z267" s="142">
        <f>Mitigation_Industry!$E$756</f>
        <v>0</v>
      </c>
      <c r="AA267" s="142">
        <f>Mitigation_Industry!$E$756</f>
        <v>0</v>
      </c>
      <c r="AB267" s="142">
        <f>Mitigation_Industry!$E$756</f>
        <v>0</v>
      </c>
      <c r="AC267" s="142">
        <f>Mitigation_Industry!$E$756</f>
        <v>0</v>
      </c>
      <c r="AD267" s="142">
        <f>Mitigation_Industry!$E$756</f>
        <v>0</v>
      </c>
      <c r="AE267" s="142">
        <f>Mitigation_Industry!$E$756</f>
        <v>0</v>
      </c>
      <c r="AF267" s="141"/>
      <c r="AG267" s="141"/>
      <c r="AH267" s="141"/>
      <c r="AI267" s="141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8" t="str">
        <f>Settings!$B$3&amp;".mit.bf.frt.nit.2"</f>
        <v>egy.mit.bf.frt.nit.2</v>
      </c>
      <c r="K268" s="139"/>
      <c r="L268" s="142">
        <f>Mitigation_Industry!$E$757</f>
        <v>1.04982212449868E-2</v>
      </c>
      <c r="M268" s="142">
        <f>Mitigation_Industry!$E$757</f>
        <v>1.04982212449868E-2</v>
      </c>
      <c r="N268" s="142">
        <f>Mitigation_Industry!$E$757</f>
        <v>1.04982212449868E-2</v>
      </c>
      <c r="O268" s="142">
        <f>Mitigation_Industry!$E$757</f>
        <v>1.04982212449868E-2</v>
      </c>
      <c r="P268" s="142">
        <f>Mitigation_Industry!$E$757</f>
        <v>1.04982212449868E-2</v>
      </c>
      <c r="Q268" s="142">
        <f>Mitigation_Industry!$E$757</f>
        <v>1.04982212449868E-2</v>
      </c>
      <c r="R268" s="142">
        <f>Mitigation_Industry!$E$757</f>
        <v>1.04982212449868E-2</v>
      </c>
      <c r="S268" s="142">
        <f>Mitigation_Industry!$E$757</f>
        <v>1.04982212449868E-2</v>
      </c>
      <c r="T268" s="142">
        <f>Mitigation_Industry!$E$757</f>
        <v>1.04982212449868E-2</v>
      </c>
      <c r="U268" s="142">
        <f>Mitigation_Industry!$E$757</f>
        <v>1.04982212449868E-2</v>
      </c>
      <c r="V268" s="142">
        <f>Mitigation_Industry!$E$757</f>
        <v>1.04982212449868E-2</v>
      </c>
      <c r="W268" s="142">
        <f>Mitigation_Industry!$E$757</f>
        <v>1.04982212449868E-2</v>
      </c>
      <c r="X268" s="142">
        <f>Mitigation_Industry!$E$757</f>
        <v>1.04982212449868E-2</v>
      </c>
      <c r="Y268" s="142">
        <f>Mitigation_Industry!$E$757</f>
        <v>1.04982212449868E-2</v>
      </c>
      <c r="Z268" s="142">
        <f>Mitigation_Industry!$E$757</f>
        <v>1.04982212449868E-2</v>
      </c>
      <c r="AA268" s="142">
        <f>Mitigation_Industry!$E$757</f>
        <v>1.04982212449868E-2</v>
      </c>
      <c r="AB268" s="142">
        <f>Mitigation_Industry!$E$757</f>
        <v>1.04982212449868E-2</v>
      </c>
      <c r="AC268" s="142">
        <f>Mitigation_Industry!$E$757</f>
        <v>1.04982212449868E-2</v>
      </c>
      <c r="AD268" s="142">
        <f>Mitigation_Industry!$E$757</f>
        <v>1.04982212449868E-2</v>
      </c>
      <c r="AE268" s="142">
        <f>Mitigation_Industry!$E$757</f>
        <v>1.04982212449868E-2</v>
      </c>
      <c r="AF268" s="141"/>
      <c r="AG268" s="141"/>
      <c r="AH268" s="141"/>
      <c r="AI268" s="141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8" t="str">
        <f>Settings!$B$3&amp;".mit.bf.alu.prp.2"</f>
        <v>egy.mit.bf.alu.prp.2</v>
      </c>
      <c r="K269" s="139"/>
      <c r="L269" s="142">
        <f>Mitigation_Industry!$E$758</f>
        <v>8.3381608939051E-4</v>
      </c>
      <c r="M269" s="142">
        <f>Mitigation_Industry!$E$758</f>
        <v>8.3381608939051E-4</v>
      </c>
      <c r="N269" s="142">
        <f>Mitigation_Industry!$E$758</f>
        <v>8.3381608939051E-4</v>
      </c>
      <c r="O269" s="142">
        <f>Mitigation_Industry!$E$758</f>
        <v>8.3381608939051E-4</v>
      </c>
      <c r="P269" s="142">
        <f>Mitigation_Industry!$E$758</f>
        <v>8.3381608939051E-4</v>
      </c>
      <c r="Q269" s="142">
        <f>Mitigation_Industry!$E$758</f>
        <v>8.3381608939051E-4</v>
      </c>
      <c r="R269" s="142">
        <f>Mitigation_Industry!$E$758</f>
        <v>8.3381608939051E-4</v>
      </c>
      <c r="S269" s="142">
        <f>Mitigation_Industry!$E$758</f>
        <v>8.3381608939051E-4</v>
      </c>
      <c r="T269" s="142">
        <f>Mitigation_Industry!$E$758</f>
        <v>8.3381608939051E-4</v>
      </c>
      <c r="U269" s="142">
        <f>Mitigation_Industry!$E$758</f>
        <v>8.3381608939051E-4</v>
      </c>
      <c r="V269" s="142">
        <f>Mitigation_Industry!$E$758</f>
        <v>8.3381608939051E-4</v>
      </c>
      <c r="W269" s="142">
        <f>Mitigation_Industry!$E$758</f>
        <v>8.3381608939051E-4</v>
      </c>
      <c r="X269" s="142">
        <f>Mitigation_Industry!$E$758</f>
        <v>8.3381608939051E-4</v>
      </c>
      <c r="Y269" s="142">
        <f>Mitigation_Industry!$E$758</f>
        <v>8.3381608939051E-4</v>
      </c>
      <c r="Z269" s="142">
        <f>Mitigation_Industry!$E$758</f>
        <v>8.3381608939051E-4</v>
      </c>
      <c r="AA269" s="142">
        <f>Mitigation_Industry!$E$758</f>
        <v>8.3381608939051E-4</v>
      </c>
      <c r="AB269" s="142">
        <f>Mitigation_Industry!$E$758</f>
        <v>8.3381608939051E-4</v>
      </c>
      <c r="AC269" s="142">
        <f>Mitigation_Industry!$E$758</f>
        <v>8.3381608939051E-4</v>
      </c>
      <c r="AD269" s="142">
        <f>Mitigation_Industry!$E$758</f>
        <v>8.3381608939051E-4</v>
      </c>
      <c r="AE269" s="142">
        <f>Mitigation_Industry!$E$758</f>
        <v>8.3381608939051E-4</v>
      </c>
      <c r="AF269" s="141"/>
      <c r="AG269" s="141"/>
      <c r="AH269" s="141"/>
      <c r="AI269" s="141"/>
    </row>
    <row r="270" spans="1:35" x14ac:dyDescent="0.35"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7">
        <v>2021</v>
      </c>
      <c r="L271" s="138">
        <v>2022</v>
      </c>
      <c r="M271" s="137">
        <v>2023</v>
      </c>
      <c r="N271" s="137">
        <v>2024</v>
      </c>
      <c r="O271" s="137">
        <v>2025</v>
      </c>
      <c r="P271" s="137">
        <v>2026</v>
      </c>
      <c r="Q271" s="137">
        <v>2027</v>
      </c>
      <c r="R271" s="137">
        <v>2028</v>
      </c>
      <c r="S271" s="137">
        <v>2029</v>
      </c>
      <c r="T271" s="137">
        <v>2030</v>
      </c>
      <c r="U271" s="137">
        <v>2031</v>
      </c>
      <c r="V271" s="137">
        <v>2032</v>
      </c>
      <c r="W271" s="137">
        <v>2033</v>
      </c>
      <c r="X271" s="137">
        <v>2034</v>
      </c>
      <c r="Y271" s="137">
        <v>2035</v>
      </c>
      <c r="Z271" s="137">
        <v>2036</v>
      </c>
      <c r="AA271" s="137">
        <v>2037</v>
      </c>
      <c r="AB271" s="137">
        <v>2038</v>
      </c>
      <c r="AC271" s="137">
        <v>2039</v>
      </c>
      <c r="AD271" s="137">
        <v>2040</v>
      </c>
      <c r="AE271" s="137">
        <v>2041</v>
      </c>
      <c r="AF271" s="137">
        <v>2042</v>
      </c>
      <c r="AG271" s="137">
        <v>2043</v>
      </c>
      <c r="AH271" s="137">
        <v>2044</v>
      </c>
      <c r="AI271" s="137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8" t="str">
        <f>Settings!$B$3&amp;".mit.bp.stl.drg.np.2"</f>
        <v>egy.mit.bp.stl.drg.np.2</v>
      </c>
      <c r="I272" t="s">
        <v>2621</v>
      </c>
      <c r="K272" s="139"/>
      <c r="L272" s="142">
        <f>Mitigation_Industry!$E$762</f>
        <v>3.4469507031574592E-3</v>
      </c>
      <c r="M272" s="142">
        <f>Mitigation_Industry!$E$762</f>
        <v>3.4469507031574592E-3</v>
      </c>
      <c r="N272" s="142">
        <f>Mitigation_Industry!$E$762</f>
        <v>3.4469507031574592E-3</v>
      </c>
      <c r="O272" s="142">
        <f>Mitigation_Industry!$E$762</f>
        <v>3.4469507031574592E-3</v>
      </c>
      <c r="P272" s="142">
        <f>Mitigation_Industry!$E$762</f>
        <v>3.4469507031574592E-3</v>
      </c>
      <c r="Q272" s="142">
        <f>Mitigation_Industry!$E$762</f>
        <v>3.4469507031574592E-3</v>
      </c>
      <c r="R272" s="142">
        <f>Mitigation_Industry!$E$762</f>
        <v>3.4469507031574592E-3</v>
      </c>
      <c r="S272" s="142">
        <f>Mitigation_Industry!$E$762</f>
        <v>3.4469507031574592E-3</v>
      </c>
      <c r="T272" s="142">
        <f>Mitigation_Industry!$E$762</f>
        <v>3.4469507031574592E-3</v>
      </c>
      <c r="U272" s="142">
        <f>Mitigation_Industry!$E$762</f>
        <v>3.4469507031574592E-3</v>
      </c>
      <c r="V272" s="142">
        <f>Mitigation_Industry!$E$762</f>
        <v>3.4469507031574592E-3</v>
      </c>
      <c r="W272" s="142">
        <f>Mitigation_Industry!$E$762</f>
        <v>3.4469507031574592E-3</v>
      </c>
      <c r="X272" s="142">
        <f>Mitigation_Industry!$E$762</f>
        <v>3.4469507031574592E-3</v>
      </c>
      <c r="Y272" s="142">
        <f>Mitigation_Industry!$E$762</f>
        <v>3.4469507031574592E-3</v>
      </c>
      <c r="Z272" s="142">
        <f>Mitigation_Industry!$E$762</f>
        <v>3.4469507031574592E-3</v>
      </c>
      <c r="AA272" s="142">
        <f>Mitigation_Industry!$E$762</f>
        <v>3.4469507031574592E-3</v>
      </c>
      <c r="AB272" s="142">
        <f>Mitigation_Industry!$E$762</f>
        <v>3.4469507031574592E-3</v>
      </c>
      <c r="AC272" s="142">
        <f>Mitigation_Industry!$E$762</f>
        <v>3.4469507031574592E-3</v>
      </c>
      <c r="AD272" s="142">
        <f>Mitigation_Industry!$E$762</f>
        <v>3.4469507031574592E-3</v>
      </c>
      <c r="AE272" s="142">
        <f>Mitigation_Industry!$E$762</f>
        <v>3.4469507031574592E-3</v>
      </c>
      <c r="AF272" s="141"/>
      <c r="AG272" s="141"/>
      <c r="AH272" s="141"/>
      <c r="AI272" s="141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8" t="str">
        <f>Settings!$B$3&amp;".mit.bp.stl.scr.np.2"</f>
        <v>egy.mit.bp.stl.scr.np.2</v>
      </c>
      <c r="K273" s="139"/>
      <c r="L273" s="142">
        <f>Mitigation_Industry!$E$763</f>
        <v>1.6366491404021942E-3</v>
      </c>
      <c r="M273" s="142">
        <f>Mitigation_Industry!$E$763</f>
        <v>1.6366491404021942E-3</v>
      </c>
      <c r="N273" s="142">
        <f>Mitigation_Industry!$E$763</f>
        <v>1.6366491404021942E-3</v>
      </c>
      <c r="O273" s="142">
        <f>Mitigation_Industry!$E$763</f>
        <v>1.6366491404021942E-3</v>
      </c>
      <c r="P273" s="142">
        <f>Mitigation_Industry!$E$763</f>
        <v>1.6366491404021942E-3</v>
      </c>
      <c r="Q273" s="142">
        <f>Mitigation_Industry!$E$763</f>
        <v>1.6366491404021942E-3</v>
      </c>
      <c r="R273" s="142">
        <f>Mitigation_Industry!$E$763</f>
        <v>1.6366491404021942E-3</v>
      </c>
      <c r="S273" s="142">
        <f>Mitigation_Industry!$E$763</f>
        <v>1.6366491404021942E-3</v>
      </c>
      <c r="T273" s="142">
        <f>Mitigation_Industry!$E$763</f>
        <v>1.6366491404021942E-3</v>
      </c>
      <c r="U273" s="142">
        <f>Mitigation_Industry!$E$763</f>
        <v>1.6366491404021942E-3</v>
      </c>
      <c r="V273" s="142">
        <f>Mitigation_Industry!$E$763</f>
        <v>1.6366491404021942E-3</v>
      </c>
      <c r="W273" s="142">
        <f>Mitigation_Industry!$E$763</f>
        <v>1.6366491404021942E-3</v>
      </c>
      <c r="X273" s="142">
        <f>Mitigation_Industry!$E$763</f>
        <v>1.6366491404021942E-3</v>
      </c>
      <c r="Y273" s="142">
        <f>Mitigation_Industry!$E$763</f>
        <v>1.6366491404021942E-3</v>
      </c>
      <c r="Z273" s="142">
        <f>Mitigation_Industry!$E$763</f>
        <v>1.6366491404021942E-3</v>
      </c>
      <c r="AA273" s="142">
        <f>Mitigation_Industry!$E$763</f>
        <v>1.6366491404021942E-3</v>
      </c>
      <c r="AB273" s="142">
        <f>Mitigation_Industry!$E$763</f>
        <v>1.6366491404021942E-3</v>
      </c>
      <c r="AC273" s="142">
        <f>Mitigation_Industry!$E$763</f>
        <v>1.6366491404021942E-3</v>
      </c>
      <c r="AD273" s="142">
        <f>Mitigation_Industry!$E$763</f>
        <v>1.6366491404021942E-3</v>
      </c>
      <c r="AE273" s="142">
        <f>Mitigation_Industry!$E$763</f>
        <v>1.6366491404021942E-3</v>
      </c>
      <c r="AF273" s="141"/>
      <c r="AG273" s="141"/>
      <c r="AH273" s="141"/>
      <c r="AI273" s="141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8" t="str">
        <f>Settings!$B$3&amp;".mit.bp.stl.bof.np.2"</f>
        <v>egy.mit.bp.stl.bof.np.2</v>
      </c>
      <c r="K274" s="139"/>
      <c r="L274" s="142">
        <f>Mitigation_Industry!$E$764</f>
        <v>2.6960722989211347E-3</v>
      </c>
      <c r="M274" s="142">
        <f>Mitigation_Industry!$E$764</f>
        <v>2.6960722989211347E-3</v>
      </c>
      <c r="N274" s="142">
        <f>Mitigation_Industry!$E$764</f>
        <v>2.6960722989211347E-3</v>
      </c>
      <c r="O274" s="142">
        <f>Mitigation_Industry!$E$764</f>
        <v>2.6960722989211347E-3</v>
      </c>
      <c r="P274" s="142">
        <f>Mitigation_Industry!$E$764</f>
        <v>2.6960722989211347E-3</v>
      </c>
      <c r="Q274" s="142">
        <f>Mitigation_Industry!$E$764</f>
        <v>2.6960722989211347E-3</v>
      </c>
      <c r="R274" s="142">
        <f>Mitigation_Industry!$E$764</f>
        <v>2.6960722989211347E-3</v>
      </c>
      <c r="S274" s="142">
        <f>Mitigation_Industry!$E$764</f>
        <v>2.6960722989211347E-3</v>
      </c>
      <c r="T274" s="142">
        <f>Mitigation_Industry!$E$764</f>
        <v>2.6960722989211347E-3</v>
      </c>
      <c r="U274" s="142">
        <f>Mitigation_Industry!$E$764</f>
        <v>2.6960722989211347E-3</v>
      </c>
      <c r="V274" s="142">
        <f>Mitigation_Industry!$E$764</f>
        <v>2.6960722989211347E-3</v>
      </c>
      <c r="W274" s="142">
        <f>Mitigation_Industry!$E$764</f>
        <v>2.6960722989211347E-3</v>
      </c>
      <c r="X274" s="142">
        <f>Mitigation_Industry!$E$764</f>
        <v>2.6960722989211347E-3</v>
      </c>
      <c r="Y274" s="142">
        <f>Mitigation_Industry!$E$764</f>
        <v>2.6960722989211347E-3</v>
      </c>
      <c r="Z274" s="142">
        <f>Mitigation_Industry!$E$764</f>
        <v>2.6960722989211347E-3</v>
      </c>
      <c r="AA274" s="142">
        <f>Mitigation_Industry!$E$764</f>
        <v>2.6960722989211347E-3</v>
      </c>
      <c r="AB274" s="142">
        <f>Mitigation_Industry!$E$764</f>
        <v>2.6960722989211347E-3</v>
      </c>
      <c r="AC274" s="142">
        <f>Mitigation_Industry!$E$764</f>
        <v>2.6960722989211347E-3</v>
      </c>
      <c r="AD274" s="142">
        <f>Mitigation_Industry!$E$764</f>
        <v>2.6960722989211347E-3</v>
      </c>
      <c r="AE274" s="142">
        <f>Mitigation_Industry!$E$764</f>
        <v>2.6960722989211347E-3</v>
      </c>
      <c r="AF274" s="141"/>
      <c r="AG274" s="141"/>
      <c r="AH274" s="141"/>
      <c r="AI274" s="141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8" t="str">
        <f>Settings!$B$3&amp;".mit.bp.cmt.dry.np.2"</f>
        <v>egy.mit.bp.cmt.dry.np.2</v>
      </c>
      <c r="K275" s="139"/>
      <c r="L275" s="142">
        <f>Mitigation_Industry!$E$765</f>
        <v>3.3464675036139224E-3</v>
      </c>
      <c r="M275" s="142">
        <f>Mitigation_Industry!$E$765</f>
        <v>3.3464675036139224E-3</v>
      </c>
      <c r="N275" s="142">
        <f>Mitigation_Industry!$E$765</f>
        <v>3.3464675036139224E-3</v>
      </c>
      <c r="O275" s="142">
        <f>Mitigation_Industry!$E$765</f>
        <v>3.3464675036139224E-3</v>
      </c>
      <c r="P275" s="142">
        <f>Mitigation_Industry!$E$765</f>
        <v>3.3464675036139224E-3</v>
      </c>
      <c r="Q275" s="142">
        <f>Mitigation_Industry!$E$765</f>
        <v>3.3464675036139224E-3</v>
      </c>
      <c r="R275" s="142">
        <f>Mitigation_Industry!$E$765</f>
        <v>3.3464675036139224E-3</v>
      </c>
      <c r="S275" s="142">
        <f>Mitigation_Industry!$E$765</f>
        <v>3.3464675036139224E-3</v>
      </c>
      <c r="T275" s="142">
        <f>Mitigation_Industry!$E$765</f>
        <v>3.3464675036139224E-3</v>
      </c>
      <c r="U275" s="142">
        <f>Mitigation_Industry!$E$765</f>
        <v>3.3464675036139224E-3</v>
      </c>
      <c r="V275" s="142">
        <f>Mitigation_Industry!$E$765</f>
        <v>3.3464675036139224E-3</v>
      </c>
      <c r="W275" s="142">
        <f>Mitigation_Industry!$E$765</f>
        <v>3.3464675036139224E-3</v>
      </c>
      <c r="X275" s="142">
        <f>Mitigation_Industry!$E$765</f>
        <v>3.3464675036139224E-3</v>
      </c>
      <c r="Y275" s="142">
        <f>Mitigation_Industry!$E$765</f>
        <v>3.3464675036139224E-3</v>
      </c>
      <c r="Z275" s="142">
        <f>Mitigation_Industry!$E$765</f>
        <v>3.3464675036139224E-3</v>
      </c>
      <c r="AA275" s="142">
        <f>Mitigation_Industry!$E$765</f>
        <v>3.3464675036139224E-3</v>
      </c>
      <c r="AB275" s="142">
        <f>Mitigation_Industry!$E$765</f>
        <v>3.3464675036139224E-3</v>
      </c>
      <c r="AC275" s="142">
        <f>Mitigation_Industry!$E$765</f>
        <v>3.3464675036139224E-3</v>
      </c>
      <c r="AD275" s="142">
        <f>Mitigation_Industry!$E$765</f>
        <v>3.3464675036139224E-3</v>
      </c>
      <c r="AE275" s="142">
        <f>Mitigation_Industry!$E$765</f>
        <v>3.3464675036139224E-3</v>
      </c>
      <c r="AF275" s="141"/>
      <c r="AG275" s="141"/>
      <c r="AH275" s="141"/>
      <c r="AI275" s="141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8" t="str">
        <f>Settings!$B$3&amp;".mit.bp.frt.amc.np.2"</f>
        <v>egy.mit.bp.frt.amc.np.2</v>
      </c>
      <c r="K276" s="139"/>
      <c r="L276" s="142">
        <f>Mitigation_Industry!$E$766</f>
        <v>0</v>
      </c>
      <c r="M276" s="142">
        <f>Mitigation_Industry!$E$766</f>
        <v>0</v>
      </c>
      <c r="N276" s="142">
        <f>Mitigation_Industry!$E$766</f>
        <v>0</v>
      </c>
      <c r="O276" s="142">
        <f>Mitigation_Industry!$E$766</f>
        <v>0</v>
      </c>
      <c r="P276" s="142">
        <f>Mitigation_Industry!$E$766</f>
        <v>0</v>
      </c>
      <c r="Q276" s="142">
        <f>Mitigation_Industry!$E$766</f>
        <v>0</v>
      </c>
      <c r="R276" s="142">
        <f>Mitigation_Industry!$E$766</f>
        <v>0</v>
      </c>
      <c r="S276" s="142">
        <f>Mitigation_Industry!$E$766</f>
        <v>0</v>
      </c>
      <c r="T276" s="142">
        <f>Mitigation_Industry!$E$766</f>
        <v>0</v>
      </c>
      <c r="U276" s="142">
        <f>Mitigation_Industry!$E$766</f>
        <v>0</v>
      </c>
      <c r="V276" s="142">
        <f>Mitigation_Industry!$E$766</f>
        <v>0</v>
      </c>
      <c r="W276" s="142">
        <f>Mitigation_Industry!$E$766</f>
        <v>0</v>
      </c>
      <c r="X276" s="142">
        <f>Mitigation_Industry!$E$766</f>
        <v>0</v>
      </c>
      <c r="Y276" s="142">
        <f>Mitigation_Industry!$E$766</f>
        <v>0</v>
      </c>
      <c r="Z276" s="142">
        <f>Mitigation_Industry!$E$766</f>
        <v>0</v>
      </c>
      <c r="AA276" s="142">
        <f>Mitigation_Industry!$E$766</f>
        <v>0</v>
      </c>
      <c r="AB276" s="142">
        <f>Mitigation_Industry!$E$766</f>
        <v>0</v>
      </c>
      <c r="AC276" s="142">
        <f>Mitigation_Industry!$E$766</f>
        <v>0</v>
      </c>
      <c r="AD276" s="142">
        <f>Mitigation_Industry!$E$766</f>
        <v>0</v>
      </c>
      <c r="AE276" s="142">
        <f>Mitigation_Industry!$E$766</f>
        <v>0</v>
      </c>
      <c r="AF276" s="141"/>
      <c r="AG276" s="141"/>
      <c r="AH276" s="141"/>
      <c r="AI276" s="141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8" t="str">
        <f>Settings!$B$3&amp;".mit.bp.frt.ure.np.2"</f>
        <v>egy.mit.bp.frt.ure.np.2</v>
      </c>
      <c r="K277" s="139"/>
      <c r="L277" s="142">
        <f>Mitigation_Industry!$E$767</f>
        <v>0</v>
      </c>
      <c r="M277" s="142">
        <f>Mitigation_Industry!$E$767</f>
        <v>0</v>
      </c>
      <c r="N277" s="142">
        <f>Mitigation_Industry!$E$767</f>
        <v>0</v>
      </c>
      <c r="O277" s="142">
        <f>Mitigation_Industry!$E$767</f>
        <v>0</v>
      </c>
      <c r="P277" s="142">
        <f>Mitigation_Industry!$E$767</f>
        <v>0</v>
      </c>
      <c r="Q277" s="142">
        <f>Mitigation_Industry!$E$767</f>
        <v>0</v>
      </c>
      <c r="R277" s="142">
        <f>Mitigation_Industry!$E$767</f>
        <v>0</v>
      </c>
      <c r="S277" s="142">
        <f>Mitigation_Industry!$E$767</f>
        <v>0</v>
      </c>
      <c r="T277" s="142">
        <f>Mitigation_Industry!$E$767</f>
        <v>0</v>
      </c>
      <c r="U277" s="142">
        <f>Mitigation_Industry!$E$767</f>
        <v>0</v>
      </c>
      <c r="V277" s="142">
        <f>Mitigation_Industry!$E$767</f>
        <v>0</v>
      </c>
      <c r="W277" s="142">
        <f>Mitigation_Industry!$E$767</f>
        <v>0</v>
      </c>
      <c r="X277" s="142">
        <f>Mitigation_Industry!$E$767</f>
        <v>0</v>
      </c>
      <c r="Y277" s="142">
        <f>Mitigation_Industry!$E$767</f>
        <v>0</v>
      </c>
      <c r="Z277" s="142">
        <f>Mitigation_Industry!$E$767</f>
        <v>0</v>
      </c>
      <c r="AA277" s="142">
        <f>Mitigation_Industry!$E$767</f>
        <v>0</v>
      </c>
      <c r="AB277" s="142">
        <f>Mitigation_Industry!$E$767</f>
        <v>0</v>
      </c>
      <c r="AC277" s="142">
        <f>Mitigation_Industry!$E$767</f>
        <v>0</v>
      </c>
      <c r="AD277" s="142">
        <f>Mitigation_Industry!$E$767</f>
        <v>0</v>
      </c>
      <c r="AE277" s="142">
        <f>Mitigation_Industry!$E$767</f>
        <v>0</v>
      </c>
      <c r="AF277" s="141"/>
      <c r="AG277" s="141"/>
      <c r="AH277" s="141"/>
      <c r="AI277" s="141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8" t="str">
        <f>Settings!$B$3&amp;".mit.bp.frt.nit.np.2"</f>
        <v>egy.mit.bp.frt.nit.np.2</v>
      </c>
      <c r="K278" s="139"/>
      <c r="L278" s="142">
        <f>Mitigation_Industry!$E$768</f>
        <v>0</v>
      </c>
      <c r="M278" s="142">
        <f>Mitigation_Industry!$E$768</f>
        <v>0</v>
      </c>
      <c r="N278" s="142">
        <f>Mitigation_Industry!$E$768</f>
        <v>0</v>
      </c>
      <c r="O278" s="142">
        <f>Mitigation_Industry!$E$768</f>
        <v>0</v>
      </c>
      <c r="P278" s="142">
        <f>Mitigation_Industry!$E$768</f>
        <v>0</v>
      </c>
      <c r="Q278" s="142">
        <f>Mitigation_Industry!$E$768</f>
        <v>0</v>
      </c>
      <c r="R278" s="142">
        <f>Mitigation_Industry!$E$768</f>
        <v>0</v>
      </c>
      <c r="S278" s="142">
        <f>Mitigation_Industry!$E$768</f>
        <v>0</v>
      </c>
      <c r="T278" s="142">
        <f>Mitigation_Industry!$E$768</f>
        <v>0</v>
      </c>
      <c r="U278" s="142">
        <f>Mitigation_Industry!$E$768</f>
        <v>0</v>
      </c>
      <c r="V278" s="142">
        <f>Mitigation_Industry!$E$768</f>
        <v>0</v>
      </c>
      <c r="W278" s="142">
        <f>Mitigation_Industry!$E$768</f>
        <v>0</v>
      </c>
      <c r="X278" s="142">
        <f>Mitigation_Industry!$E$768</f>
        <v>0</v>
      </c>
      <c r="Y278" s="142">
        <f>Mitigation_Industry!$E$768</f>
        <v>0</v>
      </c>
      <c r="Z278" s="142">
        <f>Mitigation_Industry!$E$768</f>
        <v>0</v>
      </c>
      <c r="AA278" s="142">
        <f>Mitigation_Industry!$E$768</f>
        <v>0</v>
      </c>
      <c r="AB278" s="142">
        <f>Mitigation_Industry!$E$768</f>
        <v>0</v>
      </c>
      <c r="AC278" s="142">
        <f>Mitigation_Industry!$E$768</f>
        <v>0</v>
      </c>
      <c r="AD278" s="142">
        <f>Mitigation_Industry!$E$768</f>
        <v>0</v>
      </c>
      <c r="AE278" s="142">
        <f>Mitigation_Industry!$E$768</f>
        <v>0</v>
      </c>
      <c r="AF278" s="141"/>
      <c r="AG278" s="141"/>
      <c r="AH278" s="141"/>
      <c r="AI278" s="141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8" t="str">
        <f>Settings!$B$3&amp;".mit.bp.alu.prp.np.2"</f>
        <v>egy.mit.bp.alu.prp.np.2</v>
      </c>
      <c r="K279" s="139"/>
      <c r="L279" s="142">
        <f>Mitigation_Industry!$E$769</f>
        <v>1.9988245320635362E-3</v>
      </c>
      <c r="M279" s="142">
        <f>Mitigation_Industry!$E$769</f>
        <v>1.9988245320635362E-3</v>
      </c>
      <c r="N279" s="142">
        <f>Mitigation_Industry!$E$769</f>
        <v>1.9988245320635362E-3</v>
      </c>
      <c r="O279" s="142">
        <f>Mitigation_Industry!$E$769</f>
        <v>1.9988245320635362E-3</v>
      </c>
      <c r="P279" s="142">
        <f>Mitigation_Industry!$E$769</f>
        <v>1.9988245320635362E-3</v>
      </c>
      <c r="Q279" s="142">
        <f>Mitigation_Industry!$E$769</f>
        <v>1.9988245320635362E-3</v>
      </c>
      <c r="R279" s="142">
        <f>Mitigation_Industry!$E$769</f>
        <v>1.9988245320635362E-3</v>
      </c>
      <c r="S279" s="142">
        <f>Mitigation_Industry!$E$769</f>
        <v>1.9988245320635362E-3</v>
      </c>
      <c r="T279" s="142">
        <f>Mitigation_Industry!$E$769</f>
        <v>1.9988245320635362E-3</v>
      </c>
      <c r="U279" s="142">
        <f>Mitigation_Industry!$E$769</f>
        <v>1.9988245320635362E-3</v>
      </c>
      <c r="V279" s="142">
        <f>Mitigation_Industry!$E$769</f>
        <v>1.9988245320635362E-3</v>
      </c>
      <c r="W279" s="142">
        <f>Mitigation_Industry!$E$769</f>
        <v>1.9988245320635362E-3</v>
      </c>
      <c r="X279" s="142">
        <f>Mitigation_Industry!$E$769</f>
        <v>1.9988245320635362E-3</v>
      </c>
      <c r="Y279" s="142">
        <f>Mitigation_Industry!$E$769</f>
        <v>1.9988245320635362E-3</v>
      </c>
      <c r="Z279" s="142">
        <f>Mitigation_Industry!$E$769</f>
        <v>1.9988245320635362E-3</v>
      </c>
      <c r="AA279" s="142">
        <f>Mitigation_Industry!$E$769</f>
        <v>1.9988245320635362E-3</v>
      </c>
      <c r="AB279" s="142">
        <f>Mitigation_Industry!$E$769</f>
        <v>1.9988245320635362E-3</v>
      </c>
      <c r="AC279" s="142">
        <f>Mitigation_Industry!$E$769</f>
        <v>1.9988245320635362E-3</v>
      </c>
      <c r="AD279" s="142">
        <f>Mitigation_Industry!$E$769</f>
        <v>1.9988245320635362E-3</v>
      </c>
      <c r="AE279" s="142">
        <f>Mitigation_Industry!$E$769</f>
        <v>1.9988245320635362E-3</v>
      </c>
      <c r="AF279" s="141"/>
      <c r="AG279" s="141"/>
      <c r="AH279" s="141"/>
      <c r="AI279" s="141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8" t="str">
        <f>Settings!$B$3&amp;".mit.bp.stl.drg.no.2"</f>
        <v>egy.mit.bp.stl.drg.no.2</v>
      </c>
      <c r="K280" s="139"/>
      <c r="L280" s="142">
        <f>Mitigation_Industry!$G$762</f>
        <v>0</v>
      </c>
      <c r="M280" s="142">
        <f>Mitigation_Industry!$G$762</f>
        <v>0</v>
      </c>
      <c r="N280" s="142">
        <f>Mitigation_Industry!$G$762</f>
        <v>0</v>
      </c>
      <c r="O280" s="142">
        <f>Mitigation_Industry!$G$762</f>
        <v>0</v>
      </c>
      <c r="P280" s="142">
        <f>Mitigation_Industry!$G$762</f>
        <v>0</v>
      </c>
      <c r="Q280" s="142">
        <f>Mitigation_Industry!$G$762</f>
        <v>0</v>
      </c>
      <c r="R280" s="142">
        <f>Mitigation_Industry!$G$762</f>
        <v>0</v>
      </c>
      <c r="S280" s="142">
        <f>Mitigation_Industry!$G$762</f>
        <v>0</v>
      </c>
      <c r="T280" s="142">
        <f>Mitigation_Industry!$G$762</f>
        <v>0</v>
      </c>
      <c r="U280" s="142">
        <f>Mitigation_Industry!$G$762</f>
        <v>0</v>
      </c>
      <c r="V280" s="142">
        <f>Mitigation_Industry!$G$762</f>
        <v>0</v>
      </c>
      <c r="W280" s="142">
        <f>Mitigation_Industry!$G$762</f>
        <v>0</v>
      </c>
      <c r="X280" s="142">
        <f>Mitigation_Industry!$G$762</f>
        <v>0</v>
      </c>
      <c r="Y280" s="142">
        <f>Mitigation_Industry!$G$762</f>
        <v>0</v>
      </c>
      <c r="Z280" s="142">
        <f>Mitigation_Industry!$G$762</f>
        <v>0</v>
      </c>
      <c r="AA280" s="142">
        <f>Mitigation_Industry!$G$762</f>
        <v>0</v>
      </c>
      <c r="AB280" s="142">
        <f>Mitigation_Industry!$G$762</f>
        <v>0</v>
      </c>
      <c r="AC280" s="142">
        <f>Mitigation_Industry!$G$762</f>
        <v>0</v>
      </c>
      <c r="AD280" s="142">
        <f>Mitigation_Industry!$G$762</f>
        <v>0</v>
      </c>
      <c r="AE280" s="142">
        <f>Mitigation_Industry!$G$762</f>
        <v>0</v>
      </c>
      <c r="AF280" s="141"/>
      <c r="AG280" s="141"/>
      <c r="AH280" s="141"/>
      <c r="AI280" s="141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8" t="str">
        <f>Settings!$B$3&amp;".mit.bp.stl.scr.no.2"</f>
        <v>egy.mit.bp.stl.scr.no.2</v>
      </c>
      <c r="K281" s="139"/>
      <c r="L281" s="142">
        <f>Mitigation_Industry!$G$763</f>
        <v>0</v>
      </c>
      <c r="M281" s="142">
        <f>Mitigation_Industry!$G$763</f>
        <v>0</v>
      </c>
      <c r="N281" s="142">
        <f>Mitigation_Industry!$G$763</f>
        <v>0</v>
      </c>
      <c r="O281" s="142">
        <f>Mitigation_Industry!$G$763</f>
        <v>0</v>
      </c>
      <c r="P281" s="142">
        <f>Mitigation_Industry!$G$763</f>
        <v>0</v>
      </c>
      <c r="Q281" s="142">
        <f>Mitigation_Industry!$G$763</f>
        <v>0</v>
      </c>
      <c r="R281" s="142">
        <f>Mitigation_Industry!$G$763</f>
        <v>0</v>
      </c>
      <c r="S281" s="142">
        <f>Mitigation_Industry!$G$763</f>
        <v>0</v>
      </c>
      <c r="T281" s="142">
        <f>Mitigation_Industry!$G$763</f>
        <v>0</v>
      </c>
      <c r="U281" s="142">
        <f>Mitigation_Industry!$G$763</f>
        <v>0</v>
      </c>
      <c r="V281" s="142">
        <f>Mitigation_Industry!$G$763</f>
        <v>0</v>
      </c>
      <c r="W281" s="142">
        <f>Mitigation_Industry!$G$763</f>
        <v>0</v>
      </c>
      <c r="X281" s="142">
        <f>Mitigation_Industry!$G$763</f>
        <v>0</v>
      </c>
      <c r="Y281" s="142">
        <f>Mitigation_Industry!$G$763</f>
        <v>0</v>
      </c>
      <c r="Z281" s="142">
        <f>Mitigation_Industry!$G$763</f>
        <v>0</v>
      </c>
      <c r="AA281" s="142">
        <f>Mitigation_Industry!$G$763</f>
        <v>0</v>
      </c>
      <c r="AB281" s="142">
        <f>Mitigation_Industry!$G$763</f>
        <v>0</v>
      </c>
      <c r="AC281" s="142">
        <f>Mitigation_Industry!$G$763</f>
        <v>0</v>
      </c>
      <c r="AD281" s="142">
        <f>Mitigation_Industry!$G$763</f>
        <v>0</v>
      </c>
      <c r="AE281" s="142">
        <f>Mitigation_Industry!$G$763</f>
        <v>0</v>
      </c>
      <c r="AF281" s="141"/>
      <c r="AG281" s="141"/>
      <c r="AH281" s="141"/>
      <c r="AI281" s="141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8" t="str">
        <f>Settings!$B$3&amp;".mit.bp.stl.bof.no.2"</f>
        <v>egy.mit.bp.stl.bof.no.2</v>
      </c>
      <c r="K282" s="139"/>
      <c r="L282" s="142">
        <f>Mitigation_Industry!$G$764</f>
        <v>0</v>
      </c>
      <c r="M282" s="142">
        <f>Mitigation_Industry!$G$764</f>
        <v>0</v>
      </c>
      <c r="N282" s="142">
        <f>Mitigation_Industry!$G$764</f>
        <v>0</v>
      </c>
      <c r="O282" s="142">
        <f>Mitigation_Industry!$G$764</f>
        <v>0</v>
      </c>
      <c r="P282" s="142">
        <f>Mitigation_Industry!$G$764</f>
        <v>0</v>
      </c>
      <c r="Q282" s="142">
        <f>Mitigation_Industry!$G$764</f>
        <v>0</v>
      </c>
      <c r="R282" s="142">
        <f>Mitigation_Industry!$G$764</f>
        <v>0</v>
      </c>
      <c r="S282" s="142">
        <f>Mitigation_Industry!$G$764</f>
        <v>0</v>
      </c>
      <c r="T282" s="142">
        <f>Mitigation_Industry!$G$764</f>
        <v>0</v>
      </c>
      <c r="U282" s="142">
        <f>Mitigation_Industry!$G$764</f>
        <v>0</v>
      </c>
      <c r="V282" s="142">
        <f>Mitigation_Industry!$G$764</f>
        <v>0</v>
      </c>
      <c r="W282" s="142">
        <f>Mitigation_Industry!$G$764</f>
        <v>0</v>
      </c>
      <c r="X282" s="142">
        <f>Mitigation_Industry!$G$764</f>
        <v>0</v>
      </c>
      <c r="Y282" s="142">
        <f>Mitigation_Industry!$G$764</f>
        <v>0</v>
      </c>
      <c r="Z282" s="142">
        <f>Mitigation_Industry!$G$764</f>
        <v>0</v>
      </c>
      <c r="AA282" s="142">
        <f>Mitigation_Industry!$G$764</f>
        <v>0</v>
      </c>
      <c r="AB282" s="142">
        <f>Mitigation_Industry!$G$764</f>
        <v>0</v>
      </c>
      <c r="AC282" s="142">
        <f>Mitigation_Industry!$G$764</f>
        <v>0</v>
      </c>
      <c r="AD282" s="142">
        <f>Mitigation_Industry!$G$764</f>
        <v>0</v>
      </c>
      <c r="AE282" s="142">
        <f>Mitigation_Industry!$G$764</f>
        <v>0</v>
      </c>
      <c r="AF282" s="141"/>
      <c r="AG282" s="141"/>
      <c r="AH282" s="141"/>
      <c r="AI282" s="141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8" t="str">
        <f>Settings!$B$3&amp;".mit.bp.cmt.dry.no.2"</f>
        <v>egy.mit.bp.cmt.dry.no.2</v>
      </c>
      <c r="K283" s="139"/>
      <c r="L283" s="142">
        <f>Mitigation_Industry!$G$765</f>
        <v>0</v>
      </c>
      <c r="M283" s="142">
        <f>Mitigation_Industry!$G$765</f>
        <v>0</v>
      </c>
      <c r="N283" s="142">
        <f>Mitigation_Industry!$G$765</f>
        <v>0</v>
      </c>
      <c r="O283" s="142">
        <f>Mitigation_Industry!$G$765</f>
        <v>0</v>
      </c>
      <c r="P283" s="142">
        <f>Mitigation_Industry!$G$765</f>
        <v>0</v>
      </c>
      <c r="Q283" s="142">
        <f>Mitigation_Industry!$G$765</f>
        <v>0</v>
      </c>
      <c r="R283" s="142">
        <f>Mitigation_Industry!$G$765</f>
        <v>0</v>
      </c>
      <c r="S283" s="142">
        <f>Mitigation_Industry!$G$765</f>
        <v>0</v>
      </c>
      <c r="T283" s="142">
        <f>Mitigation_Industry!$G$765</f>
        <v>0</v>
      </c>
      <c r="U283" s="142">
        <f>Mitigation_Industry!$G$765</f>
        <v>0</v>
      </c>
      <c r="V283" s="142">
        <f>Mitigation_Industry!$G$765</f>
        <v>0</v>
      </c>
      <c r="W283" s="142">
        <f>Mitigation_Industry!$G$765</f>
        <v>0</v>
      </c>
      <c r="X283" s="142">
        <f>Mitigation_Industry!$G$765</f>
        <v>0</v>
      </c>
      <c r="Y283" s="142">
        <f>Mitigation_Industry!$G$765</f>
        <v>0</v>
      </c>
      <c r="Z283" s="142">
        <f>Mitigation_Industry!$G$765</f>
        <v>0</v>
      </c>
      <c r="AA283" s="142">
        <f>Mitigation_Industry!$G$765</f>
        <v>0</v>
      </c>
      <c r="AB283" s="142">
        <f>Mitigation_Industry!$G$765</f>
        <v>0</v>
      </c>
      <c r="AC283" s="142">
        <f>Mitigation_Industry!$G$765</f>
        <v>0</v>
      </c>
      <c r="AD283" s="142">
        <f>Mitigation_Industry!$G$765</f>
        <v>0</v>
      </c>
      <c r="AE283" s="142">
        <f>Mitigation_Industry!$G$765</f>
        <v>0</v>
      </c>
      <c r="AF283" s="141"/>
      <c r="AG283" s="141"/>
      <c r="AH283" s="141"/>
      <c r="AI283" s="141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8" t="str">
        <f>Settings!$B$3&amp;".mit.bp.frt.amc.no.2"</f>
        <v>egy.mit.bp.frt.amc.no.2</v>
      </c>
      <c r="K284" s="139"/>
      <c r="L284" s="142">
        <f>Mitigation_Industry!$G$766</f>
        <v>0</v>
      </c>
      <c r="M284" s="142">
        <f>Mitigation_Industry!$G$766</f>
        <v>0</v>
      </c>
      <c r="N284" s="142">
        <f>Mitigation_Industry!$G$766</f>
        <v>0</v>
      </c>
      <c r="O284" s="142">
        <f>Mitigation_Industry!$G$766</f>
        <v>0</v>
      </c>
      <c r="P284" s="142">
        <f>Mitigation_Industry!$G$766</f>
        <v>0</v>
      </c>
      <c r="Q284" s="142">
        <f>Mitigation_Industry!$G$766</f>
        <v>0</v>
      </c>
      <c r="R284" s="142">
        <f>Mitigation_Industry!$G$766</f>
        <v>0</v>
      </c>
      <c r="S284" s="142">
        <f>Mitigation_Industry!$G$766</f>
        <v>0</v>
      </c>
      <c r="T284" s="142">
        <f>Mitigation_Industry!$G$766</f>
        <v>0</v>
      </c>
      <c r="U284" s="142">
        <f>Mitigation_Industry!$G$766</f>
        <v>0</v>
      </c>
      <c r="V284" s="142">
        <f>Mitigation_Industry!$G$766</f>
        <v>0</v>
      </c>
      <c r="W284" s="142">
        <f>Mitigation_Industry!$G$766</f>
        <v>0</v>
      </c>
      <c r="X284" s="142">
        <f>Mitigation_Industry!$G$766</f>
        <v>0</v>
      </c>
      <c r="Y284" s="142">
        <f>Mitigation_Industry!$G$766</f>
        <v>0</v>
      </c>
      <c r="Z284" s="142">
        <f>Mitigation_Industry!$G$766</f>
        <v>0</v>
      </c>
      <c r="AA284" s="142">
        <f>Mitigation_Industry!$G$766</f>
        <v>0</v>
      </c>
      <c r="AB284" s="142">
        <f>Mitigation_Industry!$G$766</f>
        <v>0</v>
      </c>
      <c r="AC284" s="142">
        <f>Mitigation_Industry!$G$766</f>
        <v>0</v>
      </c>
      <c r="AD284" s="142">
        <f>Mitigation_Industry!$G$766</f>
        <v>0</v>
      </c>
      <c r="AE284" s="142">
        <f>Mitigation_Industry!$G$766</f>
        <v>0</v>
      </c>
      <c r="AF284" s="141"/>
      <c r="AG284" s="141"/>
      <c r="AH284" s="141"/>
      <c r="AI284" s="141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8" t="str">
        <f>Settings!$B$3&amp;".mit.bp.frt.ure.no.2"</f>
        <v>egy.mit.bp.frt.ure.no.2</v>
      </c>
      <c r="K285" s="139"/>
      <c r="L285" s="142">
        <f>Mitigation_Industry!$G$767</f>
        <v>0</v>
      </c>
      <c r="M285" s="142">
        <f>Mitigation_Industry!$G$767</f>
        <v>0</v>
      </c>
      <c r="N285" s="142">
        <f>Mitigation_Industry!$G$767</f>
        <v>0</v>
      </c>
      <c r="O285" s="142">
        <f>Mitigation_Industry!$G$767</f>
        <v>0</v>
      </c>
      <c r="P285" s="142">
        <f>Mitigation_Industry!$G$767</f>
        <v>0</v>
      </c>
      <c r="Q285" s="142">
        <f>Mitigation_Industry!$G$767</f>
        <v>0</v>
      </c>
      <c r="R285" s="142">
        <f>Mitigation_Industry!$G$767</f>
        <v>0</v>
      </c>
      <c r="S285" s="142">
        <f>Mitigation_Industry!$G$767</f>
        <v>0</v>
      </c>
      <c r="T285" s="142">
        <f>Mitigation_Industry!$G$767</f>
        <v>0</v>
      </c>
      <c r="U285" s="142">
        <f>Mitigation_Industry!$G$767</f>
        <v>0</v>
      </c>
      <c r="V285" s="142">
        <f>Mitigation_Industry!$G$767</f>
        <v>0</v>
      </c>
      <c r="W285" s="142">
        <f>Mitigation_Industry!$G$767</f>
        <v>0</v>
      </c>
      <c r="X285" s="142">
        <f>Mitigation_Industry!$G$767</f>
        <v>0</v>
      </c>
      <c r="Y285" s="142">
        <f>Mitigation_Industry!$G$767</f>
        <v>0</v>
      </c>
      <c r="Z285" s="142">
        <f>Mitigation_Industry!$G$767</f>
        <v>0</v>
      </c>
      <c r="AA285" s="142">
        <f>Mitigation_Industry!$G$767</f>
        <v>0</v>
      </c>
      <c r="AB285" s="142">
        <f>Mitigation_Industry!$G$767</f>
        <v>0</v>
      </c>
      <c r="AC285" s="142">
        <f>Mitigation_Industry!$G$767</f>
        <v>0</v>
      </c>
      <c r="AD285" s="142">
        <f>Mitigation_Industry!$G$767</f>
        <v>0</v>
      </c>
      <c r="AE285" s="142">
        <f>Mitigation_Industry!$G$767</f>
        <v>0</v>
      </c>
      <c r="AF285" s="141"/>
      <c r="AG285" s="141"/>
      <c r="AH285" s="141"/>
      <c r="AI285" s="141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8" t="str">
        <f>Settings!$B$3&amp;".mit.bp.frt.nit.no.2"</f>
        <v>egy.mit.bp.frt.nit.no.2</v>
      </c>
      <c r="K286" s="139"/>
      <c r="L286" s="142">
        <f>Mitigation_Industry!$G$768</f>
        <v>7.8858436436826454E-3</v>
      </c>
      <c r="M286" s="142">
        <f>Mitigation_Industry!$G$768</f>
        <v>7.8858436436826454E-3</v>
      </c>
      <c r="N286" s="142">
        <f>Mitigation_Industry!$G$768</f>
        <v>7.8858436436826454E-3</v>
      </c>
      <c r="O286" s="142">
        <f>Mitigation_Industry!$G$768</f>
        <v>7.8858436436826454E-3</v>
      </c>
      <c r="P286" s="142">
        <f>Mitigation_Industry!$G$768</f>
        <v>7.8858436436826454E-3</v>
      </c>
      <c r="Q286" s="142">
        <f>Mitigation_Industry!$G$768</f>
        <v>7.8858436436826454E-3</v>
      </c>
      <c r="R286" s="142">
        <f>Mitigation_Industry!$G$768</f>
        <v>7.8858436436826454E-3</v>
      </c>
      <c r="S286" s="142">
        <f>Mitigation_Industry!$G$768</f>
        <v>7.8858436436826454E-3</v>
      </c>
      <c r="T286" s="142">
        <f>Mitigation_Industry!$G$768</f>
        <v>7.8858436436826454E-3</v>
      </c>
      <c r="U286" s="142">
        <f>Mitigation_Industry!$G$768</f>
        <v>7.8858436436826454E-3</v>
      </c>
      <c r="V286" s="142">
        <f>Mitigation_Industry!$G$768</f>
        <v>7.8858436436826454E-3</v>
      </c>
      <c r="W286" s="142">
        <f>Mitigation_Industry!$G$768</f>
        <v>7.8858436436826454E-3</v>
      </c>
      <c r="X286" s="142">
        <f>Mitigation_Industry!$G$768</f>
        <v>7.8858436436826454E-3</v>
      </c>
      <c r="Y286" s="142">
        <f>Mitigation_Industry!$G$768</f>
        <v>7.8858436436826454E-3</v>
      </c>
      <c r="Z286" s="142">
        <f>Mitigation_Industry!$G$768</f>
        <v>7.8858436436826454E-3</v>
      </c>
      <c r="AA286" s="142">
        <f>Mitigation_Industry!$G$768</f>
        <v>7.8858436436826454E-3</v>
      </c>
      <c r="AB286" s="142">
        <f>Mitigation_Industry!$G$768</f>
        <v>7.8858436436826454E-3</v>
      </c>
      <c r="AC286" s="142">
        <f>Mitigation_Industry!$G$768</f>
        <v>7.8858436436826454E-3</v>
      </c>
      <c r="AD286" s="142">
        <f>Mitigation_Industry!$G$768</f>
        <v>7.8858436436826454E-3</v>
      </c>
      <c r="AE286" s="142">
        <f>Mitigation_Industry!$G$768</f>
        <v>7.8858436436826454E-3</v>
      </c>
      <c r="AF286" s="141"/>
      <c r="AG286" s="141"/>
      <c r="AH286" s="141"/>
      <c r="AI286" s="141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8" t="str">
        <f>Settings!$B$3&amp;".mit.bp.alu.prp.no.2"</f>
        <v>egy.mit.bp.alu.prp.no.2</v>
      </c>
      <c r="K287" s="139"/>
      <c r="L287" s="142">
        <f>Mitigation_Industry!$G$769</f>
        <v>1.9988245320635362E-3</v>
      </c>
      <c r="M287" s="142">
        <f>Mitigation_Industry!$G$769</f>
        <v>1.9988245320635362E-3</v>
      </c>
      <c r="N287" s="142">
        <f>Mitigation_Industry!$G$769</f>
        <v>1.9988245320635362E-3</v>
      </c>
      <c r="O287" s="142">
        <f>Mitigation_Industry!$G$769</f>
        <v>1.9988245320635362E-3</v>
      </c>
      <c r="P287" s="142">
        <f>Mitigation_Industry!$G$769</f>
        <v>1.9988245320635362E-3</v>
      </c>
      <c r="Q287" s="142">
        <f>Mitigation_Industry!$G$769</f>
        <v>1.9988245320635362E-3</v>
      </c>
      <c r="R287" s="142">
        <f>Mitigation_Industry!$G$769</f>
        <v>1.9988245320635362E-3</v>
      </c>
      <c r="S287" s="142">
        <f>Mitigation_Industry!$G$769</f>
        <v>1.9988245320635362E-3</v>
      </c>
      <c r="T287" s="142">
        <f>Mitigation_Industry!$G$769</f>
        <v>1.9988245320635362E-3</v>
      </c>
      <c r="U287" s="142">
        <f>Mitigation_Industry!$G$769</f>
        <v>1.9988245320635362E-3</v>
      </c>
      <c r="V287" s="142">
        <f>Mitigation_Industry!$G$769</f>
        <v>1.9988245320635362E-3</v>
      </c>
      <c r="W287" s="142">
        <f>Mitigation_Industry!$G$769</f>
        <v>1.9988245320635362E-3</v>
      </c>
      <c r="X287" s="142">
        <f>Mitigation_Industry!$G$769</f>
        <v>1.9988245320635362E-3</v>
      </c>
      <c r="Y287" s="142">
        <f>Mitigation_Industry!$G$769</f>
        <v>1.9988245320635362E-3</v>
      </c>
      <c r="Z287" s="142">
        <f>Mitigation_Industry!$G$769</f>
        <v>1.9988245320635362E-3</v>
      </c>
      <c r="AA287" s="142">
        <f>Mitigation_Industry!$G$769</f>
        <v>1.9988245320635362E-3</v>
      </c>
      <c r="AB287" s="142">
        <f>Mitigation_Industry!$G$769</f>
        <v>1.9988245320635362E-3</v>
      </c>
      <c r="AC287" s="142">
        <f>Mitigation_Industry!$G$769</f>
        <v>1.9988245320635362E-3</v>
      </c>
      <c r="AD287" s="142">
        <f>Mitigation_Industry!$G$769</f>
        <v>1.9988245320635362E-3</v>
      </c>
      <c r="AE287" s="142">
        <f>Mitigation_Industry!$G$769</f>
        <v>1.9988245320635362E-3</v>
      </c>
      <c r="AF287" s="141"/>
      <c r="AG287" s="141"/>
      <c r="AH287" s="141"/>
      <c r="AI287" s="141"/>
    </row>
    <row r="288" spans="2:35" x14ac:dyDescent="0.35"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7">
        <v>2021</v>
      </c>
      <c r="L289" s="138">
        <v>2022</v>
      </c>
      <c r="M289" s="137">
        <v>2023</v>
      </c>
      <c r="N289" s="137">
        <v>2024</v>
      </c>
      <c r="O289" s="137">
        <v>2025</v>
      </c>
      <c r="P289" s="137">
        <v>2026</v>
      </c>
      <c r="Q289" s="137">
        <v>2027</v>
      </c>
      <c r="R289" s="137">
        <v>2028</v>
      </c>
      <c r="S289" s="137">
        <v>2029</v>
      </c>
      <c r="T289" s="137">
        <v>2030</v>
      </c>
      <c r="U289" s="137">
        <v>2031</v>
      </c>
      <c r="V289" s="137">
        <v>2032</v>
      </c>
      <c r="W289" s="137">
        <v>2033</v>
      </c>
      <c r="X289" s="137">
        <v>2034</v>
      </c>
      <c r="Y289" s="137">
        <v>2035</v>
      </c>
      <c r="Z289" s="137">
        <v>2036</v>
      </c>
      <c r="AA289" s="137">
        <v>2037</v>
      </c>
      <c r="AB289" s="137">
        <v>2038</v>
      </c>
      <c r="AC289" s="137">
        <v>2039</v>
      </c>
      <c r="AD289" s="137">
        <v>2040</v>
      </c>
      <c r="AE289" s="137">
        <v>2041</v>
      </c>
      <c r="AF289" s="137">
        <v>2042</v>
      </c>
      <c r="AG289" s="137">
        <v>2043</v>
      </c>
      <c r="AH289" s="137">
        <v>2044</v>
      </c>
      <c r="AI289" s="137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8" t="str">
        <f>Settings!$B$3&amp;".mit.wm.stl.drg.np.2"</f>
        <v>egy.mit.wm.stl.drg.np.2</v>
      </c>
      <c r="I290" t="s">
        <v>2639</v>
      </c>
      <c r="K290" s="139"/>
      <c r="L290" s="140">
        <f>Mitigation_Industry!L$675*Mitigation_Industry!$J$672*MAX(Mitigation_Industry!$J$663,0)*Mitigation_Industry!$F$762/1000</f>
        <v>0.17734546065090059</v>
      </c>
      <c r="M290" s="140">
        <f>Mitigation_Industry!M$675*Mitigation_Industry!$J$672*MAX(Mitigation_Industry!$J$663,0)*Mitigation_Industry!$F$762/1000</f>
        <v>0.18514866091954021</v>
      </c>
      <c r="N290" s="140">
        <f>Mitigation_Industry!N$675*Mitigation_Industry!$J$672*MAX(Mitigation_Industry!$J$663,0)*Mitigation_Industry!$F$762/1000</f>
        <v>0.193295202</v>
      </c>
      <c r="O290" s="140">
        <f>Mitigation_Industry!O$675*Mitigation_Industry!$J$672*MAX(Mitigation_Industry!$J$663,0)*Mitigation_Industry!$F$762/1000</f>
        <v>0.20180019088800003</v>
      </c>
      <c r="P290" s="140">
        <f>Mitigation_Industry!P$675*Mitigation_Industry!$J$672*MAX(Mitigation_Industry!$J$663,0)*Mitigation_Industry!$F$762/1000</f>
        <v>0.21067939928707202</v>
      </c>
      <c r="Q290" s="140">
        <f>Mitigation_Industry!Q$675*Mitigation_Industry!$J$672*MAX(Mitigation_Industry!$J$663,0)*Mitigation_Industry!$F$762/1000</f>
        <v>0.21994929285570322</v>
      </c>
      <c r="R290" s="140">
        <f>Mitigation_Industry!R$675*Mitigation_Industry!$J$672*MAX(Mitigation_Industry!$J$663,0)*Mitigation_Industry!$F$762/1000</f>
        <v>0.22962706174135414</v>
      </c>
      <c r="S290" s="140">
        <f>Mitigation_Industry!S$675*Mitigation_Industry!$J$672*MAX(Mitigation_Industry!$J$663,0)*Mitigation_Industry!$F$762/1000</f>
        <v>0.2397306524579737</v>
      </c>
      <c r="T290" s="140">
        <f>Mitigation_Industry!T$675*Mitigation_Industry!$J$672*MAX(Mitigation_Industry!$J$663,0)*Mitigation_Industry!$F$762/1000</f>
        <v>0.25027880116612461</v>
      </c>
      <c r="U290" s="140">
        <f>Mitigation_Industry!U$675*Mitigation_Industry!$J$672*MAX(Mitigation_Industry!$J$663,0)*Mitigation_Industry!$F$762/1000</f>
        <v>0.2612910684174341</v>
      </c>
      <c r="V290" s="140">
        <f>Mitigation_Industry!V$675*Mitigation_Industry!$J$672*MAX(Mitigation_Industry!$J$663,0)*Mitigation_Industry!$F$762/1000</f>
        <v>0.27278787542780114</v>
      </c>
      <c r="W290" s="140">
        <f>Mitigation_Industry!W$675*Mitigation_Industry!$J$672*MAX(Mitigation_Industry!$J$663,0)*Mitigation_Industry!$F$762/1000</f>
        <v>0.28479054194662445</v>
      </c>
      <c r="X290" s="140">
        <f>Mitigation_Industry!X$675*Mitigation_Industry!$J$672*MAX(Mitigation_Industry!$J$663,0)*Mitigation_Industry!$F$762/1000</f>
        <v>0.29732132579227588</v>
      </c>
      <c r="Y290" s="140">
        <f>Mitigation_Industry!Y$675*Mitigation_Industry!$J$672*MAX(Mitigation_Industry!$J$663,0)*Mitigation_Industry!$F$762/1000</f>
        <v>0.3104034641271361</v>
      </c>
      <c r="Z290" s="140">
        <f>Mitigation_Industry!Z$675*Mitigation_Industry!$J$672*MAX(Mitigation_Industry!$J$663,0)*Mitigation_Industry!$F$762/1000</f>
        <v>0.32406121654872999</v>
      </c>
      <c r="AA290" s="140">
        <f>Mitigation_Industry!AA$675*Mitigation_Industry!$J$672*MAX(Mitigation_Industry!$J$663,0)*Mitigation_Industry!$F$762/1000</f>
        <v>0.33831991007687412</v>
      </c>
      <c r="AB290" s="140">
        <f>Mitigation_Industry!AB$675*Mitigation_Industry!$J$672*MAX(Mitigation_Industry!$J$663,0)*Mitigation_Industry!$F$762/1000</f>
        <v>0.35320598612025667</v>
      </c>
      <c r="AC290" s="140">
        <f>Mitigation_Industry!AC$675*Mitigation_Industry!$J$672*MAX(Mitigation_Industry!$J$663,0)*Mitigation_Industry!$F$762/1000</f>
        <v>0.36874704950954795</v>
      </c>
      <c r="AD290" s="140">
        <f>Mitigation_Industry!AD$675*Mitigation_Industry!$J$672*MAX(Mitigation_Industry!$J$663,0)*Mitigation_Industry!$F$762/1000</f>
        <v>0.38497191968796801</v>
      </c>
      <c r="AE290" s="140">
        <f>Mitigation_Industry!AE$675*Mitigation_Industry!$J$672*MAX(Mitigation_Industry!$J$663,0)*Mitigation_Industry!$F$762/1000</f>
        <v>0.40191068415423858</v>
      </c>
      <c r="AF290" s="141"/>
      <c r="AG290" s="141"/>
      <c r="AH290" s="141"/>
      <c r="AI290" s="141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8" t="str">
        <f>Settings!$B$3&amp;".mit.wm.stl.scr.np.2"</f>
        <v>egy.mit.wm.stl.scr.np.2</v>
      </c>
      <c r="K291" s="139"/>
      <c r="L291" s="140">
        <f>Mitigation_Industry!L$676*Mitigation_Industry!$J$672*MAX(Mitigation_Industry!$J$664,0)*Mitigation_Industry!$F$763/1000</f>
        <v>0.19368983132954593</v>
      </c>
      <c r="M291" s="140">
        <f>Mitigation_Industry!M$676*Mitigation_Industry!$J$672*MAX(Mitigation_Industry!$J$664,0)*Mitigation_Industry!$F$763/1000</f>
        <v>0.20221218390804596</v>
      </c>
      <c r="N291" s="140">
        <f>Mitigation_Industry!N$676*Mitigation_Industry!$J$672*MAX(Mitigation_Industry!$J$664,0)*Mitigation_Industry!$F$763/1000</f>
        <v>0.21110951999999997</v>
      </c>
      <c r="O291" s="140">
        <f>Mitigation_Industry!O$676*Mitigation_Industry!$J$672*MAX(Mitigation_Industry!$J$664,0)*Mitigation_Industry!$F$763/1000</f>
        <v>0.22039833887999999</v>
      </c>
      <c r="P291" s="140">
        <f>Mitigation_Industry!P$676*Mitigation_Industry!$J$672*MAX(Mitigation_Industry!$J$664,0)*Mitigation_Industry!$F$763/1000</f>
        <v>0.23009586579071997</v>
      </c>
      <c r="Q291" s="140">
        <f>Mitigation_Industry!Q$676*Mitigation_Industry!$J$672*MAX(Mitigation_Industry!$J$664,0)*Mitigation_Industry!$F$763/1000</f>
        <v>0.24022008388551169</v>
      </c>
      <c r="R291" s="140">
        <f>Mitigation_Industry!R$676*Mitigation_Industry!$J$672*MAX(Mitigation_Industry!$J$664,0)*Mitigation_Industry!$F$763/1000</f>
        <v>0.25078976757647414</v>
      </c>
      <c r="S291" s="140">
        <f>Mitigation_Industry!S$676*Mitigation_Industry!$J$672*MAX(Mitigation_Industry!$J$664,0)*Mitigation_Industry!$F$763/1000</f>
        <v>0.26182451734983908</v>
      </c>
      <c r="T291" s="140">
        <f>Mitigation_Industry!T$676*Mitigation_Industry!$J$672*MAX(Mitigation_Industry!$J$664,0)*Mitigation_Industry!$F$763/1000</f>
        <v>0.27334479611323198</v>
      </c>
      <c r="U291" s="140">
        <f>Mitigation_Industry!U$676*Mitigation_Industry!$J$672*MAX(Mitigation_Industry!$J$664,0)*Mitigation_Industry!$F$763/1000</f>
        <v>0.28537196714221424</v>
      </c>
      <c r="V291" s="140">
        <f>Mitigation_Industry!V$676*Mitigation_Industry!$J$672*MAX(Mitigation_Industry!$J$664,0)*Mitigation_Industry!$F$763/1000</f>
        <v>0.29792833369647159</v>
      </c>
      <c r="W291" s="140">
        <f>Mitigation_Industry!W$676*Mitigation_Industry!$J$672*MAX(Mitigation_Industry!$J$664,0)*Mitigation_Industry!$F$763/1000</f>
        <v>0.31103718037911643</v>
      </c>
      <c r="X291" s="140">
        <f>Mitigation_Industry!X$676*Mitigation_Industry!$J$672*MAX(Mitigation_Industry!$J$664,0)*Mitigation_Industry!$F$763/1000</f>
        <v>0.32472281631579752</v>
      </c>
      <c r="Y291" s="140">
        <f>Mitigation_Industry!Y$676*Mitigation_Industry!$J$672*MAX(Mitigation_Industry!$J$664,0)*Mitigation_Industry!$F$763/1000</f>
        <v>0.33901062023369266</v>
      </c>
      <c r="Z291" s="140">
        <f>Mitigation_Industry!Z$676*Mitigation_Industry!$J$672*MAX(Mitigation_Industry!$J$664,0)*Mitigation_Industry!$F$763/1000</f>
        <v>0.35392708752397511</v>
      </c>
      <c r="AA291" s="140">
        <f>Mitigation_Industry!AA$676*Mitigation_Industry!$J$672*MAX(Mitigation_Industry!$J$664,0)*Mitigation_Industry!$F$763/1000</f>
        <v>0.36949987937502998</v>
      </c>
      <c r="AB291" s="140">
        <f>Mitigation_Industry!AB$676*Mitigation_Industry!$J$672*MAX(Mitigation_Industry!$J$664,0)*Mitigation_Industry!$F$763/1000</f>
        <v>0.38575787406753137</v>
      </c>
      <c r="AC291" s="140">
        <f>Mitigation_Industry!AC$676*Mitigation_Industry!$J$672*MAX(Mitigation_Industry!$J$664,0)*Mitigation_Industry!$F$763/1000</f>
        <v>0.40273122052650273</v>
      </c>
      <c r="AD291" s="140">
        <f>Mitigation_Industry!AD$676*Mitigation_Industry!$J$672*MAX(Mitigation_Industry!$J$664,0)*Mitigation_Industry!$F$763/1000</f>
        <v>0.42045139422966882</v>
      </c>
      <c r="AE291" s="140">
        <f>Mitigation_Industry!AE$676*Mitigation_Industry!$J$672*MAX(Mitigation_Industry!$J$664,0)*Mitigation_Industry!$F$763/1000</f>
        <v>0.43895125557577425</v>
      </c>
      <c r="AF291" s="141"/>
      <c r="AG291" s="141"/>
      <c r="AH291" s="141"/>
      <c r="AI291" s="141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8" t="str">
        <f>Settings!$B$3&amp;".mit.wm.stl.bof.np.2"</f>
        <v>egy.mit.wm.stl.bof.np.2</v>
      </c>
      <c r="K292" s="139"/>
      <c r="L292" s="140">
        <f>Mitigation_Industry!L$677*Mitigation_Industry!$J$672*MAX(Mitigation_Industry!$J$665,0)*Mitigation_Industry!$F$764/1000</f>
        <v>0</v>
      </c>
      <c r="M292" s="140">
        <f>Mitigation_Industry!M$677*Mitigation_Industry!$J$672*MAX(Mitigation_Industry!$J$665,0)*Mitigation_Industry!$F$764/1000</f>
        <v>0</v>
      </c>
      <c r="N292" s="140">
        <f>Mitigation_Industry!N$677*Mitigation_Industry!$J$672*MAX(Mitigation_Industry!$J$665,0)*Mitigation_Industry!$F$764/1000</f>
        <v>0</v>
      </c>
      <c r="O292" s="140">
        <f>Mitigation_Industry!O$677*Mitigation_Industry!$J$672*MAX(Mitigation_Industry!$J$665,0)*Mitigation_Industry!$F$764/1000</f>
        <v>0</v>
      </c>
      <c r="P292" s="140">
        <f>Mitigation_Industry!P$677*Mitigation_Industry!$J$672*MAX(Mitigation_Industry!$J$665,0)*Mitigation_Industry!$F$764/1000</f>
        <v>0</v>
      </c>
      <c r="Q292" s="140">
        <f>Mitigation_Industry!Q$677*Mitigation_Industry!$J$672*MAX(Mitigation_Industry!$J$665,0)*Mitigation_Industry!$F$764/1000</f>
        <v>0</v>
      </c>
      <c r="R292" s="140">
        <f>Mitigation_Industry!R$677*Mitigation_Industry!$J$672*MAX(Mitigation_Industry!$J$665,0)*Mitigation_Industry!$F$764/1000</f>
        <v>0</v>
      </c>
      <c r="S292" s="140">
        <f>Mitigation_Industry!S$677*Mitigation_Industry!$J$672*MAX(Mitigation_Industry!$J$665,0)*Mitigation_Industry!$F$764/1000</f>
        <v>0</v>
      </c>
      <c r="T292" s="140">
        <f>Mitigation_Industry!T$677*Mitigation_Industry!$J$672*MAX(Mitigation_Industry!$J$665,0)*Mitigation_Industry!$F$764/1000</f>
        <v>0</v>
      </c>
      <c r="U292" s="140">
        <f>Mitigation_Industry!U$677*Mitigation_Industry!$J$672*MAX(Mitigation_Industry!$J$665,0)*Mitigation_Industry!$F$764/1000</f>
        <v>0</v>
      </c>
      <c r="V292" s="140">
        <f>Mitigation_Industry!V$677*Mitigation_Industry!$J$672*MAX(Mitigation_Industry!$J$665,0)*Mitigation_Industry!$F$764/1000</f>
        <v>0</v>
      </c>
      <c r="W292" s="140">
        <f>Mitigation_Industry!W$677*Mitigation_Industry!$J$672*MAX(Mitigation_Industry!$J$665,0)*Mitigation_Industry!$F$764/1000</f>
        <v>0</v>
      </c>
      <c r="X292" s="140">
        <f>Mitigation_Industry!X$677*Mitigation_Industry!$J$672*MAX(Mitigation_Industry!$J$665,0)*Mitigation_Industry!$F$764/1000</f>
        <v>0</v>
      </c>
      <c r="Y292" s="140">
        <f>Mitigation_Industry!Y$677*Mitigation_Industry!$J$672*MAX(Mitigation_Industry!$J$665,0)*Mitigation_Industry!$F$764/1000</f>
        <v>0</v>
      </c>
      <c r="Z292" s="140">
        <f>Mitigation_Industry!Z$677*Mitigation_Industry!$J$672*MAX(Mitigation_Industry!$J$665,0)*Mitigation_Industry!$F$764/1000</f>
        <v>0</v>
      </c>
      <c r="AA292" s="140">
        <f>Mitigation_Industry!AA$677*Mitigation_Industry!$J$672*MAX(Mitigation_Industry!$J$665,0)*Mitigation_Industry!$F$764/1000</f>
        <v>0</v>
      </c>
      <c r="AB292" s="140">
        <f>Mitigation_Industry!AB$677*Mitigation_Industry!$J$672*MAX(Mitigation_Industry!$J$665,0)*Mitigation_Industry!$F$764/1000</f>
        <v>0</v>
      </c>
      <c r="AC292" s="140">
        <f>Mitigation_Industry!AC$677*Mitigation_Industry!$J$672*MAX(Mitigation_Industry!$J$665,0)*Mitigation_Industry!$F$764/1000</f>
        <v>0</v>
      </c>
      <c r="AD292" s="140">
        <f>Mitigation_Industry!AD$677*Mitigation_Industry!$J$672*MAX(Mitigation_Industry!$J$665,0)*Mitigation_Industry!$F$764/1000</f>
        <v>0</v>
      </c>
      <c r="AE292" s="140">
        <f>Mitigation_Industry!AE$677*Mitigation_Industry!$J$672*MAX(Mitigation_Industry!$J$665,0)*Mitigation_Industry!$F$764/1000</f>
        <v>0</v>
      </c>
      <c r="AF292" s="141"/>
      <c r="AG292" s="141"/>
      <c r="AH292" s="141"/>
      <c r="AI292" s="141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8" t="str">
        <f>Settings!$B$3&amp;".mit.wm.cmt.dry.np.2"</f>
        <v>egy.mit.wm.cmt.dry.np.2</v>
      </c>
      <c r="K293" s="139"/>
      <c r="L293" s="140">
        <f>Mitigation_Industry!L$678*Mitigation_Industry!$J$672*MAX(Mitigation_Industry!$J$666,0)*Mitigation_Industry!$F$765/1000</f>
        <v>25.163138219961041</v>
      </c>
      <c r="M293" s="140">
        <f>Mitigation_Industry!M$678*Mitigation_Industry!$J$672*MAX(Mitigation_Industry!$J$666,0)*Mitigation_Industry!$F$765/1000</f>
        <v>25.993521781219755</v>
      </c>
      <c r="N293" s="140">
        <f>Mitigation_Industry!N$678*Mitigation_Industry!$J$672*MAX(Mitigation_Industry!$J$666,0)*Mitigation_Industry!$F$765/1000</f>
        <v>26.851308</v>
      </c>
      <c r="O293" s="140">
        <f>Mitigation_Industry!O$678*Mitigation_Industry!$J$672*MAX(Mitigation_Industry!$J$666,0)*Mitigation_Industry!$F$765/1000</f>
        <v>27.737401163999998</v>
      </c>
      <c r="P293" s="140">
        <f>Mitigation_Industry!P$678*Mitigation_Industry!$J$672*MAX(Mitigation_Industry!$J$666,0)*Mitigation_Industry!$F$765/1000</f>
        <v>28.652735402411995</v>
      </c>
      <c r="Q293" s="140">
        <f>Mitigation_Industry!Q$678*Mitigation_Industry!$J$672*MAX(Mitigation_Industry!$J$666,0)*Mitigation_Industry!$F$765/1000</f>
        <v>29.598275670691589</v>
      </c>
      <c r="R293" s="140">
        <f>Mitigation_Industry!R$678*Mitigation_Industry!$J$672*MAX(Mitigation_Industry!$J$666,0)*Mitigation_Industry!$F$765/1000</f>
        <v>30.575018767824407</v>
      </c>
      <c r="S293" s="140">
        <f>Mitigation_Industry!S$678*Mitigation_Industry!$J$672*MAX(Mitigation_Industry!$J$666,0)*Mitigation_Industry!$F$765/1000</f>
        <v>31.583994387162612</v>
      </c>
      <c r="T293" s="140">
        <f>Mitigation_Industry!T$678*Mitigation_Industry!$J$672*MAX(Mitigation_Industry!$J$666,0)*Mitigation_Industry!$F$765/1000</f>
        <v>32.626266201938975</v>
      </c>
      <c r="U293" s="140">
        <f>Mitigation_Industry!U$678*Mitigation_Industry!$J$672*MAX(Mitigation_Industry!$J$666,0)*Mitigation_Industry!$F$765/1000</f>
        <v>33.70293298660296</v>
      </c>
      <c r="V293" s="140">
        <f>Mitigation_Industry!V$678*Mitigation_Industry!$J$672*MAX(Mitigation_Industry!$J$666,0)*Mitigation_Industry!$F$765/1000</f>
        <v>34.815129775160841</v>
      </c>
      <c r="W293" s="140">
        <f>Mitigation_Industry!W$678*Mitigation_Industry!$J$672*MAX(Mitigation_Industry!$J$666,0)*Mitigation_Industry!$F$765/1000</f>
        <v>35.964029057741151</v>
      </c>
      <c r="X293" s="140">
        <f>Mitigation_Industry!X$678*Mitigation_Industry!$J$672*MAX(Mitigation_Industry!$J$666,0)*Mitigation_Industry!$F$765/1000</f>
        <v>37.150842016646592</v>
      </c>
      <c r="Y293" s="140">
        <f>Mitigation_Industry!Y$678*Mitigation_Industry!$J$672*MAX(Mitigation_Industry!$J$666,0)*Mitigation_Industry!$F$765/1000</f>
        <v>38.376819803195943</v>
      </c>
      <c r="Z293" s="140">
        <f>Mitigation_Industry!Z$678*Mitigation_Industry!$J$672*MAX(Mitigation_Industry!$J$666,0)*Mitigation_Industry!$F$765/1000</f>
        <v>39.643254856701404</v>
      </c>
      <c r="AA293" s="140">
        <f>Mitigation_Industry!AA$678*Mitigation_Industry!$J$672*MAX(Mitigation_Industry!$J$666,0)*Mitigation_Industry!$F$765/1000</f>
        <v>40.951482266972548</v>
      </c>
      <c r="AB293" s="140">
        <f>Mitigation_Industry!AB$678*Mitigation_Industry!$J$672*MAX(Mitigation_Industry!$J$666,0)*Mitigation_Industry!$F$765/1000</f>
        <v>42.302881181782631</v>
      </c>
      <c r="AC293" s="140">
        <f>Mitigation_Industry!AC$678*Mitigation_Industry!$J$672*MAX(Mitigation_Industry!$J$666,0)*Mitigation_Industry!$F$765/1000</f>
        <v>43.698876260781446</v>
      </c>
      <c r="AD293" s="140">
        <f>Mitigation_Industry!AD$678*Mitigation_Industry!$J$672*MAX(Mitigation_Industry!$J$666,0)*Mitigation_Industry!$F$765/1000</f>
        <v>45.140939177387231</v>
      </c>
      <c r="AE293" s="140">
        <f>Mitigation_Industry!AE$678*Mitigation_Industry!$J$672*MAX(Mitigation_Industry!$J$666,0)*Mitigation_Industry!$F$765/1000</f>
        <v>46.630590170241007</v>
      </c>
      <c r="AF293" s="141"/>
      <c r="AG293" s="141"/>
      <c r="AH293" s="141"/>
      <c r="AI293" s="141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8" t="str">
        <f>Settings!$B$3&amp;".mit.wm.frt.amc.np.2"</f>
        <v>egy.mit.wm.frt.amc.np.2</v>
      </c>
      <c r="K294" s="139"/>
      <c r="L294" s="140">
        <f>Mitigation_Industry!L$679*Mitigation_Industry!$J$672*MAX(Mitigation_Industry!$J$667,0)*Mitigation_Industry!$F$766/1000</f>
        <v>0</v>
      </c>
      <c r="M294" s="140">
        <f>Mitigation_Industry!M$679*Mitigation_Industry!$J$672*MAX(Mitigation_Industry!$J$667,0)*Mitigation_Industry!$F$766/1000</f>
        <v>0</v>
      </c>
      <c r="N294" s="140">
        <f>Mitigation_Industry!N$679*Mitigation_Industry!$J$672*MAX(Mitigation_Industry!$J$667,0)*Mitigation_Industry!$F$766/1000</f>
        <v>0</v>
      </c>
      <c r="O294" s="140">
        <f>Mitigation_Industry!O$679*Mitigation_Industry!$J$672*MAX(Mitigation_Industry!$J$667,0)*Mitigation_Industry!$F$766/1000</f>
        <v>0</v>
      </c>
      <c r="P294" s="140">
        <f>Mitigation_Industry!P$679*Mitigation_Industry!$J$672*MAX(Mitigation_Industry!$J$667,0)*Mitigation_Industry!$F$766/1000</f>
        <v>0</v>
      </c>
      <c r="Q294" s="140">
        <f>Mitigation_Industry!Q$679*Mitigation_Industry!$J$672*MAX(Mitigation_Industry!$J$667,0)*Mitigation_Industry!$F$766/1000</f>
        <v>0</v>
      </c>
      <c r="R294" s="140">
        <f>Mitigation_Industry!R$679*Mitigation_Industry!$J$672*MAX(Mitigation_Industry!$J$667,0)*Mitigation_Industry!$F$766/1000</f>
        <v>0</v>
      </c>
      <c r="S294" s="140">
        <f>Mitigation_Industry!S$679*Mitigation_Industry!$J$672*MAX(Mitigation_Industry!$J$667,0)*Mitigation_Industry!$F$766/1000</f>
        <v>0</v>
      </c>
      <c r="T294" s="140">
        <f>Mitigation_Industry!T$679*Mitigation_Industry!$J$672*MAX(Mitigation_Industry!$J$667,0)*Mitigation_Industry!$F$766/1000</f>
        <v>0</v>
      </c>
      <c r="U294" s="140">
        <f>Mitigation_Industry!U$679*Mitigation_Industry!$J$672*MAX(Mitigation_Industry!$J$667,0)*Mitigation_Industry!$F$766/1000</f>
        <v>0</v>
      </c>
      <c r="V294" s="140">
        <f>Mitigation_Industry!V$679*Mitigation_Industry!$J$672*MAX(Mitigation_Industry!$J$667,0)*Mitigation_Industry!$F$766/1000</f>
        <v>0</v>
      </c>
      <c r="W294" s="140">
        <f>Mitigation_Industry!W$679*Mitigation_Industry!$J$672*MAX(Mitigation_Industry!$J$667,0)*Mitigation_Industry!$F$766/1000</f>
        <v>0</v>
      </c>
      <c r="X294" s="140">
        <f>Mitigation_Industry!X$679*Mitigation_Industry!$J$672*MAX(Mitigation_Industry!$J$667,0)*Mitigation_Industry!$F$766/1000</f>
        <v>0</v>
      </c>
      <c r="Y294" s="140">
        <f>Mitigation_Industry!Y$679*Mitigation_Industry!$J$672*MAX(Mitigation_Industry!$J$667,0)*Mitigation_Industry!$F$766/1000</f>
        <v>0</v>
      </c>
      <c r="Z294" s="140">
        <f>Mitigation_Industry!Z$679*Mitigation_Industry!$J$672*MAX(Mitigation_Industry!$J$667,0)*Mitigation_Industry!$F$766/1000</f>
        <v>0</v>
      </c>
      <c r="AA294" s="140">
        <f>Mitigation_Industry!AA$679*Mitigation_Industry!$J$672*MAX(Mitigation_Industry!$J$667,0)*Mitigation_Industry!$F$766/1000</f>
        <v>0</v>
      </c>
      <c r="AB294" s="140">
        <f>Mitigation_Industry!AB$679*Mitigation_Industry!$J$672*MAX(Mitigation_Industry!$J$667,0)*Mitigation_Industry!$F$766/1000</f>
        <v>0</v>
      </c>
      <c r="AC294" s="140">
        <f>Mitigation_Industry!AC$679*Mitigation_Industry!$J$672*MAX(Mitigation_Industry!$J$667,0)*Mitigation_Industry!$F$766/1000</f>
        <v>0</v>
      </c>
      <c r="AD294" s="140">
        <f>Mitigation_Industry!AD$679*Mitigation_Industry!$J$672*MAX(Mitigation_Industry!$J$667,0)*Mitigation_Industry!$F$766/1000</f>
        <v>0</v>
      </c>
      <c r="AE294" s="140">
        <f>Mitigation_Industry!AE$679*Mitigation_Industry!$J$672*MAX(Mitigation_Industry!$J$667,0)*Mitigation_Industry!$F$766/1000</f>
        <v>0</v>
      </c>
      <c r="AF294" s="141"/>
      <c r="AG294" s="141"/>
      <c r="AH294" s="141"/>
      <c r="AI294" s="141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8" t="str">
        <f>Settings!$B$3&amp;".mit.wm.frt.ure.np.2"</f>
        <v>egy.mit.wm.frt.ure.np.2</v>
      </c>
      <c r="K295" s="139"/>
      <c r="L295" s="140">
        <f>Mitigation_Industry!L$680*Mitigation_Industry!$J$672*MAX(Mitigation_Industry!$J$668,0)*Mitigation_Industry!$F$767/1000</f>
        <v>0</v>
      </c>
      <c r="M295" s="140">
        <f>Mitigation_Industry!M$680*Mitigation_Industry!$J$672*MAX(Mitigation_Industry!$J$668,0)*Mitigation_Industry!$F$767/1000</f>
        <v>0</v>
      </c>
      <c r="N295" s="140">
        <f>Mitigation_Industry!N$680*Mitigation_Industry!$J$672*MAX(Mitigation_Industry!$J$668,0)*Mitigation_Industry!$F$767/1000</f>
        <v>0</v>
      </c>
      <c r="O295" s="140">
        <f>Mitigation_Industry!O$680*Mitigation_Industry!$J$672*MAX(Mitigation_Industry!$J$668,0)*Mitigation_Industry!$F$767/1000</f>
        <v>0</v>
      </c>
      <c r="P295" s="140">
        <f>Mitigation_Industry!P$680*Mitigation_Industry!$J$672*MAX(Mitigation_Industry!$J$668,0)*Mitigation_Industry!$F$767/1000</f>
        <v>0</v>
      </c>
      <c r="Q295" s="140">
        <f>Mitigation_Industry!Q$680*Mitigation_Industry!$J$672*MAX(Mitigation_Industry!$J$668,0)*Mitigation_Industry!$F$767/1000</f>
        <v>0</v>
      </c>
      <c r="R295" s="140">
        <f>Mitigation_Industry!R$680*Mitigation_Industry!$J$672*MAX(Mitigation_Industry!$J$668,0)*Mitigation_Industry!$F$767/1000</f>
        <v>0</v>
      </c>
      <c r="S295" s="140">
        <f>Mitigation_Industry!S$680*Mitigation_Industry!$J$672*MAX(Mitigation_Industry!$J$668,0)*Mitigation_Industry!$F$767/1000</f>
        <v>0</v>
      </c>
      <c r="T295" s="140">
        <f>Mitigation_Industry!T$680*Mitigation_Industry!$J$672*MAX(Mitigation_Industry!$J$668,0)*Mitigation_Industry!$F$767/1000</f>
        <v>0</v>
      </c>
      <c r="U295" s="140">
        <f>Mitigation_Industry!U$680*Mitigation_Industry!$J$672*MAX(Mitigation_Industry!$J$668,0)*Mitigation_Industry!$F$767/1000</f>
        <v>0</v>
      </c>
      <c r="V295" s="140">
        <f>Mitigation_Industry!V$680*Mitigation_Industry!$J$672*MAX(Mitigation_Industry!$J$668,0)*Mitigation_Industry!$F$767/1000</f>
        <v>0</v>
      </c>
      <c r="W295" s="140">
        <f>Mitigation_Industry!W$680*Mitigation_Industry!$J$672*MAX(Mitigation_Industry!$J$668,0)*Mitigation_Industry!$F$767/1000</f>
        <v>0</v>
      </c>
      <c r="X295" s="140">
        <f>Mitigation_Industry!X$680*Mitigation_Industry!$J$672*MAX(Mitigation_Industry!$J$668,0)*Mitigation_Industry!$F$767/1000</f>
        <v>0</v>
      </c>
      <c r="Y295" s="140">
        <f>Mitigation_Industry!Y$680*Mitigation_Industry!$J$672*MAX(Mitigation_Industry!$J$668,0)*Mitigation_Industry!$F$767/1000</f>
        <v>0</v>
      </c>
      <c r="Z295" s="140">
        <f>Mitigation_Industry!Z$680*Mitigation_Industry!$J$672*MAX(Mitigation_Industry!$J$668,0)*Mitigation_Industry!$F$767/1000</f>
        <v>0</v>
      </c>
      <c r="AA295" s="140">
        <f>Mitigation_Industry!AA$680*Mitigation_Industry!$J$672*MAX(Mitigation_Industry!$J$668,0)*Mitigation_Industry!$F$767/1000</f>
        <v>0</v>
      </c>
      <c r="AB295" s="140">
        <f>Mitigation_Industry!AB$680*Mitigation_Industry!$J$672*MAX(Mitigation_Industry!$J$668,0)*Mitigation_Industry!$F$767/1000</f>
        <v>0</v>
      </c>
      <c r="AC295" s="140">
        <f>Mitigation_Industry!AC$680*Mitigation_Industry!$J$672*MAX(Mitigation_Industry!$J$668,0)*Mitigation_Industry!$F$767/1000</f>
        <v>0</v>
      </c>
      <c r="AD295" s="140">
        <f>Mitigation_Industry!AD$680*Mitigation_Industry!$J$672*MAX(Mitigation_Industry!$J$668,0)*Mitigation_Industry!$F$767/1000</f>
        <v>0</v>
      </c>
      <c r="AE295" s="140">
        <f>Mitigation_Industry!AE$680*Mitigation_Industry!$J$672*MAX(Mitigation_Industry!$J$668,0)*Mitigation_Industry!$F$767/1000</f>
        <v>0</v>
      </c>
      <c r="AF295" s="141"/>
      <c r="AG295" s="141"/>
      <c r="AH295" s="141"/>
      <c r="AI295" s="141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8" t="str">
        <f>Settings!$B$3&amp;".mit.wm.frt.nit.np.2"</f>
        <v>egy.mit.wm.frt.nit.np.2</v>
      </c>
      <c r="K296" s="139"/>
      <c r="L296" s="140">
        <f>Mitigation_Industry!L$681*Mitigation_Industry!$J$672*MAX(Mitigation_Industry!$J$669,0)*Mitigation_Industry!$F$768/1000</f>
        <v>0</v>
      </c>
      <c r="M296" s="140">
        <f>Mitigation_Industry!M$681*Mitigation_Industry!$J$672*MAX(Mitigation_Industry!$J$669,0)*Mitigation_Industry!$F$768/1000</f>
        <v>0</v>
      </c>
      <c r="N296" s="140">
        <f>Mitigation_Industry!N$681*Mitigation_Industry!$J$672*MAX(Mitigation_Industry!$J$669,0)*Mitigation_Industry!$F$768/1000</f>
        <v>0</v>
      </c>
      <c r="O296" s="140">
        <f>Mitigation_Industry!O$681*Mitigation_Industry!$J$672*MAX(Mitigation_Industry!$J$669,0)*Mitigation_Industry!$F$768/1000</f>
        <v>0</v>
      </c>
      <c r="P296" s="140">
        <f>Mitigation_Industry!P$681*Mitigation_Industry!$J$672*MAX(Mitigation_Industry!$J$669,0)*Mitigation_Industry!$F$768/1000</f>
        <v>0</v>
      </c>
      <c r="Q296" s="140">
        <f>Mitigation_Industry!Q$681*Mitigation_Industry!$J$672*MAX(Mitigation_Industry!$J$669,0)*Mitigation_Industry!$F$768/1000</f>
        <v>0</v>
      </c>
      <c r="R296" s="140">
        <f>Mitigation_Industry!R$681*Mitigation_Industry!$J$672*MAX(Mitigation_Industry!$J$669,0)*Mitigation_Industry!$F$768/1000</f>
        <v>0</v>
      </c>
      <c r="S296" s="140">
        <f>Mitigation_Industry!S$681*Mitigation_Industry!$J$672*MAX(Mitigation_Industry!$J$669,0)*Mitigation_Industry!$F$768/1000</f>
        <v>0</v>
      </c>
      <c r="T296" s="140">
        <f>Mitigation_Industry!T$681*Mitigation_Industry!$J$672*MAX(Mitigation_Industry!$J$669,0)*Mitigation_Industry!$F$768/1000</f>
        <v>0</v>
      </c>
      <c r="U296" s="140">
        <f>Mitigation_Industry!U$681*Mitigation_Industry!$J$672*MAX(Mitigation_Industry!$J$669,0)*Mitigation_Industry!$F$768/1000</f>
        <v>0</v>
      </c>
      <c r="V296" s="140">
        <f>Mitigation_Industry!V$681*Mitigation_Industry!$J$672*MAX(Mitigation_Industry!$J$669,0)*Mitigation_Industry!$F$768/1000</f>
        <v>0</v>
      </c>
      <c r="W296" s="140">
        <f>Mitigation_Industry!W$681*Mitigation_Industry!$J$672*MAX(Mitigation_Industry!$J$669,0)*Mitigation_Industry!$F$768/1000</f>
        <v>0</v>
      </c>
      <c r="X296" s="140">
        <f>Mitigation_Industry!X$681*Mitigation_Industry!$J$672*MAX(Mitigation_Industry!$J$669,0)*Mitigation_Industry!$F$768/1000</f>
        <v>0</v>
      </c>
      <c r="Y296" s="140">
        <f>Mitigation_Industry!Y$681*Mitigation_Industry!$J$672*MAX(Mitigation_Industry!$J$669,0)*Mitigation_Industry!$F$768/1000</f>
        <v>0</v>
      </c>
      <c r="Z296" s="140">
        <f>Mitigation_Industry!Z$681*Mitigation_Industry!$J$672*MAX(Mitigation_Industry!$J$669,0)*Mitigation_Industry!$F$768/1000</f>
        <v>0</v>
      </c>
      <c r="AA296" s="140">
        <f>Mitigation_Industry!AA$681*Mitigation_Industry!$J$672*MAX(Mitigation_Industry!$J$669,0)*Mitigation_Industry!$F$768/1000</f>
        <v>0</v>
      </c>
      <c r="AB296" s="140">
        <f>Mitigation_Industry!AB$681*Mitigation_Industry!$J$672*MAX(Mitigation_Industry!$J$669,0)*Mitigation_Industry!$F$768/1000</f>
        <v>0</v>
      </c>
      <c r="AC296" s="140">
        <f>Mitigation_Industry!AC$681*Mitigation_Industry!$J$672*MAX(Mitigation_Industry!$J$669,0)*Mitigation_Industry!$F$768/1000</f>
        <v>0</v>
      </c>
      <c r="AD296" s="140">
        <f>Mitigation_Industry!AD$681*Mitigation_Industry!$J$672*MAX(Mitigation_Industry!$J$669,0)*Mitigation_Industry!$F$768/1000</f>
        <v>0</v>
      </c>
      <c r="AE296" s="140">
        <f>Mitigation_Industry!AE$681*Mitigation_Industry!$J$672*MAX(Mitigation_Industry!$J$669,0)*Mitigation_Industry!$F$768/1000</f>
        <v>0</v>
      </c>
      <c r="AF296" s="141"/>
      <c r="AG296" s="141"/>
      <c r="AH296" s="141"/>
      <c r="AI296" s="141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8" t="str">
        <f>Settings!$B$3&amp;".mit.wm.alu.prp.np.2"</f>
        <v>egy.mit.wm.alu.prp.np.2</v>
      </c>
      <c r="K297" s="139"/>
      <c r="L297" s="140">
        <f>Mitigation_Industry!L$682*Mitigation_Industry!$J$672*MAX(Mitigation_Industry!$J$670,0)*Mitigation_Industry!$F$769/1000</f>
        <v>0.43758937310482698</v>
      </c>
      <c r="M297" s="140">
        <f>Mitigation_Industry!M$682*Mitigation_Industry!$J$672*MAX(Mitigation_Industry!$J$670,0)*Mitigation_Industry!$F$769/1000</f>
        <v>0.4616567886255924</v>
      </c>
      <c r="N297" s="140">
        <f>Mitigation_Industry!N$682*Mitigation_Industry!$J$672*MAX(Mitigation_Industry!$J$670,0)*Mitigation_Industry!$F$769/1000</f>
        <v>0.48704791199999997</v>
      </c>
      <c r="O297" s="140">
        <f>Mitigation_Industry!O$682*Mitigation_Industry!$J$672*MAX(Mitigation_Industry!$J$670,0)*Mitigation_Industry!$F$769/1000</f>
        <v>0.51383554716000002</v>
      </c>
      <c r="P297" s="140">
        <f>Mitigation_Industry!P$682*Mitigation_Industry!$J$672*MAX(Mitigation_Industry!$J$670,0)*Mitigation_Industry!$F$769/1000</f>
        <v>0.54209650225379991</v>
      </c>
      <c r="Q297" s="140">
        <f>Mitigation_Industry!Q$682*Mitigation_Industry!$J$672*MAX(Mitigation_Industry!$J$670,0)*Mitigation_Industry!$F$769/1000</f>
        <v>0.5719118098777588</v>
      </c>
      <c r="R297" s="140">
        <f>Mitigation_Industry!R$682*Mitigation_Industry!$J$672*MAX(Mitigation_Industry!$J$670,0)*Mitigation_Industry!$F$769/1000</f>
        <v>0.6033669594210358</v>
      </c>
      <c r="S297" s="140">
        <f>Mitigation_Industry!S$682*Mitigation_Industry!$J$672*MAX(Mitigation_Industry!$J$670,0)*Mitigation_Industry!$F$769/1000</f>
        <v>0.63655214218919254</v>
      </c>
      <c r="T297" s="140">
        <f>Mitigation_Industry!T$682*Mitigation_Industry!$J$672*MAX(Mitigation_Industry!$J$670,0)*Mitigation_Industry!$F$769/1000</f>
        <v>0.6715625100095981</v>
      </c>
      <c r="U297" s="140">
        <f>Mitigation_Industry!U$682*Mitigation_Industry!$J$672*MAX(Mitigation_Industry!$J$670,0)*Mitigation_Industry!$F$769/1000</f>
        <v>0.70849844806012596</v>
      </c>
      <c r="V297" s="140">
        <f>Mitigation_Industry!V$682*Mitigation_Industry!$J$672*MAX(Mitigation_Industry!$J$670,0)*Mitigation_Industry!$F$769/1000</f>
        <v>0.74746586270343296</v>
      </c>
      <c r="W297" s="140">
        <f>Mitigation_Industry!W$682*Mitigation_Industry!$J$672*MAX(Mitigation_Industry!$J$670,0)*Mitigation_Industry!$F$769/1000</f>
        <v>0.78857648515212175</v>
      </c>
      <c r="X297" s="140">
        <f>Mitigation_Industry!X$682*Mitigation_Industry!$J$672*MAX(Mitigation_Industry!$J$670,0)*Mitigation_Industry!$F$769/1000</f>
        <v>0.83194819183548852</v>
      </c>
      <c r="Y297" s="140">
        <f>Mitigation_Industry!Y$682*Mitigation_Industry!$J$672*MAX(Mitigation_Industry!$J$670,0)*Mitigation_Industry!$F$769/1000</f>
        <v>0.87770534238644027</v>
      </c>
      <c r="Z297" s="140">
        <f>Mitigation_Industry!Z$682*Mitigation_Industry!$J$672*MAX(Mitigation_Industry!$J$670,0)*Mitigation_Industry!$F$769/1000</f>
        <v>0.92597913621769457</v>
      </c>
      <c r="AA297" s="140">
        <f>Mitigation_Industry!AA$682*Mitigation_Industry!$J$672*MAX(Mitigation_Industry!$J$670,0)*Mitigation_Industry!$F$769/1000</f>
        <v>0.97690798870966755</v>
      </c>
      <c r="AB297" s="140">
        <f>Mitigation_Industry!AB$682*Mitigation_Industry!$J$672*MAX(Mitigation_Industry!$J$670,0)*Mitigation_Industry!$F$769/1000</f>
        <v>1.0306379280886993</v>
      </c>
      <c r="AC297" s="140">
        <f>Mitigation_Industry!AC$682*Mitigation_Industry!$J$672*MAX(Mitigation_Industry!$J$670,0)*Mitigation_Industry!$F$769/1000</f>
        <v>1.0873230141335775</v>
      </c>
      <c r="AD297" s="140">
        <f>Mitigation_Industry!AD$682*Mitigation_Industry!$J$672*MAX(Mitigation_Industry!$J$670,0)*Mitigation_Industry!$F$769/1000</f>
        <v>1.1471257799109245</v>
      </c>
      <c r="AE297" s="140">
        <f>Mitigation_Industry!AE$682*Mitigation_Industry!$J$672*MAX(Mitigation_Industry!$J$670,0)*Mitigation_Industry!$F$769/1000</f>
        <v>1.2102176978060251</v>
      </c>
      <c r="AF297" s="141"/>
      <c r="AG297" s="141"/>
      <c r="AH297" s="141"/>
      <c r="AI297" s="141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8" t="str">
        <f>Settings!$B$3&amp;".mit.wm.stl.drg.no.2"</f>
        <v>egy.mit.wm.stl.drg.no.2</v>
      </c>
      <c r="K298" s="139"/>
      <c r="L298" s="140">
        <f>Mitigation_Industry!L$675*Mitigation_Industry!$K$672*MAX(Mitigation_Industry!$K$663,0)*Mitigation_Industry!$H$762/1000</f>
        <v>0</v>
      </c>
      <c r="M298" s="140">
        <f>Mitigation_Industry!M$675*Mitigation_Industry!$K$672*MAX(Mitigation_Industry!$K$663,0)*Mitigation_Industry!$H$762/1000</f>
        <v>0</v>
      </c>
      <c r="N298" s="140">
        <f>Mitigation_Industry!N$675*Mitigation_Industry!$K$672*MAX(Mitigation_Industry!$K$663,0)*Mitigation_Industry!$H$762/1000</f>
        <v>0</v>
      </c>
      <c r="O298" s="140">
        <f>Mitigation_Industry!O$675*Mitigation_Industry!$K$672*MAX(Mitigation_Industry!$K$663,0)*Mitigation_Industry!$H$762/1000</f>
        <v>0</v>
      </c>
      <c r="P298" s="140">
        <f>Mitigation_Industry!P$675*Mitigation_Industry!$K$672*MAX(Mitigation_Industry!$K$663,0)*Mitigation_Industry!$H$762/1000</f>
        <v>0</v>
      </c>
      <c r="Q298" s="140">
        <f>Mitigation_Industry!Q$675*Mitigation_Industry!$K$672*MAX(Mitigation_Industry!$K$663,0)*Mitigation_Industry!$H$762/1000</f>
        <v>0</v>
      </c>
      <c r="R298" s="140">
        <f>Mitigation_Industry!R$675*Mitigation_Industry!$K$672*MAX(Mitigation_Industry!$K$663,0)*Mitigation_Industry!$H$762/1000</f>
        <v>0</v>
      </c>
      <c r="S298" s="140">
        <f>Mitigation_Industry!S$675*Mitigation_Industry!$K$672*MAX(Mitigation_Industry!$K$663,0)*Mitigation_Industry!$H$762/1000</f>
        <v>0</v>
      </c>
      <c r="T298" s="140">
        <f>Mitigation_Industry!T$675*Mitigation_Industry!$K$672*MAX(Mitigation_Industry!$K$663,0)*Mitigation_Industry!$H$762/1000</f>
        <v>0</v>
      </c>
      <c r="U298" s="140">
        <f>Mitigation_Industry!U$675*Mitigation_Industry!$K$672*MAX(Mitigation_Industry!$K$663,0)*Mitigation_Industry!$H$762/1000</f>
        <v>0</v>
      </c>
      <c r="V298" s="140">
        <f>Mitigation_Industry!V$675*Mitigation_Industry!$K$672*MAX(Mitigation_Industry!$K$663,0)*Mitigation_Industry!$H$762/1000</f>
        <v>0</v>
      </c>
      <c r="W298" s="140">
        <f>Mitigation_Industry!W$675*Mitigation_Industry!$K$672*MAX(Mitigation_Industry!$K$663,0)*Mitigation_Industry!$H$762/1000</f>
        <v>0</v>
      </c>
      <c r="X298" s="140">
        <f>Mitigation_Industry!X$675*Mitigation_Industry!$K$672*MAX(Mitigation_Industry!$K$663,0)*Mitigation_Industry!$H$762/1000</f>
        <v>0</v>
      </c>
      <c r="Y298" s="140">
        <f>Mitigation_Industry!Y$675*Mitigation_Industry!$K$672*MAX(Mitigation_Industry!$K$663,0)*Mitigation_Industry!$H$762/1000</f>
        <v>0</v>
      </c>
      <c r="Z298" s="140">
        <f>Mitigation_Industry!Z$675*Mitigation_Industry!$K$672*MAX(Mitigation_Industry!$K$663,0)*Mitigation_Industry!$H$762/1000</f>
        <v>0</v>
      </c>
      <c r="AA298" s="140">
        <f>Mitigation_Industry!AA$675*Mitigation_Industry!$K$672*MAX(Mitigation_Industry!$K$663,0)*Mitigation_Industry!$H$762/1000</f>
        <v>0</v>
      </c>
      <c r="AB298" s="140">
        <f>Mitigation_Industry!AB$675*Mitigation_Industry!$K$672*MAX(Mitigation_Industry!$K$663,0)*Mitigation_Industry!$H$762/1000</f>
        <v>0</v>
      </c>
      <c r="AC298" s="140">
        <f>Mitigation_Industry!AC$675*Mitigation_Industry!$K$672*MAX(Mitigation_Industry!$K$663,0)*Mitigation_Industry!$H$762/1000</f>
        <v>0</v>
      </c>
      <c r="AD298" s="140">
        <f>Mitigation_Industry!AD$675*Mitigation_Industry!$K$672*MAX(Mitigation_Industry!$K$663,0)*Mitigation_Industry!$H$762/1000</f>
        <v>0</v>
      </c>
      <c r="AE298" s="140">
        <f>Mitigation_Industry!AE$675*Mitigation_Industry!$K$672*MAX(Mitigation_Industry!$K$663,0)*Mitigation_Industry!$H$762/1000</f>
        <v>0</v>
      </c>
      <c r="AF298" s="141"/>
      <c r="AG298" s="141"/>
      <c r="AH298" s="141"/>
      <c r="AI298" s="141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8" t="str">
        <f>Settings!$B$3&amp;".mit.wm.stl.scr.no.2"</f>
        <v>egy.mit.wm.stl.scr.no.2</v>
      </c>
      <c r="K299" s="139"/>
      <c r="L299" s="140">
        <f>Mitigation_Industry!L$676*Mitigation_Industry!$K$672*MAX(Mitigation_Industry!$K$664,0)*Mitigation_Industry!$H$763/1000</f>
        <v>0</v>
      </c>
      <c r="M299" s="140">
        <f>Mitigation_Industry!M$676*Mitigation_Industry!$K$672*MAX(Mitigation_Industry!$K$664,0)*Mitigation_Industry!$H$763/1000</f>
        <v>0</v>
      </c>
      <c r="N299" s="140">
        <f>Mitigation_Industry!N$676*Mitigation_Industry!$K$672*MAX(Mitigation_Industry!$K$664,0)*Mitigation_Industry!$H$763/1000</f>
        <v>0</v>
      </c>
      <c r="O299" s="140">
        <f>Mitigation_Industry!O$676*Mitigation_Industry!$K$672*MAX(Mitigation_Industry!$K$664,0)*Mitigation_Industry!$H$763/1000</f>
        <v>0</v>
      </c>
      <c r="P299" s="140">
        <f>Mitigation_Industry!P$676*Mitigation_Industry!$K$672*MAX(Mitigation_Industry!$K$664,0)*Mitigation_Industry!$H$763/1000</f>
        <v>0</v>
      </c>
      <c r="Q299" s="140">
        <f>Mitigation_Industry!Q$676*Mitigation_Industry!$K$672*MAX(Mitigation_Industry!$K$664,0)*Mitigation_Industry!$H$763/1000</f>
        <v>0</v>
      </c>
      <c r="R299" s="140">
        <f>Mitigation_Industry!R$676*Mitigation_Industry!$K$672*MAX(Mitigation_Industry!$K$664,0)*Mitigation_Industry!$H$763/1000</f>
        <v>0</v>
      </c>
      <c r="S299" s="140">
        <f>Mitigation_Industry!S$676*Mitigation_Industry!$K$672*MAX(Mitigation_Industry!$K$664,0)*Mitigation_Industry!$H$763/1000</f>
        <v>0</v>
      </c>
      <c r="T299" s="140">
        <f>Mitigation_Industry!T$676*Mitigation_Industry!$K$672*MAX(Mitigation_Industry!$K$664,0)*Mitigation_Industry!$H$763/1000</f>
        <v>0</v>
      </c>
      <c r="U299" s="140">
        <f>Mitigation_Industry!U$676*Mitigation_Industry!$K$672*MAX(Mitigation_Industry!$K$664,0)*Mitigation_Industry!$H$763/1000</f>
        <v>0</v>
      </c>
      <c r="V299" s="140">
        <f>Mitigation_Industry!V$676*Mitigation_Industry!$K$672*MAX(Mitigation_Industry!$K$664,0)*Mitigation_Industry!$H$763/1000</f>
        <v>0</v>
      </c>
      <c r="W299" s="140">
        <f>Mitigation_Industry!W$676*Mitigation_Industry!$K$672*MAX(Mitigation_Industry!$K$664,0)*Mitigation_Industry!$H$763/1000</f>
        <v>0</v>
      </c>
      <c r="X299" s="140">
        <f>Mitigation_Industry!X$676*Mitigation_Industry!$K$672*MAX(Mitigation_Industry!$K$664,0)*Mitigation_Industry!$H$763/1000</f>
        <v>0</v>
      </c>
      <c r="Y299" s="140">
        <f>Mitigation_Industry!Y$676*Mitigation_Industry!$K$672*MAX(Mitigation_Industry!$K$664,0)*Mitigation_Industry!$H$763/1000</f>
        <v>0</v>
      </c>
      <c r="Z299" s="140">
        <f>Mitigation_Industry!Z$676*Mitigation_Industry!$K$672*MAX(Mitigation_Industry!$K$664,0)*Mitigation_Industry!$H$763/1000</f>
        <v>0</v>
      </c>
      <c r="AA299" s="140">
        <f>Mitigation_Industry!AA$676*Mitigation_Industry!$K$672*MAX(Mitigation_Industry!$K$664,0)*Mitigation_Industry!$H$763/1000</f>
        <v>0</v>
      </c>
      <c r="AB299" s="140">
        <f>Mitigation_Industry!AB$676*Mitigation_Industry!$K$672*MAX(Mitigation_Industry!$K$664,0)*Mitigation_Industry!$H$763/1000</f>
        <v>0</v>
      </c>
      <c r="AC299" s="140">
        <f>Mitigation_Industry!AC$676*Mitigation_Industry!$K$672*MAX(Mitigation_Industry!$K$664,0)*Mitigation_Industry!$H$763/1000</f>
        <v>0</v>
      </c>
      <c r="AD299" s="140">
        <f>Mitigation_Industry!AD$676*Mitigation_Industry!$K$672*MAX(Mitigation_Industry!$K$664,0)*Mitigation_Industry!$H$763/1000</f>
        <v>0</v>
      </c>
      <c r="AE299" s="140">
        <f>Mitigation_Industry!AE$676*Mitigation_Industry!$K$672*MAX(Mitigation_Industry!$K$664,0)*Mitigation_Industry!$H$763/1000</f>
        <v>0</v>
      </c>
      <c r="AF299" s="141"/>
      <c r="AG299" s="141"/>
      <c r="AH299" s="141"/>
      <c r="AI299" s="141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8" t="str">
        <f>Settings!$B$3&amp;".mit.wm.stl.bof.no.2"</f>
        <v>egy.mit.wm.stl.bof.no.2</v>
      </c>
      <c r="K300" s="139"/>
      <c r="L300" s="140">
        <f>Mitigation_Industry!L$677*Mitigation_Industry!$K$672*MAX(Mitigation_Industry!$K$665,0)*Mitigation_Industry!$H$764/1000</f>
        <v>0</v>
      </c>
      <c r="M300" s="140">
        <f>Mitigation_Industry!M$677*Mitigation_Industry!$K$672*MAX(Mitigation_Industry!$K$665,0)*Mitigation_Industry!$H$764/1000</f>
        <v>0</v>
      </c>
      <c r="N300" s="140">
        <f>Mitigation_Industry!N$677*Mitigation_Industry!$K$672*MAX(Mitigation_Industry!$K$665,0)*Mitigation_Industry!$H$764/1000</f>
        <v>0</v>
      </c>
      <c r="O300" s="140">
        <f>Mitigation_Industry!O$677*Mitigation_Industry!$K$672*MAX(Mitigation_Industry!$K$665,0)*Mitigation_Industry!$H$764/1000</f>
        <v>0</v>
      </c>
      <c r="P300" s="140">
        <f>Mitigation_Industry!P$677*Mitigation_Industry!$K$672*MAX(Mitigation_Industry!$K$665,0)*Mitigation_Industry!$H$764/1000</f>
        <v>0</v>
      </c>
      <c r="Q300" s="140">
        <f>Mitigation_Industry!Q$677*Mitigation_Industry!$K$672*MAX(Mitigation_Industry!$K$665,0)*Mitigation_Industry!$H$764/1000</f>
        <v>0</v>
      </c>
      <c r="R300" s="140">
        <f>Mitigation_Industry!R$677*Mitigation_Industry!$K$672*MAX(Mitigation_Industry!$K$665,0)*Mitigation_Industry!$H$764/1000</f>
        <v>0</v>
      </c>
      <c r="S300" s="140">
        <f>Mitigation_Industry!S$677*Mitigation_Industry!$K$672*MAX(Mitigation_Industry!$K$665,0)*Mitigation_Industry!$H$764/1000</f>
        <v>0</v>
      </c>
      <c r="T300" s="140">
        <f>Mitigation_Industry!T$677*Mitigation_Industry!$K$672*MAX(Mitigation_Industry!$K$665,0)*Mitigation_Industry!$H$764/1000</f>
        <v>0</v>
      </c>
      <c r="U300" s="140">
        <f>Mitigation_Industry!U$677*Mitigation_Industry!$K$672*MAX(Mitigation_Industry!$K$665,0)*Mitigation_Industry!$H$764/1000</f>
        <v>0</v>
      </c>
      <c r="V300" s="140">
        <f>Mitigation_Industry!V$677*Mitigation_Industry!$K$672*MAX(Mitigation_Industry!$K$665,0)*Mitigation_Industry!$H$764/1000</f>
        <v>0</v>
      </c>
      <c r="W300" s="140">
        <f>Mitigation_Industry!W$677*Mitigation_Industry!$K$672*MAX(Mitigation_Industry!$K$665,0)*Mitigation_Industry!$H$764/1000</f>
        <v>0</v>
      </c>
      <c r="X300" s="140">
        <f>Mitigation_Industry!X$677*Mitigation_Industry!$K$672*MAX(Mitigation_Industry!$K$665,0)*Mitigation_Industry!$H$764/1000</f>
        <v>0</v>
      </c>
      <c r="Y300" s="140">
        <f>Mitigation_Industry!Y$677*Mitigation_Industry!$K$672*MAX(Mitigation_Industry!$K$665,0)*Mitigation_Industry!$H$764/1000</f>
        <v>0</v>
      </c>
      <c r="Z300" s="140">
        <f>Mitigation_Industry!Z$677*Mitigation_Industry!$K$672*MAX(Mitigation_Industry!$K$665,0)*Mitigation_Industry!$H$764/1000</f>
        <v>0</v>
      </c>
      <c r="AA300" s="140">
        <f>Mitigation_Industry!AA$677*Mitigation_Industry!$K$672*MAX(Mitigation_Industry!$K$665,0)*Mitigation_Industry!$H$764/1000</f>
        <v>0</v>
      </c>
      <c r="AB300" s="140">
        <f>Mitigation_Industry!AB$677*Mitigation_Industry!$K$672*MAX(Mitigation_Industry!$K$665,0)*Mitigation_Industry!$H$764/1000</f>
        <v>0</v>
      </c>
      <c r="AC300" s="140">
        <f>Mitigation_Industry!AC$677*Mitigation_Industry!$K$672*MAX(Mitigation_Industry!$K$665,0)*Mitigation_Industry!$H$764/1000</f>
        <v>0</v>
      </c>
      <c r="AD300" s="140">
        <f>Mitigation_Industry!AD$677*Mitigation_Industry!$K$672*MAX(Mitigation_Industry!$K$665,0)*Mitigation_Industry!$H$764/1000</f>
        <v>0</v>
      </c>
      <c r="AE300" s="140">
        <f>Mitigation_Industry!AE$677*Mitigation_Industry!$K$672*MAX(Mitigation_Industry!$K$665,0)*Mitigation_Industry!$H$764/1000</f>
        <v>0</v>
      </c>
      <c r="AF300" s="141"/>
      <c r="AG300" s="141"/>
      <c r="AH300" s="141"/>
      <c r="AI300" s="141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8" t="str">
        <f>Settings!$B$3&amp;".mit.wm.cmt.dry.no.2"</f>
        <v>egy.mit.wm.cmt.dry.no.2</v>
      </c>
      <c r="K301" s="139"/>
      <c r="L301" s="140">
        <f>Mitigation_Industry!L$678*Mitigation_Industry!$K$672*MAX(Mitigation_Industry!$K$666,0)*Mitigation_Industry!$H$765/1000</f>
        <v>0</v>
      </c>
      <c r="M301" s="140">
        <f>Mitigation_Industry!M$678*Mitigation_Industry!$K$672*MAX(Mitigation_Industry!$K$666,0)*Mitigation_Industry!$H$765/1000</f>
        <v>0</v>
      </c>
      <c r="N301" s="140">
        <f>Mitigation_Industry!N$678*Mitigation_Industry!$K$672*MAX(Mitigation_Industry!$K$666,0)*Mitigation_Industry!$H$765/1000</f>
        <v>0</v>
      </c>
      <c r="O301" s="140">
        <f>Mitigation_Industry!O$678*Mitigation_Industry!$K$672*MAX(Mitigation_Industry!$K$666,0)*Mitigation_Industry!$H$765/1000</f>
        <v>0</v>
      </c>
      <c r="P301" s="140">
        <f>Mitigation_Industry!P$678*Mitigation_Industry!$K$672*MAX(Mitigation_Industry!$K$666,0)*Mitigation_Industry!$H$765/1000</f>
        <v>0</v>
      </c>
      <c r="Q301" s="140">
        <f>Mitigation_Industry!Q$678*Mitigation_Industry!$K$672*MAX(Mitigation_Industry!$K$666,0)*Mitigation_Industry!$H$765/1000</f>
        <v>0</v>
      </c>
      <c r="R301" s="140">
        <f>Mitigation_Industry!R$678*Mitigation_Industry!$K$672*MAX(Mitigation_Industry!$K$666,0)*Mitigation_Industry!$H$765/1000</f>
        <v>0</v>
      </c>
      <c r="S301" s="140">
        <f>Mitigation_Industry!S$678*Mitigation_Industry!$K$672*MAX(Mitigation_Industry!$K$666,0)*Mitigation_Industry!$H$765/1000</f>
        <v>0</v>
      </c>
      <c r="T301" s="140">
        <f>Mitigation_Industry!T$678*Mitigation_Industry!$K$672*MAX(Mitigation_Industry!$K$666,0)*Mitigation_Industry!$H$765/1000</f>
        <v>0</v>
      </c>
      <c r="U301" s="140">
        <f>Mitigation_Industry!U$678*Mitigation_Industry!$K$672*MAX(Mitigation_Industry!$K$666,0)*Mitigation_Industry!$H$765/1000</f>
        <v>0</v>
      </c>
      <c r="V301" s="140">
        <f>Mitigation_Industry!V$678*Mitigation_Industry!$K$672*MAX(Mitigation_Industry!$K$666,0)*Mitigation_Industry!$H$765/1000</f>
        <v>0</v>
      </c>
      <c r="W301" s="140">
        <f>Mitigation_Industry!W$678*Mitigation_Industry!$K$672*MAX(Mitigation_Industry!$K$666,0)*Mitigation_Industry!$H$765/1000</f>
        <v>0</v>
      </c>
      <c r="X301" s="140">
        <f>Mitigation_Industry!X$678*Mitigation_Industry!$K$672*MAX(Mitigation_Industry!$K$666,0)*Mitigation_Industry!$H$765/1000</f>
        <v>0</v>
      </c>
      <c r="Y301" s="140">
        <f>Mitigation_Industry!Y$678*Mitigation_Industry!$K$672*MAX(Mitigation_Industry!$K$666,0)*Mitigation_Industry!$H$765/1000</f>
        <v>0</v>
      </c>
      <c r="Z301" s="140">
        <f>Mitigation_Industry!Z$678*Mitigation_Industry!$K$672*MAX(Mitigation_Industry!$K$666,0)*Mitigation_Industry!$H$765/1000</f>
        <v>0</v>
      </c>
      <c r="AA301" s="140">
        <f>Mitigation_Industry!AA$678*Mitigation_Industry!$K$672*MAX(Mitigation_Industry!$K$666,0)*Mitigation_Industry!$H$765/1000</f>
        <v>0</v>
      </c>
      <c r="AB301" s="140">
        <f>Mitigation_Industry!AB$678*Mitigation_Industry!$K$672*MAX(Mitigation_Industry!$K$666,0)*Mitigation_Industry!$H$765/1000</f>
        <v>0</v>
      </c>
      <c r="AC301" s="140">
        <f>Mitigation_Industry!AC$678*Mitigation_Industry!$K$672*MAX(Mitigation_Industry!$K$666,0)*Mitigation_Industry!$H$765/1000</f>
        <v>0</v>
      </c>
      <c r="AD301" s="140">
        <f>Mitigation_Industry!AD$678*Mitigation_Industry!$K$672*MAX(Mitigation_Industry!$K$666,0)*Mitigation_Industry!$H$765/1000</f>
        <v>0</v>
      </c>
      <c r="AE301" s="140">
        <f>Mitigation_Industry!AE$678*Mitigation_Industry!$K$672*MAX(Mitigation_Industry!$K$666,0)*Mitigation_Industry!$H$765/1000</f>
        <v>0</v>
      </c>
      <c r="AF301" s="141"/>
      <c r="AG301" s="141"/>
      <c r="AH301" s="141"/>
      <c r="AI301" s="141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8" t="str">
        <f>Settings!$B$3&amp;".mit.wm.frt.amc.no.2"</f>
        <v>egy.mit.wm.frt.amc.no.2</v>
      </c>
      <c r="K302" s="139"/>
      <c r="L302" s="140">
        <f>Mitigation_Industry!L$679*Mitigation_Industry!$K$672*MAX(Mitigation_Industry!$K$667,0)*Mitigation_Industry!$H$766/1000</f>
        <v>0</v>
      </c>
      <c r="M302" s="140">
        <f>Mitigation_Industry!M$679*Mitigation_Industry!$K$672*MAX(Mitigation_Industry!$K$667,0)*Mitigation_Industry!$H$766/1000</f>
        <v>0</v>
      </c>
      <c r="N302" s="140">
        <f>Mitigation_Industry!N$679*Mitigation_Industry!$K$672*MAX(Mitigation_Industry!$K$667,0)*Mitigation_Industry!$H$766/1000</f>
        <v>0</v>
      </c>
      <c r="O302" s="140">
        <f>Mitigation_Industry!O$679*Mitigation_Industry!$K$672*MAX(Mitigation_Industry!$K$667,0)*Mitigation_Industry!$H$766/1000</f>
        <v>0</v>
      </c>
      <c r="P302" s="140">
        <f>Mitigation_Industry!P$679*Mitigation_Industry!$K$672*MAX(Mitigation_Industry!$K$667,0)*Mitigation_Industry!$H$766/1000</f>
        <v>0</v>
      </c>
      <c r="Q302" s="140">
        <f>Mitigation_Industry!Q$679*Mitigation_Industry!$K$672*MAX(Mitigation_Industry!$K$667,0)*Mitigation_Industry!$H$766/1000</f>
        <v>0</v>
      </c>
      <c r="R302" s="140">
        <f>Mitigation_Industry!R$679*Mitigation_Industry!$K$672*MAX(Mitigation_Industry!$K$667,0)*Mitigation_Industry!$H$766/1000</f>
        <v>0</v>
      </c>
      <c r="S302" s="140">
        <f>Mitigation_Industry!S$679*Mitigation_Industry!$K$672*MAX(Mitigation_Industry!$K$667,0)*Mitigation_Industry!$H$766/1000</f>
        <v>0</v>
      </c>
      <c r="T302" s="140">
        <f>Mitigation_Industry!T$679*Mitigation_Industry!$K$672*MAX(Mitigation_Industry!$K$667,0)*Mitigation_Industry!$H$766/1000</f>
        <v>0</v>
      </c>
      <c r="U302" s="140">
        <f>Mitigation_Industry!U$679*Mitigation_Industry!$K$672*MAX(Mitigation_Industry!$K$667,0)*Mitigation_Industry!$H$766/1000</f>
        <v>0</v>
      </c>
      <c r="V302" s="140">
        <f>Mitigation_Industry!V$679*Mitigation_Industry!$K$672*MAX(Mitigation_Industry!$K$667,0)*Mitigation_Industry!$H$766/1000</f>
        <v>0</v>
      </c>
      <c r="W302" s="140">
        <f>Mitigation_Industry!W$679*Mitigation_Industry!$K$672*MAX(Mitigation_Industry!$K$667,0)*Mitigation_Industry!$H$766/1000</f>
        <v>0</v>
      </c>
      <c r="X302" s="140">
        <f>Mitigation_Industry!X$679*Mitigation_Industry!$K$672*MAX(Mitigation_Industry!$K$667,0)*Mitigation_Industry!$H$766/1000</f>
        <v>0</v>
      </c>
      <c r="Y302" s="140">
        <f>Mitigation_Industry!Y$679*Mitigation_Industry!$K$672*MAX(Mitigation_Industry!$K$667,0)*Mitigation_Industry!$H$766/1000</f>
        <v>0</v>
      </c>
      <c r="Z302" s="140">
        <f>Mitigation_Industry!Z$679*Mitigation_Industry!$K$672*MAX(Mitigation_Industry!$K$667,0)*Mitigation_Industry!$H$766/1000</f>
        <v>0</v>
      </c>
      <c r="AA302" s="140">
        <f>Mitigation_Industry!AA$679*Mitigation_Industry!$K$672*MAX(Mitigation_Industry!$K$667,0)*Mitigation_Industry!$H$766/1000</f>
        <v>0</v>
      </c>
      <c r="AB302" s="140">
        <f>Mitigation_Industry!AB$679*Mitigation_Industry!$K$672*MAX(Mitigation_Industry!$K$667,0)*Mitigation_Industry!$H$766/1000</f>
        <v>0</v>
      </c>
      <c r="AC302" s="140">
        <f>Mitigation_Industry!AC$679*Mitigation_Industry!$K$672*MAX(Mitigation_Industry!$K$667,0)*Mitigation_Industry!$H$766/1000</f>
        <v>0</v>
      </c>
      <c r="AD302" s="140">
        <f>Mitigation_Industry!AD$679*Mitigation_Industry!$K$672*MAX(Mitigation_Industry!$K$667,0)*Mitigation_Industry!$H$766/1000</f>
        <v>0</v>
      </c>
      <c r="AE302" s="140">
        <f>Mitigation_Industry!AE$679*Mitigation_Industry!$K$672*MAX(Mitigation_Industry!$K$667,0)*Mitigation_Industry!$H$766/1000</f>
        <v>0</v>
      </c>
      <c r="AF302" s="141"/>
      <c r="AG302" s="141"/>
      <c r="AH302" s="141"/>
      <c r="AI302" s="141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8" t="str">
        <f>Settings!$B$3&amp;".mit.wm.frt.ure.no.2"</f>
        <v>egy.mit.wm.frt.ure.no.2</v>
      </c>
      <c r="K303" s="139"/>
      <c r="L303" s="140">
        <f>Mitigation_Industry!L$680*Mitigation_Industry!$K$672*MAX(Mitigation_Industry!$K$668,0)*Mitigation_Industry!$H$767/1000</f>
        <v>0</v>
      </c>
      <c r="M303" s="140">
        <f>Mitigation_Industry!M$680*Mitigation_Industry!$K$672*MAX(Mitigation_Industry!$K$668,0)*Mitigation_Industry!$H$767/1000</f>
        <v>0</v>
      </c>
      <c r="N303" s="140">
        <f>Mitigation_Industry!N$680*Mitigation_Industry!$K$672*MAX(Mitigation_Industry!$K$668,0)*Mitigation_Industry!$H$767/1000</f>
        <v>0</v>
      </c>
      <c r="O303" s="140">
        <f>Mitigation_Industry!O$680*Mitigation_Industry!$K$672*MAX(Mitigation_Industry!$K$668,0)*Mitigation_Industry!$H$767/1000</f>
        <v>0</v>
      </c>
      <c r="P303" s="140">
        <f>Mitigation_Industry!P$680*Mitigation_Industry!$K$672*MAX(Mitigation_Industry!$K$668,0)*Mitigation_Industry!$H$767/1000</f>
        <v>0</v>
      </c>
      <c r="Q303" s="140">
        <f>Mitigation_Industry!Q$680*Mitigation_Industry!$K$672*MAX(Mitigation_Industry!$K$668,0)*Mitigation_Industry!$H$767/1000</f>
        <v>0</v>
      </c>
      <c r="R303" s="140">
        <f>Mitigation_Industry!R$680*Mitigation_Industry!$K$672*MAX(Mitigation_Industry!$K$668,0)*Mitigation_Industry!$H$767/1000</f>
        <v>0</v>
      </c>
      <c r="S303" s="140">
        <f>Mitigation_Industry!S$680*Mitigation_Industry!$K$672*MAX(Mitigation_Industry!$K$668,0)*Mitigation_Industry!$H$767/1000</f>
        <v>0</v>
      </c>
      <c r="T303" s="140">
        <f>Mitigation_Industry!T$680*Mitigation_Industry!$K$672*MAX(Mitigation_Industry!$K$668,0)*Mitigation_Industry!$H$767/1000</f>
        <v>0</v>
      </c>
      <c r="U303" s="140">
        <f>Mitigation_Industry!U$680*Mitigation_Industry!$K$672*MAX(Mitigation_Industry!$K$668,0)*Mitigation_Industry!$H$767/1000</f>
        <v>0</v>
      </c>
      <c r="V303" s="140">
        <f>Mitigation_Industry!V$680*Mitigation_Industry!$K$672*MAX(Mitigation_Industry!$K$668,0)*Mitigation_Industry!$H$767/1000</f>
        <v>0</v>
      </c>
      <c r="W303" s="140">
        <f>Mitigation_Industry!W$680*Mitigation_Industry!$K$672*MAX(Mitigation_Industry!$K$668,0)*Mitigation_Industry!$H$767/1000</f>
        <v>0</v>
      </c>
      <c r="X303" s="140">
        <f>Mitigation_Industry!X$680*Mitigation_Industry!$K$672*MAX(Mitigation_Industry!$K$668,0)*Mitigation_Industry!$H$767/1000</f>
        <v>0</v>
      </c>
      <c r="Y303" s="140">
        <f>Mitigation_Industry!Y$680*Mitigation_Industry!$K$672*MAX(Mitigation_Industry!$K$668,0)*Mitigation_Industry!$H$767/1000</f>
        <v>0</v>
      </c>
      <c r="Z303" s="140">
        <f>Mitigation_Industry!Z$680*Mitigation_Industry!$K$672*MAX(Mitigation_Industry!$K$668,0)*Mitigation_Industry!$H$767/1000</f>
        <v>0</v>
      </c>
      <c r="AA303" s="140">
        <f>Mitigation_Industry!AA$680*Mitigation_Industry!$K$672*MAX(Mitigation_Industry!$K$668,0)*Mitigation_Industry!$H$767/1000</f>
        <v>0</v>
      </c>
      <c r="AB303" s="140">
        <f>Mitigation_Industry!AB$680*Mitigation_Industry!$K$672*MAX(Mitigation_Industry!$K$668,0)*Mitigation_Industry!$H$767/1000</f>
        <v>0</v>
      </c>
      <c r="AC303" s="140">
        <f>Mitigation_Industry!AC$680*Mitigation_Industry!$K$672*MAX(Mitigation_Industry!$K$668,0)*Mitigation_Industry!$H$767/1000</f>
        <v>0</v>
      </c>
      <c r="AD303" s="140">
        <f>Mitigation_Industry!AD$680*Mitigation_Industry!$K$672*MAX(Mitigation_Industry!$K$668,0)*Mitigation_Industry!$H$767/1000</f>
        <v>0</v>
      </c>
      <c r="AE303" s="140">
        <f>Mitigation_Industry!AE$680*Mitigation_Industry!$K$672*MAX(Mitigation_Industry!$K$668,0)*Mitigation_Industry!$H$767/1000</f>
        <v>0</v>
      </c>
      <c r="AF303" s="141"/>
      <c r="AG303" s="141"/>
      <c r="AH303" s="141"/>
      <c r="AI303" s="141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8" t="str">
        <f>Settings!$B$3&amp;".mit.wm.frt.nit.no.2"</f>
        <v>egy.mit.wm.frt.nit.no.2</v>
      </c>
      <c r="K304" s="139"/>
      <c r="L304" s="140">
        <f>Mitigation_Industry!L$681*Mitigation_Industry!$K$672*MAX(Mitigation_Industry!$K$669,0)*Mitigation_Industry!$H$768/1000</f>
        <v>0.57123661061347031</v>
      </c>
      <c r="M304" s="140">
        <f>Mitigation_Industry!M$681*Mitigation_Industry!$K$672*MAX(Mitigation_Industry!$K$669,0)*Mitigation_Industry!$H$768/1000</f>
        <v>0.58380381604696674</v>
      </c>
      <c r="N304" s="140">
        <f>Mitigation_Industry!N$681*Mitigation_Industry!$K$672*MAX(Mitigation_Industry!$K$669,0)*Mitigation_Industry!$H$768/1000</f>
        <v>0.5966475</v>
      </c>
      <c r="O304" s="140">
        <f>Mitigation_Industry!O$681*Mitigation_Industry!$K$672*MAX(Mitigation_Industry!$K$669,0)*Mitigation_Industry!$H$768/1000</f>
        <v>0.60977374500000003</v>
      </c>
      <c r="P304" s="140">
        <f>Mitigation_Industry!P$681*Mitigation_Industry!$K$672*MAX(Mitigation_Industry!$K$669,0)*Mitigation_Industry!$H$768/1000</f>
        <v>0.62318876738999995</v>
      </c>
      <c r="Q304" s="140">
        <f>Mitigation_Industry!Q$681*Mitigation_Industry!$K$672*MAX(Mitigation_Industry!$K$669,0)*Mitigation_Industry!$H$768/1000</f>
        <v>0.6368989202725801</v>
      </c>
      <c r="R304" s="140">
        <f>Mitigation_Industry!R$681*Mitigation_Industry!$K$672*MAX(Mitigation_Industry!$K$669,0)*Mitigation_Industry!$H$768/1000</f>
        <v>0.65091069651857669</v>
      </c>
      <c r="S304" s="140">
        <f>Mitigation_Industry!S$681*Mitigation_Industry!$K$672*MAX(Mitigation_Industry!$K$669,0)*Mitigation_Industry!$H$768/1000</f>
        <v>0.66523073184198556</v>
      </c>
      <c r="T304" s="140">
        <f>Mitigation_Industry!T$681*Mitigation_Industry!$K$672*MAX(Mitigation_Industry!$K$669,0)*Mitigation_Industry!$H$768/1000</f>
        <v>0.67986580794250906</v>
      </c>
      <c r="U304" s="140">
        <f>Mitigation_Industry!U$681*Mitigation_Industry!$K$672*MAX(Mitigation_Industry!$K$669,0)*Mitigation_Industry!$H$768/1000</f>
        <v>0.69482285571724434</v>
      </c>
      <c r="V304" s="140">
        <f>Mitigation_Industry!V$681*Mitigation_Industry!$K$672*MAX(Mitigation_Industry!$K$669,0)*Mitigation_Industry!$H$768/1000</f>
        <v>0.7101089585430238</v>
      </c>
      <c r="W304" s="140">
        <f>Mitigation_Industry!W$681*Mitigation_Industry!$K$672*MAX(Mitigation_Industry!$K$669,0)*Mitigation_Industry!$H$768/1000</f>
        <v>0.72573135563097024</v>
      </c>
      <c r="X304" s="140">
        <f>Mitigation_Industry!X$681*Mitigation_Industry!$K$672*MAX(Mitigation_Industry!$K$669,0)*Mitigation_Industry!$H$768/1000</f>
        <v>0.74169744545485172</v>
      </c>
      <c r="Y304" s="140">
        <f>Mitigation_Industry!Y$681*Mitigation_Industry!$K$672*MAX(Mitigation_Industry!$K$669,0)*Mitigation_Industry!$H$768/1000</f>
        <v>0.75801478925485843</v>
      </c>
      <c r="Z304" s="140">
        <f>Mitigation_Industry!Z$681*Mitigation_Industry!$K$672*MAX(Mitigation_Industry!$K$669,0)*Mitigation_Industry!$H$768/1000</f>
        <v>0.7746911146184654</v>
      </c>
      <c r="AA304" s="140">
        <f>Mitigation_Industry!AA$681*Mitigation_Industry!$K$672*MAX(Mitigation_Industry!$K$669,0)*Mitigation_Industry!$H$768/1000</f>
        <v>0.79173431914007153</v>
      </c>
      <c r="AB304" s="140">
        <f>Mitigation_Industry!AB$681*Mitigation_Industry!$K$672*MAX(Mitigation_Industry!$K$669,0)*Mitigation_Industry!$H$768/1000</f>
        <v>0.8091524741611531</v>
      </c>
      <c r="AC304" s="140">
        <f>Mitigation_Industry!AC$681*Mitigation_Industry!$K$672*MAX(Mitigation_Industry!$K$669,0)*Mitigation_Industry!$H$768/1000</f>
        <v>0.8269538285926985</v>
      </c>
      <c r="AD304" s="140">
        <f>Mitigation_Industry!AD$681*Mitigation_Industry!$K$672*MAX(Mitigation_Industry!$K$669,0)*Mitigation_Industry!$H$768/1000</f>
        <v>0.84514681282173787</v>
      </c>
      <c r="AE304" s="140">
        <f>Mitigation_Industry!AE$681*Mitigation_Industry!$K$672*MAX(Mitigation_Industry!$K$669,0)*Mitigation_Industry!$H$768/1000</f>
        <v>0.8637400427038161</v>
      </c>
      <c r="AF304" s="141"/>
      <c r="AG304" s="141"/>
      <c r="AH304" s="141"/>
      <c r="AI304" s="141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8" t="str">
        <f>Settings!$B$3&amp;".mit.wm.alu.prp.no.2"</f>
        <v>egy.mit.wm.alu.prp.no.2</v>
      </c>
      <c r="K305" s="139"/>
      <c r="L305" s="140">
        <f>Mitigation_Industry!L$682*Mitigation_Industry!$K$672*MAX(Mitigation_Industry!$K$670,0)*Mitigation_Industry!$H$769/1000</f>
        <v>0.20862065092877519</v>
      </c>
      <c r="M305" s="140">
        <f>Mitigation_Industry!M$682*Mitigation_Industry!$K$672*MAX(Mitigation_Industry!$K$670,0)*Mitigation_Industry!$H$769/1000</f>
        <v>0.22009478672985783</v>
      </c>
      <c r="N305" s="140">
        <f>Mitigation_Industry!N$682*Mitigation_Industry!$K$672*MAX(Mitigation_Industry!$K$670,0)*Mitigation_Industry!$H$769/1000</f>
        <v>0.23220000000000002</v>
      </c>
      <c r="O305" s="140">
        <f>Mitigation_Industry!O$682*Mitigation_Industry!$K$672*MAX(Mitigation_Industry!$K$670,0)*Mitigation_Industry!$H$769/1000</f>
        <v>0.24497099999999999</v>
      </c>
      <c r="P305" s="140">
        <f>Mitigation_Industry!P$682*Mitigation_Industry!$K$672*MAX(Mitigation_Industry!$K$670,0)*Mitigation_Industry!$H$769/1000</f>
        <v>0.25844440499999999</v>
      </c>
      <c r="Q305" s="140">
        <f>Mitigation_Industry!Q$682*Mitigation_Industry!$K$672*MAX(Mitigation_Industry!$K$670,0)*Mitigation_Industry!$H$769/1000</f>
        <v>0.27265884727499995</v>
      </c>
      <c r="R305" s="140">
        <f>Mitigation_Industry!R$682*Mitigation_Industry!$K$672*MAX(Mitigation_Industry!$K$670,0)*Mitigation_Industry!$H$769/1000</f>
        <v>0.28765508387512501</v>
      </c>
      <c r="S305" s="140">
        <f>Mitigation_Industry!S$682*Mitigation_Industry!$K$672*MAX(Mitigation_Industry!$K$670,0)*Mitigation_Industry!$H$769/1000</f>
        <v>0.30347611348825682</v>
      </c>
      <c r="T305" s="140">
        <f>Mitigation_Industry!T$682*Mitigation_Industry!$K$672*MAX(Mitigation_Industry!$K$670,0)*Mitigation_Industry!$H$769/1000</f>
        <v>0.32016729973011093</v>
      </c>
      <c r="U305" s="140">
        <f>Mitigation_Industry!U$682*Mitigation_Industry!$K$672*MAX(Mitigation_Industry!$K$670,0)*Mitigation_Industry!$H$769/1000</f>
        <v>0.33777650121526698</v>
      </c>
      <c r="V305" s="140">
        <f>Mitigation_Industry!V$682*Mitigation_Industry!$K$672*MAX(Mitigation_Industry!$K$670,0)*Mitigation_Industry!$H$769/1000</f>
        <v>0.35635420878210672</v>
      </c>
      <c r="W305" s="140">
        <f>Mitigation_Industry!W$682*Mitigation_Industry!$K$672*MAX(Mitigation_Industry!$K$670,0)*Mitigation_Industry!$H$769/1000</f>
        <v>0.37595369026512254</v>
      </c>
      <c r="X305" s="140">
        <f>Mitigation_Industry!X$682*Mitigation_Industry!$K$672*MAX(Mitigation_Industry!$K$670,0)*Mitigation_Industry!$H$769/1000</f>
        <v>0.39663114322970433</v>
      </c>
      <c r="Y305" s="140">
        <f>Mitigation_Industry!Y$682*Mitigation_Industry!$K$672*MAX(Mitigation_Industry!$K$670,0)*Mitigation_Industry!$H$769/1000</f>
        <v>0.41844585610733798</v>
      </c>
      <c r="Z305" s="140">
        <f>Mitigation_Industry!Z$682*Mitigation_Industry!$K$672*MAX(Mitigation_Industry!$K$670,0)*Mitigation_Industry!$H$769/1000</f>
        <v>0.44146037819324158</v>
      </c>
      <c r="AA305" s="140">
        <f>Mitigation_Industry!AA$682*Mitigation_Industry!$K$672*MAX(Mitigation_Industry!$K$670,0)*Mitigation_Industry!$H$769/1000</f>
        <v>0.46574069899386977</v>
      </c>
      <c r="AB305" s="140">
        <f>Mitigation_Industry!AB$682*Mitigation_Industry!$K$672*MAX(Mitigation_Industry!$K$670,0)*Mitigation_Industry!$H$769/1000</f>
        <v>0.49135643743853269</v>
      </c>
      <c r="AC305" s="140">
        <f>Mitigation_Industry!AC$682*Mitigation_Industry!$K$672*MAX(Mitigation_Industry!$K$670,0)*Mitigation_Industry!$H$769/1000</f>
        <v>0.51838104149765185</v>
      </c>
      <c r="AD305" s="140">
        <f>Mitigation_Industry!AD$682*Mitigation_Industry!$K$672*MAX(Mitigation_Industry!$K$670,0)*Mitigation_Industry!$H$769/1000</f>
        <v>0.5468919987800227</v>
      </c>
      <c r="AE305" s="140">
        <f>Mitigation_Industry!AE$682*Mitigation_Industry!$K$672*MAX(Mitigation_Industry!$K$670,0)*Mitigation_Industry!$H$769/1000</f>
        <v>0.57697105871292398</v>
      </c>
      <c r="AF305" s="141"/>
      <c r="AG305" s="141"/>
      <c r="AH305" s="141"/>
      <c r="AI305" s="141"/>
    </row>
    <row r="306" spans="1:35" x14ac:dyDescent="0.35"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7">
        <v>2021</v>
      </c>
      <c r="L307" s="138">
        <v>2022</v>
      </c>
      <c r="M307" s="137">
        <v>2023</v>
      </c>
      <c r="N307" s="137">
        <v>2024</v>
      </c>
      <c r="O307" s="137">
        <v>2025</v>
      </c>
      <c r="P307" s="137">
        <v>2026</v>
      </c>
      <c r="Q307" s="137">
        <v>2027</v>
      </c>
      <c r="R307" s="137">
        <v>2028</v>
      </c>
      <c r="S307" s="137">
        <v>2029</v>
      </c>
      <c r="T307" s="137">
        <v>2030</v>
      </c>
      <c r="U307" s="137">
        <v>2031</v>
      </c>
      <c r="V307" s="137">
        <v>2032</v>
      </c>
      <c r="W307" s="137">
        <v>2033</v>
      </c>
      <c r="X307" s="137">
        <v>2034</v>
      </c>
      <c r="Y307" s="137">
        <v>2035</v>
      </c>
      <c r="Z307" s="137">
        <v>2036</v>
      </c>
      <c r="AA307" s="137">
        <v>2037</v>
      </c>
      <c r="AB307" s="137">
        <v>2038</v>
      </c>
      <c r="AC307" s="137">
        <v>2039</v>
      </c>
      <c r="AD307" s="137">
        <v>2040</v>
      </c>
      <c r="AE307" s="137">
        <v>2041</v>
      </c>
      <c r="AF307" s="137">
        <v>2042</v>
      </c>
      <c r="AG307" s="137">
        <v>2043</v>
      </c>
      <c r="AH307" s="137">
        <v>2044</v>
      </c>
      <c r="AI307" s="137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8" t="str">
        <f>Settings!$B$3&amp;".mit.wp.stl.drg.np.2"</f>
        <v>egy.mit.wp.stl.drg.np.2</v>
      </c>
      <c r="I308" t="s">
        <v>2657</v>
      </c>
      <c r="K308" s="139"/>
      <c r="L308" s="140">
        <f t="shared" ref="L308:AE308" si="91">L$290*EXP(-L$272*L$234)</f>
        <v>0.17734546065090059</v>
      </c>
      <c r="M308" s="140">
        <f t="shared" si="91"/>
        <v>0.18514866091954021</v>
      </c>
      <c r="N308" s="140">
        <f t="shared" si="91"/>
        <v>0.193295202</v>
      </c>
      <c r="O308" s="140">
        <f t="shared" si="91"/>
        <v>0.20180019088800003</v>
      </c>
      <c r="P308" s="140">
        <f t="shared" si="91"/>
        <v>0.21067939928707202</v>
      </c>
      <c r="Q308" s="140">
        <f t="shared" si="91"/>
        <v>0.21994929285570322</v>
      </c>
      <c r="R308" s="140">
        <f t="shared" si="91"/>
        <v>0.22962706174135414</v>
      </c>
      <c r="S308" s="140">
        <f t="shared" si="91"/>
        <v>0.2397306524579737</v>
      </c>
      <c r="T308" s="140">
        <f t="shared" si="91"/>
        <v>0.25027880116612461</v>
      </c>
      <c r="U308" s="140">
        <f t="shared" si="91"/>
        <v>0.2612910684174341</v>
      </c>
      <c r="V308" s="140">
        <f t="shared" si="91"/>
        <v>0.27278787542780114</v>
      </c>
      <c r="W308" s="140">
        <f t="shared" si="91"/>
        <v>0.28479054194662445</v>
      </c>
      <c r="X308" s="140">
        <f t="shared" si="91"/>
        <v>0.29732132579227588</v>
      </c>
      <c r="Y308" s="140">
        <f t="shared" si="91"/>
        <v>0.3104034641271361</v>
      </c>
      <c r="Z308" s="140">
        <f t="shared" si="91"/>
        <v>0.32406121654872999</v>
      </c>
      <c r="AA308" s="140">
        <f t="shared" si="91"/>
        <v>0.33831991007687412</v>
      </c>
      <c r="AB308" s="140">
        <f t="shared" si="91"/>
        <v>0.35320598612025667</v>
      </c>
      <c r="AC308" s="140">
        <f t="shared" si="91"/>
        <v>0.36874704950954795</v>
      </c>
      <c r="AD308" s="140">
        <f t="shared" si="91"/>
        <v>0.38497191968796801</v>
      </c>
      <c r="AE308" s="140">
        <f t="shared" si="91"/>
        <v>0.40191068415423858</v>
      </c>
      <c r="AF308" s="141"/>
      <c r="AG308" s="141"/>
      <c r="AH308" s="141"/>
      <c r="AI308" s="141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8" t="str">
        <f>Settings!$B$3&amp;".mit.wp.stl.scr.np.2"</f>
        <v>egy.mit.wp.stl.scr.np.2</v>
      </c>
      <c r="K309" s="139"/>
      <c r="L309" s="140">
        <f t="shared" ref="L309:AE309" si="92">L$291*EXP(-L$273*L$235)</f>
        <v>0.19368983132954593</v>
      </c>
      <c r="M309" s="140">
        <f t="shared" si="92"/>
        <v>0.20221218390804596</v>
      </c>
      <c r="N309" s="140">
        <f t="shared" si="92"/>
        <v>0.21110951999999997</v>
      </c>
      <c r="O309" s="140">
        <f t="shared" si="92"/>
        <v>0.22039833887999999</v>
      </c>
      <c r="P309" s="140">
        <f t="shared" si="92"/>
        <v>0.23009586579071997</v>
      </c>
      <c r="Q309" s="140">
        <f t="shared" si="92"/>
        <v>0.24022008388551169</v>
      </c>
      <c r="R309" s="140">
        <f t="shared" si="92"/>
        <v>0.25078976757647414</v>
      </c>
      <c r="S309" s="140">
        <f t="shared" si="92"/>
        <v>0.26182451734983908</v>
      </c>
      <c r="T309" s="140">
        <f t="shared" si="92"/>
        <v>0.27334479611323198</v>
      </c>
      <c r="U309" s="140">
        <f t="shared" si="92"/>
        <v>0.28537196714221424</v>
      </c>
      <c r="V309" s="140">
        <f t="shared" si="92"/>
        <v>0.29792833369647159</v>
      </c>
      <c r="W309" s="140">
        <f t="shared" si="92"/>
        <v>0.31103718037911643</v>
      </c>
      <c r="X309" s="140">
        <f t="shared" si="92"/>
        <v>0.32472281631579752</v>
      </c>
      <c r="Y309" s="140">
        <f t="shared" si="92"/>
        <v>0.33901062023369266</v>
      </c>
      <c r="Z309" s="140">
        <f t="shared" si="92"/>
        <v>0.35392708752397511</v>
      </c>
      <c r="AA309" s="140">
        <f t="shared" si="92"/>
        <v>0.36949987937502998</v>
      </c>
      <c r="AB309" s="140">
        <f t="shared" si="92"/>
        <v>0.38575787406753137</v>
      </c>
      <c r="AC309" s="140">
        <f t="shared" si="92"/>
        <v>0.40273122052650273</v>
      </c>
      <c r="AD309" s="140">
        <f t="shared" si="92"/>
        <v>0.42045139422966882</v>
      </c>
      <c r="AE309" s="140">
        <f t="shared" si="92"/>
        <v>0.43895125557577425</v>
      </c>
      <c r="AF309" s="141"/>
      <c r="AG309" s="141"/>
      <c r="AH309" s="141"/>
      <c r="AI309" s="141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8" t="str">
        <f>Settings!$B$3&amp;".mit.wp.stl.bof.np.2"</f>
        <v>egy.mit.wp.stl.bof.np.2</v>
      </c>
      <c r="K310" s="139"/>
      <c r="L310" s="140">
        <f t="shared" ref="L310:AE310" si="93">L$292*EXP(-L$274*L$236)</f>
        <v>0</v>
      </c>
      <c r="M310" s="140">
        <f t="shared" si="93"/>
        <v>0</v>
      </c>
      <c r="N310" s="140">
        <f t="shared" si="93"/>
        <v>0</v>
      </c>
      <c r="O310" s="140">
        <f t="shared" si="93"/>
        <v>0</v>
      </c>
      <c r="P310" s="140">
        <f t="shared" si="93"/>
        <v>0</v>
      </c>
      <c r="Q310" s="140">
        <f t="shared" si="93"/>
        <v>0</v>
      </c>
      <c r="R310" s="140">
        <f t="shared" si="93"/>
        <v>0</v>
      </c>
      <c r="S310" s="140">
        <f t="shared" si="93"/>
        <v>0</v>
      </c>
      <c r="T310" s="140">
        <f t="shared" si="93"/>
        <v>0</v>
      </c>
      <c r="U310" s="140">
        <f t="shared" si="93"/>
        <v>0</v>
      </c>
      <c r="V310" s="140">
        <f t="shared" si="93"/>
        <v>0</v>
      </c>
      <c r="W310" s="140">
        <f t="shared" si="93"/>
        <v>0</v>
      </c>
      <c r="X310" s="140">
        <f t="shared" si="93"/>
        <v>0</v>
      </c>
      <c r="Y310" s="140">
        <f t="shared" si="93"/>
        <v>0</v>
      </c>
      <c r="Z310" s="140">
        <f t="shared" si="93"/>
        <v>0</v>
      </c>
      <c r="AA310" s="140">
        <f t="shared" si="93"/>
        <v>0</v>
      </c>
      <c r="AB310" s="140">
        <f t="shared" si="93"/>
        <v>0</v>
      </c>
      <c r="AC310" s="140">
        <f t="shared" si="93"/>
        <v>0</v>
      </c>
      <c r="AD310" s="140">
        <f t="shared" si="93"/>
        <v>0</v>
      </c>
      <c r="AE310" s="140">
        <f t="shared" si="93"/>
        <v>0</v>
      </c>
      <c r="AF310" s="141"/>
      <c r="AG310" s="141"/>
      <c r="AH310" s="141"/>
      <c r="AI310" s="141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8" t="str">
        <f>Settings!$B$3&amp;".mit.wp.cmt.dry.np.2"</f>
        <v>egy.mit.wp.cmt.dry.np.2</v>
      </c>
      <c r="K311" s="139"/>
      <c r="L311" s="140">
        <f t="shared" ref="L311:AE311" si="94">L$293*EXP(-L$275*L$237)</f>
        <v>25.163138219961041</v>
      </c>
      <c r="M311" s="140">
        <f t="shared" si="94"/>
        <v>25.993521781219755</v>
      </c>
      <c r="N311" s="140">
        <f t="shared" si="94"/>
        <v>26.851308</v>
      </c>
      <c r="O311" s="140">
        <f t="shared" si="94"/>
        <v>27.737401163999998</v>
      </c>
      <c r="P311" s="140">
        <f t="shared" si="94"/>
        <v>28.652735402411995</v>
      </c>
      <c r="Q311" s="140">
        <f t="shared" si="94"/>
        <v>29.598275670691589</v>
      </c>
      <c r="R311" s="140">
        <f t="shared" si="94"/>
        <v>30.575018767824407</v>
      </c>
      <c r="S311" s="140">
        <f t="shared" si="94"/>
        <v>31.583994387162612</v>
      </c>
      <c r="T311" s="140">
        <f t="shared" si="94"/>
        <v>32.626266201938975</v>
      </c>
      <c r="U311" s="140">
        <f t="shared" si="94"/>
        <v>33.70293298660296</v>
      </c>
      <c r="V311" s="140">
        <f t="shared" si="94"/>
        <v>34.815129775160841</v>
      </c>
      <c r="W311" s="140">
        <f t="shared" si="94"/>
        <v>35.964029057741151</v>
      </c>
      <c r="X311" s="140">
        <f t="shared" si="94"/>
        <v>37.150842016646592</v>
      </c>
      <c r="Y311" s="140">
        <f t="shared" si="94"/>
        <v>38.376819803195943</v>
      </c>
      <c r="Z311" s="140">
        <f t="shared" si="94"/>
        <v>39.643254856701404</v>
      </c>
      <c r="AA311" s="140">
        <f t="shared" si="94"/>
        <v>40.951482266972548</v>
      </c>
      <c r="AB311" s="140">
        <f t="shared" si="94"/>
        <v>42.302881181782631</v>
      </c>
      <c r="AC311" s="140">
        <f t="shared" si="94"/>
        <v>43.698876260781446</v>
      </c>
      <c r="AD311" s="140">
        <f t="shared" si="94"/>
        <v>45.140939177387231</v>
      </c>
      <c r="AE311" s="140">
        <f t="shared" si="94"/>
        <v>46.630590170241007</v>
      </c>
      <c r="AF311" s="141"/>
      <c r="AG311" s="141"/>
      <c r="AH311" s="141"/>
      <c r="AI311" s="141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8" t="str">
        <f>Settings!$B$3&amp;".mit.wp.frt.amc.np.2"</f>
        <v>egy.mit.wp.frt.amc.np.2</v>
      </c>
      <c r="K312" s="139"/>
      <c r="L312" s="140">
        <f t="shared" ref="L312:AE312" si="95">L$294*EXP(-L$276*L$238)</f>
        <v>0</v>
      </c>
      <c r="M312" s="140">
        <f t="shared" si="95"/>
        <v>0</v>
      </c>
      <c r="N312" s="140">
        <f t="shared" si="95"/>
        <v>0</v>
      </c>
      <c r="O312" s="140">
        <f t="shared" si="95"/>
        <v>0</v>
      </c>
      <c r="P312" s="140">
        <f t="shared" si="95"/>
        <v>0</v>
      </c>
      <c r="Q312" s="140">
        <f t="shared" si="95"/>
        <v>0</v>
      </c>
      <c r="R312" s="140">
        <f t="shared" si="95"/>
        <v>0</v>
      </c>
      <c r="S312" s="140">
        <f t="shared" si="95"/>
        <v>0</v>
      </c>
      <c r="T312" s="140">
        <f t="shared" si="95"/>
        <v>0</v>
      </c>
      <c r="U312" s="140">
        <f t="shared" si="95"/>
        <v>0</v>
      </c>
      <c r="V312" s="140">
        <f t="shared" si="95"/>
        <v>0</v>
      </c>
      <c r="W312" s="140">
        <f t="shared" si="95"/>
        <v>0</v>
      </c>
      <c r="X312" s="140">
        <f t="shared" si="95"/>
        <v>0</v>
      </c>
      <c r="Y312" s="140">
        <f t="shared" si="95"/>
        <v>0</v>
      </c>
      <c r="Z312" s="140">
        <f t="shared" si="95"/>
        <v>0</v>
      </c>
      <c r="AA312" s="140">
        <f t="shared" si="95"/>
        <v>0</v>
      </c>
      <c r="AB312" s="140">
        <f t="shared" si="95"/>
        <v>0</v>
      </c>
      <c r="AC312" s="140">
        <f t="shared" si="95"/>
        <v>0</v>
      </c>
      <c r="AD312" s="140">
        <f t="shared" si="95"/>
        <v>0</v>
      </c>
      <c r="AE312" s="140">
        <f t="shared" si="95"/>
        <v>0</v>
      </c>
      <c r="AF312" s="141"/>
      <c r="AG312" s="141"/>
      <c r="AH312" s="141"/>
      <c r="AI312" s="141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8" t="str">
        <f>Settings!$B$3&amp;".mit.wp.frt.ure.np.2"</f>
        <v>egy.mit.wp.frt.ure.np.2</v>
      </c>
      <c r="K313" s="139"/>
      <c r="L313" s="140">
        <f t="shared" ref="L313:AE313" si="96">L$295*EXP(-L$277*L$239)</f>
        <v>0</v>
      </c>
      <c r="M313" s="140">
        <f t="shared" si="96"/>
        <v>0</v>
      </c>
      <c r="N313" s="140">
        <f t="shared" si="96"/>
        <v>0</v>
      </c>
      <c r="O313" s="140">
        <f t="shared" si="96"/>
        <v>0</v>
      </c>
      <c r="P313" s="140">
        <f t="shared" si="96"/>
        <v>0</v>
      </c>
      <c r="Q313" s="140">
        <f t="shared" si="96"/>
        <v>0</v>
      </c>
      <c r="R313" s="140">
        <f t="shared" si="96"/>
        <v>0</v>
      </c>
      <c r="S313" s="140">
        <f t="shared" si="96"/>
        <v>0</v>
      </c>
      <c r="T313" s="140">
        <f t="shared" si="96"/>
        <v>0</v>
      </c>
      <c r="U313" s="140">
        <f t="shared" si="96"/>
        <v>0</v>
      </c>
      <c r="V313" s="140">
        <f t="shared" si="96"/>
        <v>0</v>
      </c>
      <c r="W313" s="140">
        <f t="shared" si="96"/>
        <v>0</v>
      </c>
      <c r="X313" s="140">
        <f t="shared" si="96"/>
        <v>0</v>
      </c>
      <c r="Y313" s="140">
        <f t="shared" si="96"/>
        <v>0</v>
      </c>
      <c r="Z313" s="140">
        <f t="shared" si="96"/>
        <v>0</v>
      </c>
      <c r="AA313" s="140">
        <f t="shared" si="96"/>
        <v>0</v>
      </c>
      <c r="AB313" s="140">
        <f t="shared" si="96"/>
        <v>0</v>
      </c>
      <c r="AC313" s="140">
        <f t="shared" si="96"/>
        <v>0</v>
      </c>
      <c r="AD313" s="140">
        <f t="shared" si="96"/>
        <v>0</v>
      </c>
      <c r="AE313" s="140">
        <f t="shared" si="96"/>
        <v>0</v>
      </c>
      <c r="AF313" s="141"/>
      <c r="AG313" s="141"/>
      <c r="AH313" s="141"/>
      <c r="AI313" s="141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8" t="str">
        <f>Settings!$B$3&amp;".mit.wp.frt.nit.np.2"</f>
        <v>egy.mit.wp.frt.nit.np.2</v>
      </c>
      <c r="K314" s="139"/>
      <c r="L314" s="140">
        <f t="shared" ref="L314:AE314" si="97">L$296*EXP(-L$278*L$240)</f>
        <v>0</v>
      </c>
      <c r="M314" s="140">
        <f t="shared" si="97"/>
        <v>0</v>
      </c>
      <c r="N314" s="140">
        <f t="shared" si="97"/>
        <v>0</v>
      </c>
      <c r="O314" s="140">
        <f t="shared" si="97"/>
        <v>0</v>
      </c>
      <c r="P314" s="140">
        <f t="shared" si="97"/>
        <v>0</v>
      </c>
      <c r="Q314" s="140">
        <f t="shared" si="97"/>
        <v>0</v>
      </c>
      <c r="R314" s="140">
        <f t="shared" si="97"/>
        <v>0</v>
      </c>
      <c r="S314" s="140">
        <f t="shared" si="97"/>
        <v>0</v>
      </c>
      <c r="T314" s="140">
        <f t="shared" si="97"/>
        <v>0</v>
      </c>
      <c r="U314" s="140">
        <f t="shared" si="97"/>
        <v>0</v>
      </c>
      <c r="V314" s="140">
        <f t="shared" si="97"/>
        <v>0</v>
      </c>
      <c r="W314" s="140">
        <f t="shared" si="97"/>
        <v>0</v>
      </c>
      <c r="X314" s="140">
        <f t="shared" si="97"/>
        <v>0</v>
      </c>
      <c r="Y314" s="140">
        <f t="shared" si="97"/>
        <v>0</v>
      </c>
      <c r="Z314" s="140">
        <f t="shared" si="97"/>
        <v>0</v>
      </c>
      <c r="AA314" s="140">
        <f t="shared" si="97"/>
        <v>0</v>
      </c>
      <c r="AB314" s="140">
        <f t="shared" si="97"/>
        <v>0</v>
      </c>
      <c r="AC314" s="140">
        <f t="shared" si="97"/>
        <v>0</v>
      </c>
      <c r="AD314" s="140">
        <f t="shared" si="97"/>
        <v>0</v>
      </c>
      <c r="AE314" s="140">
        <f t="shared" si="97"/>
        <v>0</v>
      </c>
      <c r="AF314" s="141"/>
      <c r="AG314" s="141"/>
      <c r="AH314" s="141"/>
      <c r="AI314" s="141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8" t="str">
        <f>Settings!$B$3&amp;".mit.wp.alu.prp.np.2"</f>
        <v>egy.mit.wp.alu.prp.np.2</v>
      </c>
      <c r="K315" s="139"/>
      <c r="L315" s="140">
        <f t="shared" ref="L315:AE315" si="98">L$297*EXP(-L$279*L$241)</f>
        <v>0.43758937310482698</v>
      </c>
      <c r="M315" s="140">
        <f t="shared" si="98"/>
        <v>0.4616567886255924</v>
      </c>
      <c r="N315" s="140">
        <f t="shared" si="98"/>
        <v>0.48704791199999997</v>
      </c>
      <c r="O315" s="140">
        <f t="shared" si="98"/>
        <v>0.51383554716000002</v>
      </c>
      <c r="P315" s="140">
        <f t="shared" si="98"/>
        <v>0.54209650225379991</v>
      </c>
      <c r="Q315" s="140">
        <f t="shared" si="98"/>
        <v>0.5719118098777588</v>
      </c>
      <c r="R315" s="140">
        <f t="shared" si="98"/>
        <v>0.6033669594210358</v>
      </c>
      <c r="S315" s="140">
        <f t="shared" si="98"/>
        <v>0.63655214218919254</v>
      </c>
      <c r="T315" s="140">
        <f t="shared" si="98"/>
        <v>0.6715625100095981</v>
      </c>
      <c r="U315" s="140">
        <f t="shared" si="98"/>
        <v>0.70849844806012596</v>
      </c>
      <c r="V315" s="140">
        <f t="shared" si="98"/>
        <v>0.74746586270343296</v>
      </c>
      <c r="W315" s="140">
        <f t="shared" si="98"/>
        <v>0.78857648515212175</v>
      </c>
      <c r="X315" s="140">
        <f t="shared" si="98"/>
        <v>0.83194819183548852</v>
      </c>
      <c r="Y315" s="140">
        <f t="shared" si="98"/>
        <v>0.87770534238644027</v>
      </c>
      <c r="Z315" s="140">
        <f t="shared" si="98"/>
        <v>0.92597913621769457</v>
      </c>
      <c r="AA315" s="140">
        <f t="shared" si="98"/>
        <v>0.97690798870966755</v>
      </c>
      <c r="AB315" s="140">
        <f t="shared" si="98"/>
        <v>1.0306379280886993</v>
      </c>
      <c r="AC315" s="140">
        <f t="shared" si="98"/>
        <v>1.0873230141335775</v>
      </c>
      <c r="AD315" s="140">
        <f t="shared" si="98"/>
        <v>1.1471257799109245</v>
      </c>
      <c r="AE315" s="140">
        <f t="shared" si="98"/>
        <v>1.2102176978060251</v>
      </c>
      <c r="AF315" s="141"/>
      <c r="AG315" s="141"/>
      <c r="AH315" s="141"/>
      <c r="AI315" s="141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8" t="str">
        <f>Settings!$B$3&amp;".mit.wp.stl.drg.no.2"</f>
        <v>egy.mit.wp.stl.drg.no.2</v>
      </c>
      <c r="K316" s="139"/>
      <c r="L316" s="140">
        <f t="shared" ref="L316:AE316" si="99">L$298*EXP(-L$280*L$242)</f>
        <v>0</v>
      </c>
      <c r="M316" s="140">
        <f t="shared" si="99"/>
        <v>0</v>
      </c>
      <c r="N316" s="140">
        <f t="shared" si="99"/>
        <v>0</v>
      </c>
      <c r="O316" s="140">
        <f t="shared" si="99"/>
        <v>0</v>
      </c>
      <c r="P316" s="140">
        <f t="shared" si="99"/>
        <v>0</v>
      </c>
      <c r="Q316" s="140">
        <f t="shared" si="99"/>
        <v>0</v>
      </c>
      <c r="R316" s="140">
        <f t="shared" si="99"/>
        <v>0</v>
      </c>
      <c r="S316" s="140">
        <f t="shared" si="99"/>
        <v>0</v>
      </c>
      <c r="T316" s="140">
        <f t="shared" si="99"/>
        <v>0</v>
      </c>
      <c r="U316" s="140">
        <f t="shared" si="99"/>
        <v>0</v>
      </c>
      <c r="V316" s="140">
        <f t="shared" si="99"/>
        <v>0</v>
      </c>
      <c r="W316" s="140">
        <f t="shared" si="99"/>
        <v>0</v>
      </c>
      <c r="X316" s="140">
        <f t="shared" si="99"/>
        <v>0</v>
      </c>
      <c r="Y316" s="140">
        <f t="shared" si="99"/>
        <v>0</v>
      </c>
      <c r="Z316" s="140">
        <f t="shared" si="99"/>
        <v>0</v>
      </c>
      <c r="AA316" s="140">
        <f t="shared" si="99"/>
        <v>0</v>
      </c>
      <c r="AB316" s="140">
        <f t="shared" si="99"/>
        <v>0</v>
      </c>
      <c r="AC316" s="140">
        <f t="shared" si="99"/>
        <v>0</v>
      </c>
      <c r="AD316" s="140">
        <f t="shared" si="99"/>
        <v>0</v>
      </c>
      <c r="AE316" s="140">
        <f t="shared" si="99"/>
        <v>0</v>
      </c>
      <c r="AF316" s="141"/>
      <c r="AG316" s="141"/>
      <c r="AH316" s="141"/>
      <c r="AI316" s="141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8" t="str">
        <f>Settings!$B$3&amp;".mit.wp.stl.scr.no.2"</f>
        <v>egy.mit.wp.stl.scr.no.2</v>
      </c>
      <c r="K317" s="139"/>
      <c r="L317" s="140">
        <f t="shared" ref="L317:AE317" si="100">L$299*EXP(-L$281*L$243)</f>
        <v>0</v>
      </c>
      <c r="M317" s="140">
        <f t="shared" si="100"/>
        <v>0</v>
      </c>
      <c r="N317" s="140">
        <f t="shared" si="100"/>
        <v>0</v>
      </c>
      <c r="O317" s="140">
        <f t="shared" si="100"/>
        <v>0</v>
      </c>
      <c r="P317" s="140">
        <f t="shared" si="100"/>
        <v>0</v>
      </c>
      <c r="Q317" s="140">
        <f t="shared" si="100"/>
        <v>0</v>
      </c>
      <c r="R317" s="140">
        <f t="shared" si="100"/>
        <v>0</v>
      </c>
      <c r="S317" s="140">
        <f t="shared" si="100"/>
        <v>0</v>
      </c>
      <c r="T317" s="140">
        <f t="shared" si="100"/>
        <v>0</v>
      </c>
      <c r="U317" s="140">
        <f t="shared" si="100"/>
        <v>0</v>
      </c>
      <c r="V317" s="140">
        <f t="shared" si="100"/>
        <v>0</v>
      </c>
      <c r="W317" s="140">
        <f t="shared" si="100"/>
        <v>0</v>
      </c>
      <c r="X317" s="140">
        <f t="shared" si="100"/>
        <v>0</v>
      </c>
      <c r="Y317" s="140">
        <f t="shared" si="100"/>
        <v>0</v>
      </c>
      <c r="Z317" s="140">
        <f t="shared" si="100"/>
        <v>0</v>
      </c>
      <c r="AA317" s="140">
        <f t="shared" si="100"/>
        <v>0</v>
      </c>
      <c r="AB317" s="140">
        <f t="shared" si="100"/>
        <v>0</v>
      </c>
      <c r="AC317" s="140">
        <f t="shared" si="100"/>
        <v>0</v>
      </c>
      <c r="AD317" s="140">
        <f t="shared" si="100"/>
        <v>0</v>
      </c>
      <c r="AE317" s="140">
        <f t="shared" si="100"/>
        <v>0</v>
      </c>
      <c r="AF317" s="141"/>
      <c r="AG317" s="141"/>
      <c r="AH317" s="141"/>
      <c r="AI317" s="141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8" t="str">
        <f>Settings!$B$3&amp;".mit.wp.stl.bof.no.2"</f>
        <v>egy.mit.wp.stl.bof.no.2</v>
      </c>
      <c r="K318" s="139"/>
      <c r="L318" s="140">
        <f t="shared" ref="L318:AE318" si="101">L$300*EXP(-L$282*L$244)</f>
        <v>0</v>
      </c>
      <c r="M318" s="140">
        <f t="shared" si="101"/>
        <v>0</v>
      </c>
      <c r="N318" s="140">
        <f t="shared" si="101"/>
        <v>0</v>
      </c>
      <c r="O318" s="140">
        <f t="shared" si="101"/>
        <v>0</v>
      </c>
      <c r="P318" s="140">
        <f t="shared" si="101"/>
        <v>0</v>
      </c>
      <c r="Q318" s="140">
        <f t="shared" si="101"/>
        <v>0</v>
      </c>
      <c r="R318" s="140">
        <f t="shared" si="101"/>
        <v>0</v>
      </c>
      <c r="S318" s="140">
        <f t="shared" si="101"/>
        <v>0</v>
      </c>
      <c r="T318" s="140">
        <f t="shared" si="101"/>
        <v>0</v>
      </c>
      <c r="U318" s="140">
        <f t="shared" si="101"/>
        <v>0</v>
      </c>
      <c r="V318" s="140">
        <f t="shared" si="101"/>
        <v>0</v>
      </c>
      <c r="W318" s="140">
        <f t="shared" si="101"/>
        <v>0</v>
      </c>
      <c r="X318" s="140">
        <f t="shared" si="101"/>
        <v>0</v>
      </c>
      <c r="Y318" s="140">
        <f t="shared" si="101"/>
        <v>0</v>
      </c>
      <c r="Z318" s="140">
        <f t="shared" si="101"/>
        <v>0</v>
      </c>
      <c r="AA318" s="140">
        <f t="shared" si="101"/>
        <v>0</v>
      </c>
      <c r="AB318" s="140">
        <f t="shared" si="101"/>
        <v>0</v>
      </c>
      <c r="AC318" s="140">
        <f t="shared" si="101"/>
        <v>0</v>
      </c>
      <c r="AD318" s="140">
        <f t="shared" si="101"/>
        <v>0</v>
      </c>
      <c r="AE318" s="140">
        <f t="shared" si="101"/>
        <v>0</v>
      </c>
      <c r="AF318" s="141"/>
      <c r="AG318" s="141"/>
      <c r="AH318" s="141"/>
      <c r="AI318" s="141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8" t="str">
        <f>Settings!$B$3&amp;".mit.wp.cmt.dry.no.2"</f>
        <v>egy.mit.wp.cmt.dry.no.2</v>
      </c>
      <c r="K319" s="139"/>
      <c r="L319" s="140">
        <f t="shared" ref="L319:AE319" si="102">L$301*EXP(-L$283*L$245)</f>
        <v>0</v>
      </c>
      <c r="M319" s="140">
        <f t="shared" si="102"/>
        <v>0</v>
      </c>
      <c r="N319" s="140">
        <f t="shared" si="102"/>
        <v>0</v>
      </c>
      <c r="O319" s="140">
        <f t="shared" si="102"/>
        <v>0</v>
      </c>
      <c r="P319" s="140">
        <f t="shared" si="102"/>
        <v>0</v>
      </c>
      <c r="Q319" s="140">
        <f t="shared" si="102"/>
        <v>0</v>
      </c>
      <c r="R319" s="140">
        <f t="shared" si="102"/>
        <v>0</v>
      </c>
      <c r="S319" s="140">
        <f t="shared" si="102"/>
        <v>0</v>
      </c>
      <c r="T319" s="140">
        <f t="shared" si="102"/>
        <v>0</v>
      </c>
      <c r="U319" s="140">
        <f t="shared" si="102"/>
        <v>0</v>
      </c>
      <c r="V319" s="140">
        <f t="shared" si="102"/>
        <v>0</v>
      </c>
      <c r="W319" s="140">
        <f t="shared" si="102"/>
        <v>0</v>
      </c>
      <c r="X319" s="140">
        <f t="shared" si="102"/>
        <v>0</v>
      </c>
      <c r="Y319" s="140">
        <f t="shared" si="102"/>
        <v>0</v>
      </c>
      <c r="Z319" s="140">
        <f t="shared" si="102"/>
        <v>0</v>
      </c>
      <c r="AA319" s="140">
        <f t="shared" si="102"/>
        <v>0</v>
      </c>
      <c r="AB319" s="140">
        <f t="shared" si="102"/>
        <v>0</v>
      </c>
      <c r="AC319" s="140">
        <f t="shared" si="102"/>
        <v>0</v>
      </c>
      <c r="AD319" s="140">
        <f t="shared" si="102"/>
        <v>0</v>
      </c>
      <c r="AE319" s="140">
        <f t="shared" si="102"/>
        <v>0</v>
      </c>
      <c r="AF319" s="141"/>
      <c r="AG319" s="141"/>
      <c r="AH319" s="141"/>
      <c r="AI319" s="141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8" t="str">
        <f>Settings!$B$3&amp;".mit.wp.frt.amc.no.2"</f>
        <v>egy.mit.wp.frt.amc.no.2</v>
      </c>
      <c r="K320" s="139"/>
      <c r="L320" s="140">
        <f t="shared" ref="L320:AE320" si="103">L$302*EXP(-L$284*L$246)</f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0">
        <f t="shared" si="103"/>
        <v>0</v>
      </c>
      <c r="R320" s="140">
        <f t="shared" si="103"/>
        <v>0</v>
      </c>
      <c r="S320" s="140">
        <f t="shared" si="103"/>
        <v>0</v>
      </c>
      <c r="T320" s="140">
        <f t="shared" si="103"/>
        <v>0</v>
      </c>
      <c r="U320" s="140">
        <f t="shared" si="103"/>
        <v>0</v>
      </c>
      <c r="V320" s="140">
        <f t="shared" si="103"/>
        <v>0</v>
      </c>
      <c r="W320" s="140">
        <f t="shared" si="103"/>
        <v>0</v>
      </c>
      <c r="X320" s="140">
        <f t="shared" si="103"/>
        <v>0</v>
      </c>
      <c r="Y320" s="140">
        <f t="shared" si="103"/>
        <v>0</v>
      </c>
      <c r="Z320" s="140">
        <f t="shared" si="103"/>
        <v>0</v>
      </c>
      <c r="AA320" s="140">
        <f t="shared" si="103"/>
        <v>0</v>
      </c>
      <c r="AB320" s="140">
        <f t="shared" si="103"/>
        <v>0</v>
      </c>
      <c r="AC320" s="140">
        <f t="shared" si="103"/>
        <v>0</v>
      </c>
      <c r="AD320" s="140">
        <f t="shared" si="103"/>
        <v>0</v>
      </c>
      <c r="AE320" s="140">
        <f t="shared" si="103"/>
        <v>0</v>
      </c>
      <c r="AF320" s="141"/>
      <c r="AG320" s="141"/>
      <c r="AH320" s="141"/>
      <c r="AI320" s="141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8" t="str">
        <f>Settings!$B$3&amp;".mit.wp.frt.ure.no.2"</f>
        <v>egy.mit.wp.frt.ure.no.2</v>
      </c>
      <c r="K321" s="139"/>
      <c r="L321" s="140">
        <f t="shared" ref="L321:AE321" si="104">L$303*EXP(-L$285*L$247)</f>
        <v>0</v>
      </c>
      <c r="M321" s="140">
        <f t="shared" si="104"/>
        <v>0</v>
      </c>
      <c r="N321" s="140">
        <f t="shared" si="104"/>
        <v>0</v>
      </c>
      <c r="O321" s="140">
        <f t="shared" si="104"/>
        <v>0</v>
      </c>
      <c r="P321" s="140">
        <f t="shared" si="104"/>
        <v>0</v>
      </c>
      <c r="Q321" s="140">
        <f t="shared" si="104"/>
        <v>0</v>
      </c>
      <c r="R321" s="140">
        <f t="shared" si="104"/>
        <v>0</v>
      </c>
      <c r="S321" s="140">
        <f t="shared" si="104"/>
        <v>0</v>
      </c>
      <c r="T321" s="140">
        <f t="shared" si="104"/>
        <v>0</v>
      </c>
      <c r="U321" s="140">
        <f t="shared" si="104"/>
        <v>0</v>
      </c>
      <c r="V321" s="140">
        <f t="shared" si="104"/>
        <v>0</v>
      </c>
      <c r="W321" s="140">
        <f t="shared" si="104"/>
        <v>0</v>
      </c>
      <c r="X321" s="140">
        <f t="shared" si="104"/>
        <v>0</v>
      </c>
      <c r="Y321" s="140">
        <f t="shared" si="104"/>
        <v>0</v>
      </c>
      <c r="Z321" s="140">
        <f t="shared" si="104"/>
        <v>0</v>
      </c>
      <c r="AA321" s="140">
        <f t="shared" si="104"/>
        <v>0</v>
      </c>
      <c r="AB321" s="140">
        <f t="shared" si="104"/>
        <v>0</v>
      </c>
      <c r="AC321" s="140">
        <f t="shared" si="104"/>
        <v>0</v>
      </c>
      <c r="AD321" s="140">
        <f t="shared" si="104"/>
        <v>0</v>
      </c>
      <c r="AE321" s="140">
        <f t="shared" si="104"/>
        <v>0</v>
      </c>
      <c r="AF321" s="141"/>
      <c r="AG321" s="141"/>
      <c r="AH321" s="141"/>
      <c r="AI321" s="141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8" t="str">
        <f>Settings!$B$3&amp;".mit.wp.frt.nit.no.2"</f>
        <v>egy.mit.wp.frt.nit.no.2</v>
      </c>
      <c r="K322" s="139"/>
      <c r="L322" s="140">
        <f t="shared" ref="L322:AE322" si="105">L$304*EXP(-L$286*L$248)</f>
        <v>0.57123661061347031</v>
      </c>
      <c r="M322" s="140">
        <f t="shared" si="105"/>
        <v>0.58380381604696674</v>
      </c>
      <c r="N322" s="140">
        <f t="shared" si="105"/>
        <v>0.5966475</v>
      </c>
      <c r="O322" s="140">
        <f t="shared" si="105"/>
        <v>0.60977374500000003</v>
      </c>
      <c r="P322" s="140">
        <f t="shared" si="105"/>
        <v>0.62318876738999995</v>
      </c>
      <c r="Q322" s="140">
        <f t="shared" si="105"/>
        <v>0.6368989202725801</v>
      </c>
      <c r="R322" s="140">
        <f t="shared" si="105"/>
        <v>0.65091069651857669</v>
      </c>
      <c r="S322" s="140">
        <f t="shared" si="105"/>
        <v>0.66523073184198556</v>
      </c>
      <c r="T322" s="140">
        <f t="shared" si="105"/>
        <v>0.67986580794250906</v>
      </c>
      <c r="U322" s="140">
        <f t="shared" si="105"/>
        <v>0.69482285571724434</v>
      </c>
      <c r="V322" s="140">
        <f t="shared" si="105"/>
        <v>0.7101089585430238</v>
      </c>
      <c r="W322" s="140">
        <f t="shared" si="105"/>
        <v>0.72573135563097024</v>
      </c>
      <c r="X322" s="140">
        <f t="shared" si="105"/>
        <v>0.74169744545485172</v>
      </c>
      <c r="Y322" s="140">
        <f t="shared" si="105"/>
        <v>0.75801478925485843</v>
      </c>
      <c r="Z322" s="140">
        <f t="shared" si="105"/>
        <v>0.7746911146184654</v>
      </c>
      <c r="AA322" s="140">
        <f t="shared" si="105"/>
        <v>0.79173431914007153</v>
      </c>
      <c r="AB322" s="140">
        <f t="shared" si="105"/>
        <v>0.8091524741611531</v>
      </c>
      <c r="AC322" s="140">
        <f t="shared" si="105"/>
        <v>0.8269538285926985</v>
      </c>
      <c r="AD322" s="140">
        <f t="shared" si="105"/>
        <v>0.84514681282173787</v>
      </c>
      <c r="AE322" s="140">
        <f t="shared" si="105"/>
        <v>0.8637400427038161</v>
      </c>
      <c r="AF322" s="141"/>
      <c r="AG322" s="141"/>
      <c r="AH322" s="141"/>
      <c r="AI322" s="141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8" t="str">
        <f>Settings!$B$3&amp;".mit.wp.alu.prp.no.2"</f>
        <v>egy.mit.wp.alu.prp.no.2</v>
      </c>
      <c r="K323" s="139"/>
      <c r="L323" s="140">
        <f t="shared" ref="L323:AE323" si="106">L$305*EXP(-L$287*L$249)</f>
        <v>0.20862065092877519</v>
      </c>
      <c r="M323" s="140">
        <f t="shared" si="106"/>
        <v>0.22009478672985783</v>
      </c>
      <c r="N323" s="140">
        <f t="shared" si="106"/>
        <v>0.23220000000000002</v>
      </c>
      <c r="O323" s="140">
        <f t="shared" si="106"/>
        <v>0.24497099999999999</v>
      </c>
      <c r="P323" s="140">
        <f t="shared" si="106"/>
        <v>0.25844440499999999</v>
      </c>
      <c r="Q323" s="140">
        <f t="shared" si="106"/>
        <v>0.27265884727499995</v>
      </c>
      <c r="R323" s="140">
        <f t="shared" si="106"/>
        <v>0.28765508387512501</v>
      </c>
      <c r="S323" s="140">
        <f t="shared" si="106"/>
        <v>0.30347611348825682</v>
      </c>
      <c r="T323" s="140">
        <f t="shared" si="106"/>
        <v>0.32016729973011093</v>
      </c>
      <c r="U323" s="140">
        <f t="shared" si="106"/>
        <v>0.33777650121526698</v>
      </c>
      <c r="V323" s="140">
        <f t="shared" si="106"/>
        <v>0.35635420878210672</v>
      </c>
      <c r="W323" s="140">
        <f t="shared" si="106"/>
        <v>0.37595369026512254</v>
      </c>
      <c r="X323" s="140">
        <f t="shared" si="106"/>
        <v>0.39663114322970433</v>
      </c>
      <c r="Y323" s="140">
        <f t="shared" si="106"/>
        <v>0.41844585610733798</v>
      </c>
      <c r="Z323" s="140">
        <f t="shared" si="106"/>
        <v>0.44146037819324158</v>
      </c>
      <c r="AA323" s="140">
        <f t="shared" si="106"/>
        <v>0.46574069899386977</v>
      </c>
      <c r="AB323" s="140">
        <f t="shared" si="106"/>
        <v>0.49135643743853269</v>
      </c>
      <c r="AC323" s="140">
        <f t="shared" si="106"/>
        <v>0.51838104149765185</v>
      </c>
      <c r="AD323" s="140">
        <f t="shared" si="106"/>
        <v>0.5468919987800227</v>
      </c>
      <c r="AE323" s="140">
        <f t="shared" si="106"/>
        <v>0.57697105871292398</v>
      </c>
      <c r="AF323" s="141"/>
      <c r="AG323" s="141"/>
      <c r="AH323" s="141"/>
      <c r="AI323" s="141"/>
    </row>
    <row r="324" spans="1:35" x14ac:dyDescent="0.35"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7">
        <v>2021</v>
      </c>
      <c r="L325" s="138">
        <v>2022</v>
      </c>
      <c r="M325" s="137">
        <v>2023</v>
      </c>
      <c r="N325" s="137">
        <v>2024</v>
      </c>
      <c r="O325" s="137">
        <v>2025</v>
      </c>
      <c r="P325" s="137">
        <v>2026</v>
      </c>
      <c r="Q325" s="137">
        <v>2027</v>
      </c>
      <c r="R325" s="137">
        <v>2028</v>
      </c>
      <c r="S325" s="137">
        <v>2029</v>
      </c>
      <c r="T325" s="137">
        <v>2030</v>
      </c>
      <c r="U325" s="137">
        <v>2031</v>
      </c>
      <c r="V325" s="137">
        <v>2032</v>
      </c>
      <c r="W325" s="137">
        <v>2033</v>
      </c>
      <c r="X325" s="137">
        <v>2034</v>
      </c>
      <c r="Y325" s="137">
        <v>2035</v>
      </c>
      <c r="Z325" s="137">
        <v>2036</v>
      </c>
      <c r="AA325" s="137">
        <v>2037</v>
      </c>
      <c r="AB325" s="137">
        <v>2038</v>
      </c>
      <c r="AC325" s="137">
        <v>2039</v>
      </c>
      <c r="AD325" s="137">
        <v>2040</v>
      </c>
      <c r="AE325" s="137">
        <v>2041</v>
      </c>
      <c r="AF325" s="137">
        <v>2042</v>
      </c>
      <c r="AG325" s="137">
        <v>2043</v>
      </c>
      <c r="AH325" s="137">
        <v>2044</v>
      </c>
      <c r="AI325" s="137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8" t="str">
        <f>Settings!$B$3&amp;".mit.revf0.cbam.tot.2"</f>
        <v>egy.mit.revf0.cbam.tot.2</v>
      </c>
      <c r="I326" t="s">
        <v>2677</v>
      </c>
      <c r="K326" s="139"/>
      <c r="L326" s="143">
        <f>SUMPRODUCT(L$252:L$259*Mitigation_Industry!$I$729:$I$736*L$224:L$231)</f>
        <v>0</v>
      </c>
      <c r="M326" s="143">
        <f>SUMPRODUCT(M$252:M$259*Mitigation_Industry!$I$729:$I$736*M$224:M$231)</f>
        <v>0</v>
      </c>
      <c r="N326" s="143">
        <f>SUMPRODUCT(N$252:N$259*Mitigation_Industry!$I$729:$I$736*N$224:N$231)</f>
        <v>0</v>
      </c>
      <c r="O326" s="143">
        <f>SUMPRODUCT(O$252:O$259*Mitigation_Industry!$I$729:$I$736*O$224:O$231)</f>
        <v>0</v>
      </c>
      <c r="P326" s="143">
        <f>SUMPRODUCT(P$252:P$259*Mitigation_Industry!$I$729:$I$736*P$224:P$231)</f>
        <v>0</v>
      </c>
      <c r="Q326" s="143">
        <f>SUMPRODUCT(Q$252:Q$259*Mitigation_Industry!$I$729:$I$736*Q$224:Q$231)</f>
        <v>313.18092912945133</v>
      </c>
      <c r="R326" s="143">
        <f>SUMPRODUCT(R$252:R$259*Mitigation_Industry!$I$729:$I$736*R$224:R$231)</f>
        <v>646.88764494852489</v>
      </c>
      <c r="S326" s="143">
        <f>SUMPRODUCT(S$252:S$259*Mitigation_Industry!$I$729:$I$736*S$224:S$231)</f>
        <v>1002.1648959865571</v>
      </c>
      <c r="T326" s="143">
        <f>SUMPRODUCT(T$252:T$259*Mitigation_Industry!$I$729:$I$736*T$224:T$231)</f>
        <v>1380.1062236958546</v>
      </c>
      <c r="U326" s="143">
        <f>SUMPRODUCT(U$252:U$259*Mitigation_Industry!$I$729:$I$736*U$224:U$231)</f>
        <v>1781.8561629939895</v>
      </c>
      <c r="V326" s="143">
        <f>SUMPRODUCT(V$252:V$259*Mitigation_Industry!$I$729:$I$736*V$224:V$231)</f>
        <v>2208.6125408023772</v>
      </c>
      <c r="W326" s="143">
        <f>SUMPRODUCT(W$252:W$259*Mitigation_Industry!$I$729:$I$736*W$224:W$231)</f>
        <v>2661.6288769403232</v>
      </c>
      <c r="X326" s="143">
        <f>SUMPRODUCT(X$252:X$259*Mitigation_Industry!$I$729:$I$736*X$224:X$231)</f>
        <v>3142.2168919286596</v>
      </c>
      <c r="Y326" s="143">
        <f>SUMPRODUCT(Y$252:Y$259*Mitigation_Industry!$I$729:$I$736*Y$224:Y$231)</f>
        <v>3651.7491264608011</v>
      </c>
      <c r="Z326" s="143">
        <f>SUMPRODUCT(Z$252:Z$259*Mitigation_Industry!$I$729:$I$736*Z$224:Z$231)</f>
        <v>4191.6616775120128</v>
      </c>
      <c r="AA326" s="143">
        <f>SUMPRODUCT(AA$252:AA$259*Mitigation_Industry!$I$729:$I$736*AA$224:AA$231)</f>
        <v>4763.45705628019</v>
      </c>
      <c r="AB326" s="143">
        <f>SUMPRODUCT(AB$252:AB$259*Mitigation_Industry!$I$729:$I$736*AB$224:AB$231)</f>
        <v>5368.7071733840539</v>
      </c>
      <c r="AC326" s="143">
        <f>SUMPRODUCT(AC$252:AC$259*Mitigation_Industry!$I$729:$I$736*AC$224:AC$231)</f>
        <v>6009.0564569877843</v>
      </c>
      <c r="AD326" s="143">
        <f>SUMPRODUCT(AD$252:AD$259*Mitigation_Industry!$I$729:$I$736*AD$224:AD$231)</f>
        <v>6686.2251097751796</v>
      </c>
      <c r="AE326" s="143">
        <f>SUMPRODUCT(AE$252:AE$259*Mitigation_Industry!$I$729:$I$736*AE$224:AE$231)</f>
        <v>7402.012510962054</v>
      </c>
      <c r="AF326" s="141"/>
      <c r="AG326" s="141"/>
      <c r="AH326" s="141"/>
      <c r="AI326" s="141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8" t="str">
        <f>Settings!$B$3&amp;".mit.revp0.cbam.tot.2"</f>
        <v>egy.mit.revp0.cbam.tot.2</v>
      </c>
      <c r="I327" t="s">
        <v>2680</v>
      </c>
      <c r="K327" s="139"/>
      <c r="L327" s="143">
        <f>SUMPRODUCT(Mitigation_Industry!L$740:L$747*Mitigation_Industry!$J$729:$J$736*L$234:L$241)-SUMPRODUCT((L$290:L$305-L$308:L$323)*L$234:L$249)</f>
        <v>0</v>
      </c>
      <c r="M327" s="143">
        <f>SUMPRODUCT(Mitigation_Industry!M$740:M$747*Mitigation_Industry!$J$729:$J$736*M$234:M$241)-SUMPRODUCT((M$290:M$305-M$308:M$323)*M$234:M$249)</f>
        <v>0</v>
      </c>
      <c r="N327" s="143">
        <f>SUMPRODUCT(Mitigation_Industry!N$740:N$747*Mitigation_Industry!$J$729:$J$736*N$234:N$241)-SUMPRODUCT((N$290:N$305-N$308:N$323)*N$234:N$249)</f>
        <v>0</v>
      </c>
      <c r="O327" s="143">
        <f>SUMPRODUCT(Mitigation_Industry!O$740:O$747*Mitigation_Industry!$J$729:$J$736*O$234:O$241)-SUMPRODUCT((O$290:O$305-O$308:O$323)*O$234:O$249)</f>
        <v>0</v>
      </c>
      <c r="P327" s="143">
        <f>SUMPRODUCT(Mitigation_Industry!P$740:P$747*Mitigation_Industry!$J$729:$J$736*P$234:P$241)-SUMPRODUCT((P$290:P$305-P$308:P$323)*P$234:P$249)</f>
        <v>0</v>
      </c>
      <c r="Q327" s="143">
        <f>SUMPRODUCT(Mitigation_Industry!Q$740:Q$747*Mitigation_Industry!$J$729:$J$736*Q$234:Q$241)-SUMPRODUCT((Q$290:Q$305-Q$308:Q$323)*Q$234:Q$249)</f>
        <v>0</v>
      </c>
      <c r="R327" s="143">
        <f>SUMPRODUCT(Mitigation_Industry!R$740:R$747*Mitigation_Industry!$J$729:$J$736*R$234:R$241)-SUMPRODUCT((R$290:R$305-R$308:R$323)*R$234:R$249)</f>
        <v>0</v>
      </c>
      <c r="S327" s="143">
        <f>SUMPRODUCT(Mitigation_Industry!S$740:S$747*Mitigation_Industry!$J$729:$J$736*S$234:S$241)-SUMPRODUCT((S$290:S$305-S$308:S$323)*S$234:S$249)</f>
        <v>0</v>
      </c>
      <c r="T327" s="143">
        <f>SUMPRODUCT(Mitigation_Industry!T$740:T$747*Mitigation_Industry!$J$729:$J$736*T$234:T$241)-SUMPRODUCT((T$290:T$305-T$308:T$323)*T$234:T$249)</f>
        <v>0</v>
      </c>
      <c r="U327" s="143">
        <f>SUMPRODUCT(Mitigation_Industry!U$740:U$747*Mitigation_Industry!$J$729:$J$736*U$234:U$241)-SUMPRODUCT((U$290:U$305-U$308:U$323)*U$234:U$249)</f>
        <v>0</v>
      </c>
      <c r="V327" s="143">
        <f>SUMPRODUCT(Mitigation_Industry!V$740:V$747*Mitigation_Industry!$J$729:$J$736*V$234:V$241)-SUMPRODUCT((V$290:V$305-V$308:V$323)*V$234:V$249)</f>
        <v>0</v>
      </c>
      <c r="W327" s="143">
        <f>SUMPRODUCT(Mitigation_Industry!W$740:W$747*Mitigation_Industry!$J$729:$J$736*W$234:W$241)-SUMPRODUCT((W$290:W$305-W$308:W$323)*W$234:W$249)</f>
        <v>0</v>
      </c>
      <c r="X327" s="143">
        <f>SUMPRODUCT(Mitigation_Industry!X$740:X$747*Mitigation_Industry!$J$729:$J$736*X$234:X$241)-SUMPRODUCT((X$290:X$305-X$308:X$323)*X$234:X$249)</f>
        <v>0</v>
      </c>
      <c r="Y327" s="143">
        <f>SUMPRODUCT(Mitigation_Industry!Y$740:Y$747*Mitigation_Industry!$J$729:$J$736*Y$234:Y$241)-SUMPRODUCT((Y$290:Y$305-Y$308:Y$323)*Y$234:Y$249)</f>
        <v>0</v>
      </c>
      <c r="Z327" s="143">
        <f>SUMPRODUCT(Mitigation_Industry!Z$740:Z$747*Mitigation_Industry!$J$729:$J$736*Z$234:Z$241)-SUMPRODUCT((Z$290:Z$305-Z$308:Z$323)*Z$234:Z$249)</f>
        <v>0</v>
      </c>
      <c r="AA327" s="143">
        <f>SUMPRODUCT(Mitigation_Industry!AA$740:AA$747*Mitigation_Industry!$J$729:$J$736*AA$234:AA$241)-SUMPRODUCT((AA$290:AA$305-AA$308:AA$323)*AA$234:AA$249)</f>
        <v>0</v>
      </c>
      <c r="AB327" s="143">
        <f>SUMPRODUCT(Mitigation_Industry!AB$740:AB$747*Mitigation_Industry!$J$729:$J$736*AB$234:AB$241)-SUMPRODUCT((AB$290:AB$305-AB$308:AB$323)*AB$234:AB$249)</f>
        <v>0</v>
      </c>
      <c r="AC327" s="143">
        <f>SUMPRODUCT(Mitigation_Industry!AC$740:AC$747*Mitigation_Industry!$J$729:$J$736*AC$234:AC$241)-SUMPRODUCT((AC$290:AC$305-AC$308:AC$323)*AC$234:AC$249)</f>
        <v>0</v>
      </c>
      <c r="AD327" s="143">
        <f>SUMPRODUCT(Mitigation_Industry!AD$740:AD$747*Mitigation_Industry!$J$729:$J$736*AD$234:AD$241)-SUMPRODUCT((AD$290:AD$305-AD$308:AD$323)*AD$234:AD$249)</f>
        <v>0</v>
      </c>
      <c r="AE327" s="143">
        <f>SUMPRODUCT(Mitigation_Industry!AE$740:AE$747*Mitigation_Industry!$J$729:$J$736*AE$234:AE$241)-SUMPRODUCT((AE$290:AE$305-AE$308:AE$323)*AE$234:AE$249)</f>
        <v>0</v>
      </c>
      <c r="AF327" s="141"/>
      <c r="AG327" s="141"/>
      <c r="AH327" s="141"/>
      <c r="AI327" s="141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8" t="str">
        <f>Settings!$B$3&amp;".mit.rev0.cbam.tot.2"</f>
        <v>egy.mit.rev0.cbam.tot.2</v>
      </c>
      <c r="I328" t="s">
        <v>2683</v>
      </c>
      <c r="K328" s="139"/>
      <c r="L328" s="143">
        <f t="shared" ref="L328:AE328" si="107">L326+L327</f>
        <v>0</v>
      </c>
      <c r="M328" s="143">
        <f t="shared" si="107"/>
        <v>0</v>
      </c>
      <c r="N328" s="143">
        <f t="shared" si="107"/>
        <v>0</v>
      </c>
      <c r="O328" s="143">
        <f t="shared" si="107"/>
        <v>0</v>
      </c>
      <c r="P328" s="143">
        <f t="shared" si="107"/>
        <v>0</v>
      </c>
      <c r="Q328" s="143">
        <f t="shared" si="107"/>
        <v>313.18092912945133</v>
      </c>
      <c r="R328" s="143">
        <f t="shared" si="107"/>
        <v>646.88764494852489</v>
      </c>
      <c r="S328" s="143">
        <f t="shared" si="107"/>
        <v>1002.1648959865571</v>
      </c>
      <c r="T328" s="143">
        <f t="shared" si="107"/>
        <v>1380.1062236958546</v>
      </c>
      <c r="U328" s="143">
        <f t="shared" si="107"/>
        <v>1781.8561629939895</v>
      </c>
      <c r="V328" s="143">
        <f t="shared" si="107"/>
        <v>2208.6125408023772</v>
      </c>
      <c r="W328" s="143">
        <f t="shared" si="107"/>
        <v>2661.6288769403232</v>
      </c>
      <c r="X328" s="143">
        <f t="shared" si="107"/>
        <v>3142.2168919286596</v>
      </c>
      <c r="Y328" s="143">
        <f t="shared" si="107"/>
        <v>3651.7491264608011</v>
      </c>
      <c r="Z328" s="143">
        <f t="shared" si="107"/>
        <v>4191.6616775120128</v>
      </c>
      <c r="AA328" s="143">
        <f t="shared" si="107"/>
        <v>4763.45705628019</v>
      </c>
      <c r="AB328" s="143">
        <f t="shared" si="107"/>
        <v>5368.7071733840539</v>
      </c>
      <c r="AC328" s="143">
        <f t="shared" si="107"/>
        <v>6009.0564569877843</v>
      </c>
      <c r="AD328" s="143">
        <f t="shared" si="107"/>
        <v>6686.2251097751796</v>
      </c>
      <c r="AE328" s="143">
        <f t="shared" si="107"/>
        <v>7402.012510962054</v>
      </c>
      <c r="AF328" s="141"/>
      <c r="AG328" s="141"/>
      <c r="AH328" s="141"/>
      <c r="AI328" s="141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8" t="str">
        <f>Settings!$B$3&amp;".mit.fund.cbam.tot.2"</f>
        <v>egy.mit.fund.cbam.tot.2</v>
      </c>
      <c r="I329" t="s">
        <v>2866</v>
      </c>
      <c r="K329" s="139"/>
      <c r="L329" s="143">
        <f>L$218*INDEX(L$427:L$433,MATCH(Settings!$B$10,$B$427:$B$433,0))</f>
        <v>0</v>
      </c>
      <c r="M329" s="143">
        <f>M$218*INDEX(M$427:M$433,MATCH(Settings!$B$10,$B$427:$B$433,0))</f>
        <v>0</v>
      </c>
      <c r="N329" s="143">
        <f>N$218*INDEX(N$427:N$433,MATCH(Settings!$B$10,$B$427:$B$433,0))</f>
        <v>0</v>
      </c>
      <c r="O329" s="143">
        <f>O$218*INDEX(O$427:O$433,MATCH(Settings!$B$10,$B$427:$B$433,0))</f>
        <v>0</v>
      </c>
      <c r="P329" s="143">
        <f>P$218*INDEX(P$427:P$433,MATCH(Settings!$B$10,$B$427:$B$433,0))</f>
        <v>0</v>
      </c>
      <c r="Q329" s="143">
        <f>Q$218*INDEX(Q$427:Q$433,MATCH(Settings!$B$10,$B$427:$B$433,0))</f>
        <v>0</v>
      </c>
      <c r="R329" s="143">
        <f>R$218*INDEX(R$427:R$433,MATCH(Settings!$B$10,$B$427:$B$433,0))</f>
        <v>0</v>
      </c>
      <c r="S329" s="143">
        <f>S$218*INDEX(S$427:S$433,MATCH(Settings!$B$10,$B$427:$B$433,0))</f>
        <v>0</v>
      </c>
      <c r="T329" s="143">
        <f>T$218*INDEX(T$427:T$433,MATCH(Settings!$B$10,$B$427:$B$433,0))</f>
        <v>0</v>
      </c>
      <c r="U329" s="143">
        <f>U$218*INDEX(U$427:U$433,MATCH(Settings!$B$10,$B$427:$B$433,0))</f>
        <v>0</v>
      </c>
      <c r="V329" s="143">
        <f>V$218*INDEX(V$427:V$433,MATCH(Settings!$B$10,$B$427:$B$433,0))</f>
        <v>0</v>
      </c>
      <c r="W329" s="143">
        <f>W$218*INDEX(W$427:W$433,MATCH(Settings!$B$10,$B$427:$B$433,0))</f>
        <v>0</v>
      </c>
      <c r="X329" s="143">
        <f>X$218*INDEX(X$427:X$433,MATCH(Settings!$B$10,$B$427:$B$433,0))</f>
        <v>0</v>
      </c>
      <c r="Y329" s="143">
        <f>Y$218*INDEX(Y$427:Y$433,MATCH(Settings!$B$10,$B$427:$B$433,0))</f>
        <v>0</v>
      </c>
      <c r="Z329" s="143">
        <f>Z$218*INDEX(Z$427:Z$433,MATCH(Settings!$B$10,$B$427:$B$433,0))</f>
        <v>0</v>
      </c>
      <c r="AA329" s="143">
        <f>AA$218*INDEX(AA$427:AA$433,MATCH(Settings!$B$10,$B$427:$B$433,0))</f>
        <v>0</v>
      </c>
      <c r="AB329" s="143">
        <f>AB$218*INDEX(AB$427:AB$433,MATCH(Settings!$B$10,$B$427:$B$433,0))</f>
        <v>0</v>
      </c>
      <c r="AC329" s="143">
        <f>AC$218*INDEX(AC$427:AC$433,MATCH(Settings!$B$10,$B$427:$B$433,0))</f>
        <v>0</v>
      </c>
      <c r="AD329" s="143">
        <f>AD$218*INDEX(AD$427:AD$433,MATCH(Settings!$B$10,$B$427:$B$433,0))</f>
        <v>0</v>
      </c>
      <c r="AE329" s="143">
        <f>AE$218*INDEX(AE$427:AE$433,MATCH(Settings!$B$10,$B$427:$B$433,0))</f>
        <v>0</v>
      </c>
      <c r="AF329" s="141"/>
      <c r="AG329" s="141"/>
      <c r="AH329" s="141"/>
      <c r="AI329" s="141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8" t="str">
        <f>Settings!$B$3&amp;".mit.emrp0.cbam.tot.2"</f>
        <v>egy.mit.emrp0.cbam.tot.2</v>
      </c>
      <c r="I330" t="s">
        <v>2688</v>
      </c>
      <c r="K330" s="139"/>
      <c r="L330" s="140">
        <f t="shared" ref="L330:AE330" si="108">SUM(L$308:L$323)-SUM(L$290:L$305)</f>
        <v>0</v>
      </c>
      <c r="M330" s="140">
        <f t="shared" si="108"/>
        <v>0</v>
      </c>
      <c r="N330" s="140">
        <f t="shared" si="108"/>
        <v>0</v>
      </c>
      <c r="O330" s="140">
        <f t="shared" si="108"/>
        <v>0</v>
      </c>
      <c r="P330" s="140">
        <f t="shared" si="108"/>
        <v>0</v>
      </c>
      <c r="Q330" s="140">
        <f t="shared" si="108"/>
        <v>0</v>
      </c>
      <c r="R330" s="140">
        <f t="shared" si="108"/>
        <v>0</v>
      </c>
      <c r="S330" s="140">
        <f t="shared" si="108"/>
        <v>0</v>
      </c>
      <c r="T330" s="140">
        <f t="shared" si="108"/>
        <v>0</v>
      </c>
      <c r="U330" s="140">
        <f t="shared" si="108"/>
        <v>0</v>
      </c>
      <c r="V330" s="140">
        <f t="shared" si="108"/>
        <v>0</v>
      </c>
      <c r="W330" s="140">
        <f t="shared" si="108"/>
        <v>0</v>
      </c>
      <c r="X330" s="140">
        <f t="shared" si="108"/>
        <v>0</v>
      </c>
      <c r="Y330" s="140">
        <f t="shared" si="108"/>
        <v>0</v>
      </c>
      <c r="Z330" s="140">
        <f t="shared" si="108"/>
        <v>0</v>
      </c>
      <c r="AA330" s="140">
        <f t="shared" si="108"/>
        <v>0</v>
      </c>
      <c r="AB330" s="140">
        <f t="shared" si="108"/>
        <v>0</v>
      </c>
      <c r="AC330" s="140">
        <f t="shared" si="108"/>
        <v>0</v>
      </c>
      <c r="AD330" s="140">
        <f t="shared" si="108"/>
        <v>0</v>
      </c>
      <c r="AE330" s="140">
        <f t="shared" si="108"/>
        <v>0</v>
      </c>
      <c r="AF330" s="141"/>
      <c r="AG330" s="141"/>
      <c r="AH330" s="141"/>
      <c r="AI330" s="141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9"/>
      <c r="L331" s="142">
        <f t="shared" ref="L331:AE331" si="109">SUMPRODUCT(L$252:L$259*L$262:L$269)+SUMPRODUCT(L$308:L$323*L$272:L$287)</f>
        <v>0.11343980799323071</v>
      </c>
      <c r="M331" s="142">
        <f t="shared" si="109"/>
        <v>0.11712329976149224</v>
      </c>
      <c r="N331" s="142">
        <f t="shared" si="109"/>
        <v>0.12092889969856549</v>
      </c>
      <c r="O331" s="142">
        <f t="shared" si="109"/>
        <v>0.12486074250600086</v>
      </c>
      <c r="P331" s="142">
        <f t="shared" si="109"/>
        <v>0.1289231063134835</v>
      </c>
      <c r="Q331" s="142">
        <f t="shared" si="109"/>
        <v>0.13312041780294456</v>
      </c>
      <c r="R331" s="142">
        <f t="shared" si="109"/>
        <v>0.13745725752256618</v>
      </c>
      <c r="S331" s="142">
        <f t="shared" si="109"/>
        <v>0.14193836539803825</v>
      </c>
      <c r="T331" s="142">
        <f t="shared" si="109"/>
        <v>0.14656864644872269</v>
      </c>
      <c r="U331" s="142">
        <f t="shared" si="109"/>
        <v>0.15135317671669662</v>
      </c>
      <c r="V331" s="142">
        <f t="shared" si="109"/>
        <v>0.1562972094169694</v>
      </c>
      <c r="W331" s="142">
        <f t="shared" si="109"/>
        <v>0.1614061813175115</v>
      </c>
      <c r="X331" s="142">
        <f t="shared" si="109"/>
        <v>0.16668571935808552</v>
      </c>
      <c r="Y331" s="142">
        <f t="shared" si="109"/>
        <v>0.17214164751724373</v>
      </c>
      <c r="Z331" s="142">
        <f t="shared" si="109"/>
        <v>0.17777999393723931</v>
      </c>
      <c r="AA331" s="142">
        <f t="shared" si="109"/>
        <v>0.18360699831700622</v>
      </c>
      <c r="AB331" s="142">
        <f t="shared" si="109"/>
        <v>0.18962911958377954</v>
      </c>
      <c r="AC331" s="142">
        <f t="shared" si="109"/>
        <v>0.19585304385437208</v>
      </c>
      <c r="AD331" s="142">
        <f t="shared" si="109"/>
        <v>0.20228569269757843</v>
      </c>
      <c r="AE331" s="142">
        <f t="shared" si="109"/>
        <v>0.20893423170965852</v>
      </c>
      <c r="AF331" s="141"/>
      <c r="AG331" s="141"/>
      <c r="AH331" s="141"/>
      <c r="AI331" s="141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9"/>
      <c r="L332" s="140">
        <f t="shared" ref="L332:AE332" si="110">IF(OR(L$329&lt;=0,L$331&lt;=0),0,MIN($F$5,SQRT(L$329/L$331*IF($F$4="COST",2,1))))</f>
        <v>0</v>
      </c>
      <c r="M332" s="140">
        <f t="shared" si="110"/>
        <v>0</v>
      </c>
      <c r="N332" s="140">
        <f t="shared" si="110"/>
        <v>0</v>
      </c>
      <c r="O332" s="140">
        <f t="shared" si="110"/>
        <v>0</v>
      </c>
      <c r="P332" s="140">
        <f t="shared" si="110"/>
        <v>0</v>
      </c>
      <c r="Q332" s="140">
        <f t="shared" si="110"/>
        <v>0</v>
      </c>
      <c r="R332" s="140">
        <f t="shared" si="110"/>
        <v>0</v>
      </c>
      <c r="S332" s="140">
        <f t="shared" si="110"/>
        <v>0</v>
      </c>
      <c r="T332" s="140">
        <f t="shared" si="110"/>
        <v>0</v>
      </c>
      <c r="U332" s="140">
        <f t="shared" si="110"/>
        <v>0</v>
      </c>
      <c r="V332" s="140">
        <f t="shared" si="110"/>
        <v>0</v>
      </c>
      <c r="W332" s="140">
        <f t="shared" si="110"/>
        <v>0</v>
      </c>
      <c r="X332" s="140">
        <f t="shared" si="110"/>
        <v>0</v>
      </c>
      <c r="Y332" s="140">
        <f t="shared" si="110"/>
        <v>0</v>
      </c>
      <c r="Z332" s="140">
        <f t="shared" si="110"/>
        <v>0</v>
      </c>
      <c r="AA332" s="140">
        <f t="shared" si="110"/>
        <v>0</v>
      </c>
      <c r="AB332" s="140">
        <f t="shared" si="110"/>
        <v>0</v>
      </c>
      <c r="AC332" s="140">
        <f t="shared" si="110"/>
        <v>0</v>
      </c>
      <c r="AD332" s="140">
        <f t="shared" si="110"/>
        <v>0</v>
      </c>
      <c r="AE332" s="140">
        <f t="shared" si="110"/>
        <v>0</v>
      </c>
      <c r="AF332" s="141"/>
      <c r="AG332" s="141"/>
      <c r="AH332" s="141"/>
      <c r="AI332" s="141"/>
    </row>
    <row r="333" spans="1:35" x14ac:dyDescent="0.35"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7">
        <v>2021</v>
      </c>
      <c r="L334" s="138">
        <v>2022</v>
      </c>
      <c r="M334" s="137">
        <v>2023</v>
      </c>
      <c r="N334" s="137">
        <v>2024</v>
      </c>
      <c r="O334" s="137">
        <v>2025</v>
      </c>
      <c r="P334" s="137">
        <v>2026</v>
      </c>
      <c r="Q334" s="137">
        <v>2027</v>
      </c>
      <c r="R334" s="137">
        <v>2028</v>
      </c>
      <c r="S334" s="137">
        <v>2029</v>
      </c>
      <c r="T334" s="137">
        <v>2030</v>
      </c>
      <c r="U334" s="137">
        <v>2031</v>
      </c>
      <c r="V334" s="137">
        <v>2032</v>
      </c>
      <c r="W334" s="137">
        <v>2033</v>
      </c>
      <c r="X334" s="137">
        <v>2034</v>
      </c>
      <c r="Y334" s="137">
        <v>2035</v>
      </c>
      <c r="Z334" s="137">
        <v>2036</v>
      </c>
      <c r="AA334" s="137">
        <v>2037</v>
      </c>
      <c r="AB334" s="137">
        <v>2038</v>
      </c>
      <c r="AC334" s="137">
        <v>2039</v>
      </c>
      <c r="AD334" s="137">
        <v>2040</v>
      </c>
      <c r="AE334" s="137">
        <v>2041</v>
      </c>
      <c r="AF334" s="137">
        <v>2042</v>
      </c>
      <c r="AG334" s="137">
        <v>2043</v>
      </c>
      <c r="AH334" s="137">
        <v>2044</v>
      </c>
      <c r="AI334" s="137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9"/>
      <c r="L335" s="142">
        <f t="shared" ref="L335:AE335" si="111">SUMPRODUCT(L$252:L$259*(1-EXP(-L$262:L$269*L$332)))+SUMPRODUCT(L$308:L$323*(1-EXP(-L$272:L$287*L$332)))</f>
        <v>0</v>
      </c>
      <c r="M335" s="142">
        <f t="shared" si="111"/>
        <v>0</v>
      </c>
      <c r="N335" s="142">
        <f t="shared" si="111"/>
        <v>0</v>
      </c>
      <c r="O335" s="142">
        <f t="shared" si="111"/>
        <v>0</v>
      </c>
      <c r="P335" s="142">
        <f t="shared" si="111"/>
        <v>0</v>
      </c>
      <c r="Q335" s="142">
        <f t="shared" si="111"/>
        <v>0</v>
      </c>
      <c r="R335" s="142">
        <f t="shared" si="111"/>
        <v>0</v>
      </c>
      <c r="S335" s="142">
        <f t="shared" si="111"/>
        <v>0</v>
      </c>
      <c r="T335" s="142">
        <f t="shared" si="111"/>
        <v>0</v>
      </c>
      <c r="U335" s="142">
        <f t="shared" si="111"/>
        <v>0</v>
      </c>
      <c r="V335" s="142">
        <f t="shared" si="111"/>
        <v>0</v>
      </c>
      <c r="W335" s="142">
        <f t="shared" si="111"/>
        <v>0</v>
      </c>
      <c r="X335" s="142">
        <f t="shared" si="111"/>
        <v>0</v>
      </c>
      <c r="Y335" s="142">
        <f t="shared" si="111"/>
        <v>0</v>
      </c>
      <c r="Z335" s="142">
        <f t="shared" si="111"/>
        <v>0</v>
      </c>
      <c r="AA335" s="142">
        <f t="shared" si="111"/>
        <v>0</v>
      </c>
      <c r="AB335" s="142">
        <f t="shared" si="111"/>
        <v>0</v>
      </c>
      <c r="AC335" s="142">
        <f t="shared" si="111"/>
        <v>0</v>
      </c>
      <c r="AD335" s="142">
        <f t="shared" si="111"/>
        <v>0</v>
      </c>
      <c r="AE335" s="142">
        <f t="shared" si="111"/>
        <v>0</v>
      </c>
      <c r="AF335" s="141"/>
      <c r="AG335" s="141"/>
      <c r="AH335" s="141"/>
      <c r="AI335" s="141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9"/>
      <c r="L336" s="140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0">
        <f t="shared" si="112"/>
        <v>0</v>
      </c>
      <c r="N336" s="140">
        <f t="shared" si="112"/>
        <v>0</v>
      </c>
      <c r="O336" s="140">
        <f t="shared" si="112"/>
        <v>0</v>
      </c>
      <c r="P336" s="140">
        <f t="shared" si="112"/>
        <v>0</v>
      </c>
      <c r="Q336" s="140">
        <f t="shared" si="112"/>
        <v>0</v>
      </c>
      <c r="R336" s="140">
        <f t="shared" si="112"/>
        <v>0</v>
      </c>
      <c r="S336" s="140">
        <f t="shared" si="112"/>
        <v>0</v>
      </c>
      <c r="T336" s="140">
        <f t="shared" si="112"/>
        <v>0</v>
      </c>
      <c r="U336" s="140">
        <f t="shared" si="112"/>
        <v>0</v>
      </c>
      <c r="V336" s="140">
        <f t="shared" si="112"/>
        <v>0</v>
      </c>
      <c r="W336" s="140">
        <f t="shared" si="112"/>
        <v>0</v>
      </c>
      <c r="X336" s="140">
        <f t="shared" si="112"/>
        <v>0</v>
      </c>
      <c r="Y336" s="140">
        <f t="shared" si="112"/>
        <v>0</v>
      </c>
      <c r="Z336" s="140">
        <f t="shared" si="112"/>
        <v>0</v>
      </c>
      <c r="AA336" s="140">
        <f t="shared" si="112"/>
        <v>0</v>
      </c>
      <c r="AB336" s="140">
        <f t="shared" si="112"/>
        <v>0</v>
      </c>
      <c r="AC336" s="140">
        <f t="shared" si="112"/>
        <v>0</v>
      </c>
      <c r="AD336" s="140">
        <f t="shared" si="112"/>
        <v>0</v>
      </c>
      <c r="AE336" s="140">
        <f t="shared" si="112"/>
        <v>0</v>
      </c>
      <c r="AF336" s="141"/>
      <c r="AG336" s="141"/>
      <c r="AH336" s="141"/>
      <c r="AI336" s="141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9"/>
      <c r="L337" s="142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2">
        <f t="shared" si="113"/>
        <v>0</v>
      </c>
      <c r="N337" s="142">
        <f t="shared" si="113"/>
        <v>0</v>
      </c>
      <c r="O337" s="142">
        <f t="shared" si="113"/>
        <v>0</v>
      </c>
      <c r="P337" s="142">
        <f t="shared" si="113"/>
        <v>0</v>
      </c>
      <c r="Q337" s="142">
        <f t="shared" si="113"/>
        <v>0</v>
      </c>
      <c r="R337" s="142">
        <f t="shared" si="113"/>
        <v>0</v>
      </c>
      <c r="S337" s="142">
        <f t="shared" si="113"/>
        <v>0</v>
      </c>
      <c r="T337" s="142">
        <f t="shared" si="113"/>
        <v>0</v>
      </c>
      <c r="U337" s="142">
        <f t="shared" si="113"/>
        <v>0</v>
      </c>
      <c r="V337" s="142">
        <f t="shared" si="113"/>
        <v>0</v>
      </c>
      <c r="W337" s="142">
        <f t="shared" si="113"/>
        <v>0</v>
      </c>
      <c r="X337" s="142">
        <f t="shared" si="113"/>
        <v>0</v>
      </c>
      <c r="Y337" s="142">
        <f t="shared" si="113"/>
        <v>0</v>
      </c>
      <c r="Z337" s="142">
        <f t="shared" si="113"/>
        <v>0</v>
      </c>
      <c r="AA337" s="142">
        <f t="shared" si="113"/>
        <v>0</v>
      </c>
      <c r="AB337" s="142">
        <f t="shared" si="113"/>
        <v>0</v>
      </c>
      <c r="AC337" s="142">
        <f t="shared" si="113"/>
        <v>0</v>
      </c>
      <c r="AD337" s="142">
        <f t="shared" si="113"/>
        <v>0</v>
      </c>
      <c r="AE337" s="142">
        <f t="shared" si="113"/>
        <v>0</v>
      </c>
      <c r="AF337" s="141"/>
      <c r="AG337" s="141"/>
      <c r="AH337" s="141"/>
      <c r="AI337" s="141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9"/>
      <c r="L338" s="140">
        <f t="shared" ref="L338:AE338" si="114">IF(L$329&lt;=0,0,IF(L$337&lt;=0,L$332,MIN($F$5,IF(L$332-(L$336-L$329)/L$337&lt;=0,L$332/2,L$332-(L$336-L$329)/L$337))))</f>
        <v>0</v>
      </c>
      <c r="M338" s="140">
        <f t="shared" si="114"/>
        <v>0</v>
      </c>
      <c r="N338" s="140">
        <f t="shared" si="114"/>
        <v>0</v>
      </c>
      <c r="O338" s="140">
        <f t="shared" si="114"/>
        <v>0</v>
      </c>
      <c r="P338" s="140">
        <f t="shared" si="114"/>
        <v>0</v>
      </c>
      <c r="Q338" s="140">
        <f t="shared" si="114"/>
        <v>0</v>
      </c>
      <c r="R338" s="140">
        <f t="shared" si="114"/>
        <v>0</v>
      </c>
      <c r="S338" s="140">
        <f t="shared" si="114"/>
        <v>0</v>
      </c>
      <c r="T338" s="140">
        <f t="shared" si="114"/>
        <v>0</v>
      </c>
      <c r="U338" s="140">
        <f t="shared" si="114"/>
        <v>0</v>
      </c>
      <c r="V338" s="140">
        <f t="shared" si="114"/>
        <v>0</v>
      </c>
      <c r="W338" s="140">
        <f t="shared" si="114"/>
        <v>0</v>
      </c>
      <c r="X338" s="140">
        <f t="shared" si="114"/>
        <v>0</v>
      </c>
      <c r="Y338" s="140">
        <f t="shared" si="114"/>
        <v>0</v>
      </c>
      <c r="Z338" s="140">
        <f t="shared" si="114"/>
        <v>0</v>
      </c>
      <c r="AA338" s="140">
        <f t="shared" si="114"/>
        <v>0</v>
      </c>
      <c r="AB338" s="140">
        <f t="shared" si="114"/>
        <v>0</v>
      </c>
      <c r="AC338" s="140">
        <f t="shared" si="114"/>
        <v>0</v>
      </c>
      <c r="AD338" s="140">
        <f t="shared" si="114"/>
        <v>0</v>
      </c>
      <c r="AE338" s="140">
        <f t="shared" si="114"/>
        <v>0</v>
      </c>
      <c r="AF338" s="141"/>
      <c r="AG338" s="141"/>
      <c r="AH338" s="141"/>
      <c r="AI338" s="141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9"/>
      <c r="L339" s="142">
        <f t="shared" ref="L339:AE339" si="115">SUMPRODUCT(L$252:L$259*(1-EXP(-L$262:L$269*L$338)))+SUMPRODUCT(L$308:L$323*(1-EXP(-L$272:L$287*L$338)))</f>
        <v>0</v>
      </c>
      <c r="M339" s="142">
        <f t="shared" si="115"/>
        <v>0</v>
      </c>
      <c r="N339" s="142">
        <f t="shared" si="115"/>
        <v>0</v>
      </c>
      <c r="O339" s="142">
        <f t="shared" si="115"/>
        <v>0</v>
      </c>
      <c r="P339" s="142">
        <f t="shared" si="115"/>
        <v>0</v>
      </c>
      <c r="Q339" s="142">
        <f t="shared" si="115"/>
        <v>0</v>
      </c>
      <c r="R339" s="142">
        <f t="shared" si="115"/>
        <v>0</v>
      </c>
      <c r="S339" s="142">
        <f t="shared" si="115"/>
        <v>0</v>
      </c>
      <c r="T339" s="142">
        <f t="shared" si="115"/>
        <v>0</v>
      </c>
      <c r="U339" s="142">
        <f t="shared" si="115"/>
        <v>0</v>
      </c>
      <c r="V339" s="142">
        <f t="shared" si="115"/>
        <v>0</v>
      </c>
      <c r="W339" s="142">
        <f t="shared" si="115"/>
        <v>0</v>
      </c>
      <c r="X339" s="142">
        <f t="shared" si="115"/>
        <v>0</v>
      </c>
      <c r="Y339" s="142">
        <f t="shared" si="115"/>
        <v>0</v>
      </c>
      <c r="Z339" s="142">
        <f t="shared" si="115"/>
        <v>0</v>
      </c>
      <c r="AA339" s="142">
        <f t="shared" si="115"/>
        <v>0</v>
      </c>
      <c r="AB339" s="142">
        <f t="shared" si="115"/>
        <v>0</v>
      </c>
      <c r="AC339" s="142">
        <f t="shared" si="115"/>
        <v>0</v>
      </c>
      <c r="AD339" s="142">
        <f t="shared" si="115"/>
        <v>0</v>
      </c>
      <c r="AE339" s="142">
        <f t="shared" si="115"/>
        <v>0</v>
      </c>
      <c r="AF339" s="141"/>
      <c r="AG339" s="141"/>
      <c r="AH339" s="141"/>
      <c r="AI339" s="141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9"/>
      <c r="L340" s="140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0">
        <f t="shared" si="116"/>
        <v>0</v>
      </c>
      <c r="N340" s="140">
        <f t="shared" si="116"/>
        <v>0</v>
      </c>
      <c r="O340" s="140">
        <f t="shared" si="116"/>
        <v>0</v>
      </c>
      <c r="P340" s="140">
        <f t="shared" si="116"/>
        <v>0</v>
      </c>
      <c r="Q340" s="140">
        <f t="shared" si="116"/>
        <v>0</v>
      </c>
      <c r="R340" s="140">
        <f t="shared" si="116"/>
        <v>0</v>
      </c>
      <c r="S340" s="140">
        <f t="shared" si="116"/>
        <v>0</v>
      </c>
      <c r="T340" s="140">
        <f t="shared" si="116"/>
        <v>0</v>
      </c>
      <c r="U340" s="140">
        <f t="shared" si="116"/>
        <v>0</v>
      </c>
      <c r="V340" s="140">
        <f t="shared" si="116"/>
        <v>0</v>
      </c>
      <c r="W340" s="140">
        <f t="shared" si="116"/>
        <v>0</v>
      </c>
      <c r="X340" s="140">
        <f t="shared" si="116"/>
        <v>0</v>
      </c>
      <c r="Y340" s="140">
        <f t="shared" si="116"/>
        <v>0</v>
      </c>
      <c r="Z340" s="140">
        <f t="shared" si="116"/>
        <v>0</v>
      </c>
      <c r="AA340" s="140">
        <f t="shared" si="116"/>
        <v>0</v>
      </c>
      <c r="AB340" s="140">
        <f t="shared" si="116"/>
        <v>0</v>
      </c>
      <c r="AC340" s="140">
        <f t="shared" si="116"/>
        <v>0</v>
      </c>
      <c r="AD340" s="140">
        <f t="shared" si="116"/>
        <v>0</v>
      </c>
      <c r="AE340" s="140">
        <f t="shared" si="116"/>
        <v>0</v>
      </c>
      <c r="AF340" s="141"/>
      <c r="AG340" s="141"/>
      <c r="AH340" s="141"/>
      <c r="AI340" s="141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9"/>
      <c r="L341" s="142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2">
        <f t="shared" si="117"/>
        <v>0</v>
      </c>
      <c r="N341" s="142">
        <f t="shared" si="117"/>
        <v>0</v>
      </c>
      <c r="O341" s="142">
        <f t="shared" si="117"/>
        <v>0</v>
      </c>
      <c r="P341" s="142">
        <f t="shared" si="117"/>
        <v>0</v>
      </c>
      <c r="Q341" s="142">
        <f t="shared" si="117"/>
        <v>0</v>
      </c>
      <c r="R341" s="142">
        <f t="shared" si="117"/>
        <v>0</v>
      </c>
      <c r="S341" s="142">
        <f t="shared" si="117"/>
        <v>0</v>
      </c>
      <c r="T341" s="142">
        <f t="shared" si="117"/>
        <v>0</v>
      </c>
      <c r="U341" s="142">
        <f t="shared" si="117"/>
        <v>0</v>
      </c>
      <c r="V341" s="142">
        <f t="shared" si="117"/>
        <v>0</v>
      </c>
      <c r="W341" s="142">
        <f t="shared" si="117"/>
        <v>0</v>
      </c>
      <c r="X341" s="142">
        <f t="shared" si="117"/>
        <v>0</v>
      </c>
      <c r="Y341" s="142">
        <f t="shared" si="117"/>
        <v>0</v>
      </c>
      <c r="Z341" s="142">
        <f t="shared" si="117"/>
        <v>0</v>
      </c>
      <c r="AA341" s="142">
        <f t="shared" si="117"/>
        <v>0</v>
      </c>
      <c r="AB341" s="142">
        <f t="shared" si="117"/>
        <v>0</v>
      </c>
      <c r="AC341" s="142">
        <f t="shared" si="117"/>
        <v>0</v>
      </c>
      <c r="AD341" s="142">
        <f t="shared" si="117"/>
        <v>0</v>
      </c>
      <c r="AE341" s="142">
        <f t="shared" si="117"/>
        <v>0</v>
      </c>
      <c r="AF341" s="141"/>
      <c r="AG341" s="141"/>
      <c r="AH341" s="141"/>
      <c r="AI341" s="141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9"/>
      <c r="L342" s="140">
        <f t="shared" ref="L342:AE342" si="118">IF(L$329&lt;=0,0,IF(L$341&lt;=0,L$338,MIN($F$5,IF(L$338-(L$340-L$329)/L$341&lt;=0,L$338/2,L$338-(L$340-L$329)/L$341))))</f>
        <v>0</v>
      </c>
      <c r="M342" s="140">
        <f t="shared" si="118"/>
        <v>0</v>
      </c>
      <c r="N342" s="140">
        <f t="shared" si="118"/>
        <v>0</v>
      </c>
      <c r="O342" s="140">
        <f t="shared" si="118"/>
        <v>0</v>
      </c>
      <c r="P342" s="140">
        <f t="shared" si="118"/>
        <v>0</v>
      </c>
      <c r="Q342" s="140">
        <f t="shared" si="118"/>
        <v>0</v>
      </c>
      <c r="R342" s="140">
        <f t="shared" si="118"/>
        <v>0</v>
      </c>
      <c r="S342" s="140">
        <f t="shared" si="118"/>
        <v>0</v>
      </c>
      <c r="T342" s="140">
        <f t="shared" si="118"/>
        <v>0</v>
      </c>
      <c r="U342" s="140">
        <f t="shared" si="118"/>
        <v>0</v>
      </c>
      <c r="V342" s="140">
        <f t="shared" si="118"/>
        <v>0</v>
      </c>
      <c r="W342" s="140">
        <f t="shared" si="118"/>
        <v>0</v>
      </c>
      <c r="X342" s="140">
        <f t="shared" si="118"/>
        <v>0</v>
      </c>
      <c r="Y342" s="140">
        <f t="shared" si="118"/>
        <v>0</v>
      </c>
      <c r="Z342" s="140">
        <f t="shared" si="118"/>
        <v>0</v>
      </c>
      <c r="AA342" s="140">
        <f t="shared" si="118"/>
        <v>0</v>
      </c>
      <c r="AB342" s="140">
        <f t="shared" si="118"/>
        <v>0</v>
      </c>
      <c r="AC342" s="140">
        <f t="shared" si="118"/>
        <v>0</v>
      </c>
      <c r="AD342" s="140">
        <f t="shared" si="118"/>
        <v>0</v>
      </c>
      <c r="AE342" s="140">
        <f t="shared" si="118"/>
        <v>0</v>
      </c>
      <c r="AF342" s="141"/>
      <c r="AG342" s="141"/>
      <c r="AH342" s="141"/>
      <c r="AI342" s="141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9"/>
      <c r="L343" s="142">
        <f t="shared" ref="L343:AE343" si="119">SUMPRODUCT(L$252:L$259*(1-EXP(-L$262:L$269*L$342)))+SUMPRODUCT(L$308:L$323*(1-EXP(-L$272:L$287*L$342)))</f>
        <v>0</v>
      </c>
      <c r="M343" s="142">
        <f t="shared" si="119"/>
        <v>0</v>
      </c>
      <c r="N343" s="142">
        <f t="shared" si="119"/>
        <v>0</v>
      </c>
      <c r="O343" s="142">
        <f t="shared" si="119"/>
        <v>0</v>
      </c>
      <c r="P343" s="142">
        <f t="shared" si="119"/>
        <v>0</v>
      </c>
      <c r="Q343" s="142">
        <f t="shared" si="119"/>
        <v>0</v>
      </c>
      <c r="R343" s="142">
        <f t="shared" si="119"/>
        <v>0</v>
      </c>
      <c r="S343" s="142">
        <f t="shared" si="119"/>
        <v>0</v>
      </c>
      <c r="T343" s="142">
        <f t="shared" si="119"/>
        <v>0</v>
      </c>
      <c r="U343" s="142">
        <f t="shared" si="119"/>
        <v>0</v>
      </c>
      <c r="V343" s="142">
        <f t="shared" si="119"/>
        <v>0</v>
      </c>
      <c r="W343" s="142">
        <f t="shared" si="119"/>
        <v>0</v>
      </c>
      <c r="X343" s="142">
        <f t="shared" si="119"/>
        <v>0</v>
      </c>
      <c r="Y343" s="142">
        <f t="shared" si="119"/>
        <v>0</v>
      </c>
      <c r="Z343" s="142">
        <f t="shared" si="119"/>
        <v>0</v>
      </c>
      <c r="AA343" s="142">
        <f t="shared" si="119"/>
        <v>0</v>
      </c>
      <c r="AB343" s="142">
        <f t="shared" si="119"/>
        <v>0</v>
      </c>
      <c r="AC343" s="142">
        <f t="shared" si="119"/>
        <v>0</v>
      </c>
      <c r="AD343" s="142">
        <f t="shared" si="119"/>
        <v>0</v>
      </c>
      <c r="AE343" s="142">
        <f t="shared" si="119"/>
        <v>0</v>
      </c>
      <c r="AF343" s="141"/>
      <c r="AG343" s="141"/>
      <c r="AH343" s="141"/>
      <c r="AI343" s="141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9"/>
      <c r="L344" s="140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0">
        <f t="shared" si="120"/>
        <v>0</v>
      </c>
      <c r="N344" s="140">
        <f t="shared" si="120"/>
        <v>0</v>
      </c>
      <c r="O344" s="140">
        <f t="shared" si="120"/>
        <v>0</v>
      </c>
      <c r="P344" s="140">
        <f t="shared" si="120"/>
        <v>0</v>
      </c>
      <c r="Q344" s="140">
        <f t="shared" si="120"/>
        <v>0</v>
      </c>
      <c r="R344" s="140">
        <f t="shared" si="120"/>
        <v>0</v>
      </c>
      <c r="S344" s="140">
        <f t="shared" si="120"/>
        <v>0</v>
      </c>
      <c r="T344" s="140">
        <f t="shared" si="120"/>
        <v>0</v>
      </c>
      <c r="U344" s="140">
        <f t="shared" si="120"/>
        <v>0</v>
      </c>
      <c r="V344" s="140">
        <f t="shared" si="120"/>
        <v>0</v>
      </c>
      <c r="W344" s="140">
        <f t="shared" si="120"/>
        <v>0</v>
      </c>
      <c r="X344" s="140">
        <f t="shared" si="120"/>
        <v>0</v>
      </c>
      <c r="Y344" s="140">
        <f t="shared" si="120"/>
        <v>0</v>
      </c>
      <c r="Z344" s="140">
        <f t="shared" si="120"/>
        <v>0</v>
      </c>
      <c r="AA344" s="140">
        <f t="shared" si="120"/>
        <v>0</v>
      </c>
      <c r="AB344" s="140">
        <f t="shared" si="120"/>
        <v>0</v>
      </c>
      <c r="AC344" s="140">
        <f t="shared" si="120"/>
        <v>0</v>
      </c>
      <c r="AD344" s="140">
        <f t="shared" si="120"/>
        <v>0</v>
      </c>
      <c r="AE344" s="140">
        <f t="shared" si="120"/>
        <v>0</v>
      </c>
      <c r="AF344" s="141"/>
      <c r="AG344" s="141"/>
      <c r="AH344" s="141"/>
      <c r="AI344" s="141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9"/>
      <c r="L345" s="142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2">
        <f t="shared" si="121"/>
        <v>0</v>
      </c>
      <c r="N345" s="142">
        <f t="shared" si="121"/>
        <v>0</v>
      </c>
      <c r="O345" s="142">
        <f t="shared" si="121"/>
        <v>0</v>
      </c>
      <c r="P345" s="142">
        <f t="shared" si="121"/>
        <v>0</v>
      </c>
      <c r="Q345" s="142">
        <f t="shared" si="121"/>
        <v>0</v>
      </c>
      <c r="R345" s="142">
        <f t="shared" si="121"/>
        <v>0</v>
      </c>
      <c r="S345" s="142">
        <f t="shared" si="121"/>
        <v>0</v>
      </c>
      <c r="T345" s="142">
        <f t="shared" si="121"/>
        <v>0</v>
      </c>
      <c r="U345" s="142">
        <f t="shared" si="121"/>
        <v>0</v>
      </c>
      <c r="V345" s="142">
        <f t="shared" si="121"/>
        <v>0</v>
      </c>
      <c r="W345" s="142">
        <f t="shared" si="121"/>
        <v>0</v>
      </c>
      <c r="X345" s="142">
        <f t="shared" si="121"/>
        <v>0</v>
      </c>
      <c r="Y345" s="142">
        <f t="shared" si="121"/>
        <v>0</v>
      </c>
      <c r="Z345" s="142">
        <f t="shared" si="121"/>
        <v>0</v>
      </c>
      <c r="AA345" s="142">
        <f t="shared" si="121"/>
        <v>0</v>
      </c>
      <c r="AB345" s="142">
        <f t="shared" si="121"/>
        <v>0</v>
      </c>
      <c r="AC345" s="142">
        <f t="shared" si="121"/>
        <v>0</v>
      </c>
      <c r="AD345" s="142">
        <f t="shared" si="121"/>
        <v>0</v>
      </c>
      <c r="AE345" s="142">
        <f t="shared" si="121"/>
        <v>0</v>
      </c>
      <c r="AF345" s="141"/>
      <c r="AG345" s="141"/>
      <c r="AH345" s="141"/>
      <c r="AI345" s="141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9"/>
      <c r="L346" s="140">
        <f t="shared" ref="L346:AE346" si="122">IF(L$329&lt;=0,0,IF(L$345&lt;=0,L$342,MIN($F$5,IF(L$342-(L$344-L$329)/L$345&lt;=0,L$342/2,L$342-(L$344-L$329)/L$345))))</f>
        <v>0</v>
      </c>
      <c r="M346" s="140">
        <f t="shared" si="122"/>
        <v>0</v>
      </c>
      <c r="N346" s="140">
        <f t="shared" si="122"/>
        <v>0</v>
      </c>
      <c r="O346" s="140">
        <f t="shared" si="122"/>
        <v>0</v>
      </c>
      <c r="P346" s="140">
        <f t="shared" si="122"/>
        <v>0</v>
      </c>
      <c r="Q346" s="140">
        <f t="shared" si="122"/>
        <v>0</v>
      </c>
      <c r="R346" s="140">
        <f t="shared" si="122"/>
        <v>0</v>
      </c>
      <c r="S346" s="140">
        <f t="shared" si="122"/>
        <v>0</v>
      </c>
      <c r="T346" s="140">
        <f t="shared" si="122"/>
        <v>0</v>
      </c>
      <c r="U346" s="140">
        <f t="shared" si="122"/>
        <v>0</v>
      </c>
      <c r="V346" s="140">
        <f t="shared" si="122"/>
        <v>0</v>
      </c>
      <c r="W346" s="140">
        <f t="shared" si="122"/>
        <v>0</v>
      </c>
      <c r="X346" s="140">
        <f t="shared" si="122"/>
        <v>0</v>
      </c>
      <c r="Y346" s="140">
        <f t="shared" si="122"/>
        <v>0</v>
      </c>
      <c r="Z346" s="140">
        <f t="shared" si="122"/>
        <v>0</v>
      </c>
      <c r="AA346" s="140">
        <f t="shared" si="122"/>
        <v>0</v>
      </c>
      <c r="AB346" s="140">
        <f t="shared" si="122"/>
        <v>0</v>
      </c>
      <c r="AC346" s="140">
        <f t="shared" si="122"/>
        <v>0</v>
      </c>
      <c r="AD346" s="140">
        <f t="shared" si="122"/>
        <v>0</v>
      </c>
      <c r="AE346" s="140">
        <f t="shared" si="122"/>
        <v>0</v>
      </c>
      <c r="AF346" s="141"/>
      <c r="AG346" s="141"/>
      <c r="AH346" s="141"/>
      <c r="AI346" s="141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9"/>
      <c r="L347" s="142">
        <f t="shared" ref="L347:AE347" si="123">SUMPRODUCT(L$252:L$259*(1-EXP(-L$262:L$269*L$346)))+SUMPRODUCT(L$308:L$323*(1-EXP(-L$272:L$287*L$346)))</f>
        <v>0</v>
      </c>
      <c r="M347" s="142">
        <f t="shared" si="123"/>
        <v>0</v>
      </c>
      <c r="N347" s="142">
        <f t="shared" si="123"/>
        <v>0</v>
      </c>
      <c r="O347" s="142">
        <f t="shared" si="123"/>
        <v>0</v>
      </c>
      <c r="P347" s="142">
        <f t="shared" si="123"/>
        <v>0</v>
      </c>
      <c r="Q347" s="142">
        <f t="shared" si="123"/>
        <v>0</v>
      </c>
      <c r="R347" s="142">
        <f t="shared" si="123"/>
        <v>0</v>
      </c>
      <c r="S347" s="142">
        <f t="shared" si="123"/>
        <v>0</v>
      </c>
      <c r="T347" s="142">
        <f t="shared" si="123"/>
        <v>0</v>
      </c>
      <c r="U347" s="142">
        <f t="shared" si="123"/>
        <v>0</v>
      </c>
      <c r="V347" s="142">
        <f t="shared" si="123"/>
        <v>0</v>
      </c>
      <c r="W347" s="142">
        <f t="shared" si="123"/>
        <v>0</v>
      </c>
      <c r="X347" s="142">
        <f t="shared" si="123"/>
        <v>0</v>
      </c>
      <c r="Y347" s="142">
        <f t="shared" si="123"/>
        <v>0</v>
      </c>
      <c r="Z347" s="142">
        <f t="shared" si="123"/>
        <v>0</v>
      </c>
      <c r="AA347" s="142">
        <f t="shared" si="123"/>
        <v>0</v>
      </c>
      <c r="AB347" s="142">
        <f t="shared" si="123"/>
        <v>0</v>
      </c>
      <c r="AC347" s="142">
        <f t="shared" si="123"/>
        <v>0</v>
      </c>
      <c r="AD347" s="142">
        <f t="shared" si="123"/>
        <v>0</v>
      </c>
      <c r="AE347" s="142">
        <f t="shared" si="123"/>
        <v>0</v>
      </c>
      <c r="AF347" s="141"/>
      <c r="AG347" s="141"/>
      <c r="AH347" s="141"/>
      <c r="AI347" s="141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9"/>
      <c r="L348" s="140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0">
        <f t="shared" si="124"/>
        <v>0</v>
      </c>
      <c r="N348" s="140">
        <f t="shared" si="124"/>
        <v>0</v>
      </c>
      <c r="O348" s="140">
        <f t="shared" si="124"/>
        <v>0</v>
      </c>
      <c r="P348" s="140">
        <f t="shared" si="124"/>
        <v>0</v>
      </c>
      <c r="Q348" s="140">
        <f t="shared" si="124"/>
        <v>0</v>
      </c>
      <c r="R348" s="140">
        <f t="shared" si="124"/>
        <v>0</v>
      </c>
      <c r="S348" s="140">
        <f t="shared" si="124"/>
        <v>0</v>
      </c>
      <c r="T348" s="140">
        <f t="shared" si="124"/>
        <v>0</v>
      </c>
      <c r="U348" s="140">
        <f t="shared" si="124"/>
        <v>0</v>
      </c>
      <c r="V348" s="140">
        <f t="shared" si="124"/>
        <v>0</v>
      </c>
      <c r="W348" s="140">
        <f t="shared" si="124"/>
        <v>0</v>
      </c>
      <c r="X348" s="140">
        <f t="shared" si="124"/>
        <v>0</v>
      </c>
      <c r="Y348" s="140">
        <f t="shared" si="124"/>
        <v>0</v>
      </c>
      <c r="Z348" s="140">
        <f t="shared" si="124"/>
        <v>0</v>
      </c>
      <c r="AA348" s="140">
        <f t="shared" si="124"/>
        <v>0</v>
      </c>
      <c r="AB348" s="140">
        <f t="shared" si="124"/>
        <v>0</v>
      </c>
      <c r="AC348" s="140">
        <f t="shared" si="124"/>
        <v>0</v>
      </c>
      <c r="AD348" s="140">
        <f t="shared" si="124"/>
        <v>0</v>
      </c>
      <c r="AE348" s="140">
        <f t="shared" si="124"/>
        <v>0</v>
      </c>
      <c r="AF348" s="141"/>
      <c r="AG348" s="141"/>
      <c r="AH348" s="141"/>
      <c r="AI348" s="141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9"/>
      <c r="L349" s="142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2">
        <f t="shared" si="125"/>
        <v>0</v>
      </c>
      <c r="N349" s="142">
        <f t="shared" si="125"/>
        <v>0</v>
      </c>
      <c r="O349" s="142">
        <f t="shared" si="125"/>
        <v>0</v>
      </c>
      <c r="P349" s="142">
        <f t="shared" si="125"/>
        <v>0</v>
      </c>
      <c r="Q349" s="142">
        <f t="shared" si="125"/>
        <v>0</v>
      </c>
      <c r="R349" s="142">
        <f t="shared" si="125"/>
        <v>0</v>
      </c>
      <c r="S349" s="142">
        <f t="shared" si="125"/>
        <v>0</v>
      </c>
      <c r="T349" s="142">
        <f t="shared" si="125"/>
        <v>0</v>
      </c>
      <c r="U349" s="142">
        <f t="shared" si="125"/>
        <v>0</v>
      </c>
      <c r="V349" s="142">
        <f t="shared" si="125"/>
        <v>0</v>
      </c>
      <c r="W349" s="142">
        <f t="shared" si="125"/>
        <v>0</v>
      </c>
      <c r="X349" s="142">
        <f t="shared" si="125"/>
        <v>0</v>
      </c>
      <c r="Y349" s="142">
        <f t="shared" si="125"/>
        <v>0</v>
      </c>
      <c r="Z349" s="142">
        <f t="shared" si="125"/>
        <v>0</v>
      </c>
      <c r="AA349" s="142">
        <f t="shared" si="125"/>
        <v>0</v>
      </c>
      <c r="AB349" s="142">
        <f t="shared" si="125"/>
        <v>0</v>
      </c>
      <c r="AC349" s="142">
        <f t="shared" si="125"/>
        <v>0</v>
      </c>
      <c r="AD349" s="142">
        <f t="shared" si="125"/>
        <v>0</v>
      </c>
      <c r="AE349" s="142">
        <f t="shared" si="125"/>
        <v>0</v>
      </c>
      <c r="AF349" s="141"/>
      <c r="AG349" s="141"/>
      <c r="AH349" s="141"/>
      <c r="AI349" s="141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9"/>
      <c r="L350" s="140">
        <f t="shared" ref="L350:AE350" si="126">IF(L$329&lt;=0,0,IF(L$349&lt;=0,L$346,MIN($F$5,IF(L$346-(L$348-L$329)/L$349&lt;=0,L$346/2,L$346-(L$348-L$329)/L$349))))</f>
        <v>0</v>
      </c>
      <c r="M350" s="140">
        <f t="shared" si="126"/>
        <v>0</v>
      </c>
      <c r="N350" s="140">
        <f t="shared" si="126"/>
        <v>0</v>
      </c>
      <c r="O350" s="140">
        <f t="shared" si="126"/>
        <v>0</v>
      </c>
      <c r="P350" s="140">
        <f t="shared" si="126"/>
        <v>0</v>
      </c>
      <c r="Q350" s="140">
        <f t="shared" si="126"/>
        <v>0</v>
      </c>
      <c r="R350" s="140">
        <f t="shared" si="126"/>
        <v>0</v>
      </c>
      <c r="S350" s="140">
        <f t="shared" si="126"/>
        <v>0</v>
      </c>
      <c r="T350" s="140">
        <f t="shared" si="126"/>
        <v>0</v>
      </c>
      <c r="U350" s="140">
        <f t="shared" si="126"/>
        <v>0</v>
      </c>
      <c r="V350" s="140">
        <f t="shared" si="126"/>
        <v>0</v>
      </c>
      <c r="W350" s="140">
        <f t="shared" si="126"/>
        <v>0</v>
      </c>
      <c r="X350" s="140">
        <f t="shared" si="126"/>
        <v>0</v>
      </c>
      <c r="Y350" s="140">
        <f t="shared" si="126"/>
        <v>0</v>
      </c>
      <c r="Z350" s="140">
        <f t="shared" si="126"/>
        <v>0</v>
      </c>
      <c r="AA350" s="140">
        <f t="shared" si="126"/>
        <v>0</v>
      </c>
      <c r="AB350" s="140">
        <f t="shared" si="126"/>
        <v>0</v>
      </c>
      <c r="AC350" s="140">
        <f t="shared" si="126"/>
        <v>0</v>
      </c>
      <c r="AD350" s="140">
        <f t="shared" si="126"/>
        <v>0</v>
      </c>
      <c r="AE350" s="140">
        <f t="shared" si="126"/>
        <v>0</v>
      </c>
      <c r="AF350" s="141"/>
      <c r="AG350" s="141"/>
      <c r="AH350" s="141"/>
      <c r="AI350" s="141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9"/>
      <c r="L351" s="142">
        <f t="shared" ref="L351:AE351" si="127">SUMPRODUCT(L$252:L$259*(1-EXP(-L$262:L$269*L$350)))+SUMPRODUCT(L$308:L$323*(1-EXP(-L$272:L$287*L$350)))</f>
        <v>0</v>
      </c>
      <c r="M351" s="142">
        <f t="shared" si="127"/>
        <v>0</v>
      </c>
      <c r="N351" s="142">
        <f t="shared" si="127"/>
        <v>0</v>
      </c>
      <c r="O351" s="142">
        <f t="shared" si="127"/>
        <v>0</v>
      </c>
      <c r="P351" s="142">
        <f t="shared" si="127"/>
        <v>0</v>
      </c>
      <c r="Q351" s="142">
        <f t="shared" si="127"/>
        <v>0</v>
      </c>
      <c r="R351" s="142">
        <f t="shared" si="127"/>
        <v>0</v>
      </c>
      <c r="S351" s="142">
        <f t="shared" si="127"/>
        <v>0</v>
      </c>
      <c r="T351" s="142">
        <f t="shared" si="127"/>
        <v>0</v>
      </c>
      <c r="U351" s="142">
        <f t="shared" si="127"/>
        <v>0</v>
      </c>
      <c r="V351" s="142">
        <f t="shared" si="127"/>
        <v>0</v>
      </c>
      <c r="W351" s="142">
        <f t="shared" si="127"/>
        <v>0</v>
      </c>
      <c r="X351" s="142">
        <f t="shared" si="127"/>
        <v>0</v>
      </c>
      <c r="Y351" s="142">
        <f t="shared" si="127"/>
        <v>0</v>
      </c>
      <c r="Z351" s="142">
        <f t="shared" si="127"/>
        <v>0</v>
      </c>
      <c r="AA351" s="142">
        <f t="shared" si="127"/>
        <v>0</v>
      </c>
      <c r="AB351" s="142">
        <f t="shared" si="127"/>
        <v>0</v>
      </c>
      <c r="AC351" s="142">
        <f t="shared" si="127"/>
        <v>0</v>
      </c>
      <c r="AD351" s="142">
        <f t="shared" si="127"/>
        <v>0</v>
      </c>
      <c r="AE351" s="142">
        <f t="shared" si="127"/>
        <v>0</v>
      </c>
      <c r="AF351" s="141"/>
      <c r="AG351" s="141"/>
      <c r="AH351" s="141"/>
      <c r="AI351" s="141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9"/>
      <c r="L352" s="140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0">
        <f t="shared" si="128"/>
        <v>0</v>
      </c>
      <c r="N352" s="140">
        <f t="shared" si="128"/>
        <v>0</v>
      </c>
      <c r="O352" s="140">
        <f t="shared" si="128"/>
        <v>0</v>
      </c>
      <c r="P352" s="140">
        <f t="shared" si="128"/>
        <v>0</v>
      </c>
      <c r="Q352" s="140">
        <f t="shared" si="128"/>
        <v>0</v>
      </c>
      <c r="R352" s="140">
        <f t="shared" si="128"/>
        <v>0</v>
      </c>
      <c r="S352" s="140">
        <f t="shared" si="128"/>
        <v>0</v>
      </c>
      <c r="T352" s="140">
        <f t="shared" si="128"/>
        <v>0</v>
      </c>
      <c r="U352" s="140">
        <f t="shared" si="128"/>
        <v>0</v>
      </c>
      <c r="V352" s="140">
        <f t="shared" si="128"/>
        <v>0</v>
      </c>
      <c r="W352" s="140">
        <f t="shared" si="128"/>
        <v>0</v>
      </c>
      <c r="X352" s="140">
        <f t="shared" si="128"/>
        <v>0</v>
      </c>
      <c r="Y352" s="140">
        <f t="shared" si="128"/>
        <v>0</v>
      </c>
      <c r="Z352" s="140">
        <f t="shared" si="128"/>
        <v>0</v>
      </c>
      <c r="AA352" s="140">
        <f t="shared" si="128"/>
        <v>0</v>
      </c>
      <c r="AB352" s="140">
        <f t="shared" si="128"/>
        <v>0</v>
      </c>
      <c r="AC352" s="140">
        <f t="shared" si="128"/>
        <v>0</v>
      </c>
      <c r="AD352" s="140">
        <f t="shared" si="128"/>
        <v>0</v>
      </c>
      <c r="AE352" s="140">
        <f t="shared" si="128"/>
        <v>0</v>
      </c>
      <c r="AF352" s="141"/>
      <c r="AG352" s="141"/>
      <c r="AH352" s="141"/>
      <c r="AI352" s="141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9"/>
      <c r="L353" s="142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2">
        <f t="shared" si="129"/>
        <v>0</v>
      </c>
      <c r="N353" s="142">
        <f t="shared" si="129"/>
        <v>0</v>
      </c>
      <c r="O353" s="142">
        <f t="shared" si="129"/>
        <v>0</v>
      </c>
      <c r="P353" s="142">
        <f t="shared" si="129"/>
        <v>0</v>
      </c>
      <c r="Q353" s="142">
        <f t="shared" si="129"/>
        <v>0</v>
      </c>
      <c r="R353" s="142">
        <f t="shared" si="129"/>
        <v>0</v>
      </c>
      <c r="S353" s="142">
        <f t="shared" si="129"/>
        <v>0</v>
      </c>
      <c r="T353" s="142">
        <f t="shared" si="129"/>
        <v>0</v>
      </c>
      <c r="U353" s="142">
        <f t="shared" si="129"/>
        <v>0</v>
      </c>
      <c r="V353" s="142">
        <f t="shared" si="129"/>
        <v>0</v>
      </c>
      <c r="W353" s="142">
        <f t="shared" si="129"/>
        <v>0</v>
      </c>
      <c r="X353" s="142">
        <f t="shared" si="129"/>
        <v>0</v>
      </c>
      <c r="Y353" s="142">
        <f t="shared" si="129"/>
        <v>0</v>
      </c>
      <c r="Z353" s="142">
        <f t="shared" si="129"/>
        <v>0</v>
      </c>
      <c r="AA353" s="142">
        <f t="shared" si="129"/>
        <v>0</v>
      </c>
      <c r="AB353" s="142">
        <f t="shared" si="129"/>
        <v>0</v>
      </c>
      <c r="AC353" s="142">
        <f t="shared" si="129"/>
        <v>0</v>
      </c>
      <c r="AD353" s="142">
        <f t="shared" si="129"/>
        <v>0</v>
      </c>
      <c r="AE353" s="142">
        <f t="shared" si="129"/>
        <v>0</v>
      </c>
      <c r="AF353" s="141"/>
      <c r="AG353" s="141"/>
      <c r="AH353" s="141"/>
      <c r="AI353" s="141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9"/>
      <c r="L354" s="140">
        <f t="shared" ref="L354:AE354" si="130">IF(L$329&lt;=0,0,IF(L$353&lt;=0,L$350,MIN($F$5,IF(L$350-(L$352-L$329)/L$353&lt;=0,L$350/2,L$350-(L$352-L$329)/L$353))))</f>
        <v>0</v>
      </c>
      <c r="M354" s="140">
        <f t="shared" si="130"/>
        <v>0</v>
      </c>
      <c r="N354" s="140">
        <f t="shared" si="130"/>
        <v>0</v>
      </c>
      <c r="O354" s="140">
        <f t="shared" si="130"/>
        <v>0</v>
      </c>
      <c r="P354" s="140">
        <f t="shared" si="130"/>
        <v>0</v>
      </c>
      <c r="Q354" s="140">
        <f t="shared" si="130"/>
        <v>0</v>
      </c>
      <c r="R354" s="140">
        <f t="shared" si="130"/>
        <v>0</v>
      </c>
      <c r="S354" s="140">
        <f t="shared" si="130"/>
        <v>0</v>
      </c>
      <c r="T354" s="140">
        <f t="shared" si="130"/>
        <v>0</v>
      </c>
      <c r="U354" s="140">
        <f t="shared" si="130"/>
        <v>0</v>
      </c>
      <c r="V354" s="140">
        <f t="shared" si="130"/>
        <v>0</v>
      </c>
      <c r="W354" s="140">
        <f t="shared" si="130"/>
        <v>0</v>
      </c>
      <c r="X354" s="140">
        <f t="shared" si="130"/>
        <v>0</v>
      </c>
      <c r="Y354" s="140">
        <f t="shared" si="130"/>
        <v>0</v>
      </c>
      <c r="Z354" s="140">
        <f t="shared" si="130"/>
        <v>0</v>
      </c>
      <c r="AA354" s="140">
        <f t="shared" si="130"/>
        <v>0</v>
      </c>
      <c r="AB354" s="140">
        <f t="shared" si="130"/>
        <v>0</v>
      </c>
      <c r="AC354" s="140">
        <f t="shared" si="130"/>
        <v>0</v>
      </c>
      <c r="AD354" s="140">
        <f t="shared" si="130"/>
        <v>0</v>
      </c>
      <c r="AE354" s="140">
        <f t="shared" si="130"/>
        <v>0</v>
      </c>
      <c r="AF354" s="141"/>
      <c r="AG354" s="141"/>
      <c r="AH354" s="141"/>
      <c r="AI354" s="141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9"/>
      <c r="L355" s="142">
        <f t="shared" ref="L355:AE355" si="131">SUMPRODUCT(L$252:L$259*(1-EXP(-L$262:L$269*L$354)))+SUMPRODUCT(L$308:L$323*(1-EXP(-L$272:L$287*L$354)))</f>
        <v>0</v>
      </c>
      <c r="M355" s="142">
        <f t="shared" si="131"/>
        <v>0</v>
      </c>
      <c r="N355" s="142">
        <f t="shared" si="131"/>
        <v>0</v>
      </c>
      <c r="O355" s="142">
        <f t="shared" si="131"/>
        <v>0</v>
      </c>
      <c r="P355" s="142">
        <f t="shared" si="131"/>
        <v>0</v>
      </c>
      <c r="Q355" s="142">
        <f t="shared" si="131"/>
        <v>0</v>
      </c>
      <c r="R355" s="142">
        <f t="shared" si="131"/>
        <v>0</v>
      </c>
      <c r="S355" s="142">
        <f t="shared" si="131"/>
        <v>0</v>
      </c>
      <c r="T355" s="142">
        <f t="shared" si="131"/>
        <v>0</v>
      </c>
      <c r="U355" s="142">
        <f t="shared" si="131"/>
        <v>0</v>
      </c>
      <c r="V355" s="142">
        <f t="shared" si="131"/>
        <v>0</v>
      </c>
      <c r="W355" s="142">
        <f t="shared" si="131"/>
        <v>0</v>
      </c>
      <c r="X355" s="142">
        <f t="shared" si="131"/>
        <v>0</v>
      </c>
      <c r="Y355" s="142">
        <f t="shared" si="131"/>
        <v>0</v>
      </c>
      <c r="Z355" s="142">
        <f t="shared" si="131"/>
        <v>0</v>
      </c>
      <c r="AA355" s="142">
        <f t="shared" si="131"/>
        <v>0</v>
      </c>
      <c r="AB355" s="142">
        <f t="shared" si="131"/>
        <v>0</v>
      </c>
      <c r="AC355" s="142">
        <f t="shared" si="131"/>
        <v>0</v>
      </c>
      <c r="AD355" s="142">
        <f t="shared" si="131"/>
        <v>0</v>
      </c>
      <c r="AE355" s="142">
        <f t="shared" si="131"/>
        <v>0</v>
      </c>
      <c r="AF355" s="141"/>
      <c r="AG355" s="141"/>
      <c r="AH355" s="141"/>
      <c r="AI355" s="141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9"/>
      <c r="L356" s="140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0">
        <f t="shared" si="132"/>
        <v>0</v>
      </c>
      <c r="N356" s="140">
        <f t="shared" si="132"/>
        <v>0</v>
      </c>
      <c r="O356" s="140">
        <f t="shared" si="132"/>
        <v>0</v>
      </c>
      <c r="P356" s="140">
        <f t="shared" si="132"/>
        <v>0</v>
      </c>
      <c r="Q356" s="140">
        <f t="shared" si="132"/>
        <v>0</v>
      </c>
      <c r="R356" s="140">
        <f t="shared" si="132"/>
        <v>0</v>
      </c>
      <c r="S356" s="140">
        <f t="shared" si="132"/>
        <v>0</v>
      </c>
      <c r="T356" s="140">
        <f t="shared" si="132"/>
        <v>0</v>
      </c>
      <c r="U356" s="140">
        <f t="shared" si="132"/>
        <v>0</v>
      </c>
      <c r="V356" s="140">
        <f t="shared" si="132"/>
        <v>0</v>
      </c>
      <c r="W356" s="140">
        <f t="shared" si="132"/>
        <v>0</v>
      </c>
      <c r="X356" s="140">
        <f t="shared" si="132"/>
        <v>0</v>
      </c>
      <c r="Y356" s="140">
        <f t="shared" si="132"/>
        <v>0</v>
      </c>
      <c r="Z356" s="140">
        <f t="shared" si="132"/>
        <v>0</v>
      </c>
      <c r="AA356" s="140">
        <f t="shared" si="132"/>
        <v>0</v>
      </c>
      <c r="AB356" s="140">
        <f t="shared" si="132"/>
        <v>0</v>
      </c>
      <c r="AC356" s="140">
        <f t="shared" si="132"/>
        <v>0</v>
      </c>
      <c r="AD356" s="140">
        <f t="shared" si="132"/>
        <v>0</v>
      </c>
      <c r="AE356" s="140">
        <f t="shared" si="132"/>
        <v>0</v>
      </c>
      <c r="AF356" s="141"/>
      <c r="AG356" s="141"/>
      <c r="AH356" s="141"/>
      <c r="AI356" s="141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9"/>
      <c r="L357" s="142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2">
        <f t="shared" si="133"/>
        <v>0</v>
      </c>
      <c r="N357" s="142">
        <f t="shared" si="133"/>
        <v>0</v>
      </c>
      <c r="O357" s="142">
        <f t="shared" si="133"/>
        <v>0</v>
      </c>
      <c r="P357" s="142">
        <f t="shared" si="133"/>
        <v>0</v>
      </c>
      <c r="Q357" s="142">
        <f t="shared" si="133"/>
        <v>0</v>
      </c>
      <c r="R357" s="142">
        <f t="shared" si="133"/>
        <v>0</v>
      </c>
      <c r="S357" s="142">
        <f t="shared" si="133"/>
        <v>0</v>
      </c>
      <c r="T357" s="142">
        <f t="shared" si="133"/>
        <v>0</v>
      </c>
      <c r="U357" s="142">
        <f t="shared" si="133"/>
        <v>0</v>
      </c>
      <c r="V357" s="142">
        <f t="shared" si="133"/>
        <v>0</v>
      </c>
      <c r="W357" s="142">
        <f t="shared" si="133"/>
        <v>0</v>
      </c>
      <c r="X357" s="142">
        <f t="shared" si="133"/>
        <v>0</v>
      </c>
      <c r="Y357" s="142">
        <f t="shared" si="133"/>
        <v>0</v>
      </c>
      <c r="Z357" s="142">
        <f t="shared" si="133"/>
        <v>0</v>
      </c>
      <c r="AA357" s="142">
        <f t="shared" si="133"/>
        <v>0</v>
      </c>
      <c r="AB357" s="142">
        <f t="shared" si="133"/>
        <v>0</v>
      </c>
      <c r="AC357" s="142">
        <f t="shared" si="133"/>
        <v>0</v>
      </c>
      <c r="AD357" s="142">
        <f t="shared" si="133"/>
        <v>0</v>
      </c>
      <c r="AE357" s="142">
        <f t="shared" si="133"/>
        <v>0</v>
      </c>
      <c r="AF357" s="141"/>
      <c r="AG357" s="141"/>
      <c r="AH357" s="141"/>
      <c r="AI357" s="141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9"/>
      <c r="L358" s="140">
        <f t="shared" ref="L358:AE358" si="134">IF(L$329&lt;=0,0,IF(L$357&lt;=0,L$354,MIN($F$5,IF(L$354-(L$356-L$329)/L$357&lt;=0,L$354/2,L$354-(L$356-L$329)/L$357))))</f>
        <v>0</v>
      </c>
      <c r="M358" s="140">
        <f t="shared" si="134"/>
        <v>0</v>
      </c>
      <c r="N358" s="140">
        <f t="shared" si="134"/>
        <v>0</v>
      </c>
      <c r="O358" s="140">
        <f t="shared" si="134"/>
        <v>0</v>
      </c>
      <c r="P358" s="140">
        <f t="shared" si="134"/>
        <v>0</v>
      </c>
      <c r="Q358" s="140">
        <f t="shared" si="134"/>
        <v>0</v>
      </c>
      <c r="R358" s="140">
        <f t="shared" si="134"/>
        <v>0</v>
      </c>
      <c r="S358" s="140">
        <f t="shared" si="134"/>
        <v>0</v>
      </c>
      <c r="T358" s="140">
        <f t="shared" si="134"/>
        <v>0</v>
      </c>
      <c r="U358" s="140">
        <f t="shared" si="134"/>
        <v>0</v>
      </c>
      <c r="V358" s="140">
        <f t="shared" si="134"/>
        <v>0</v>
      </c>
      <c r="W358" s="140">
        <f t="shared" si="134"/>
        <v>0</v>
      </c>
      <c r="X358" s="140">
        <f t="shared" si="134"/>
        <v>0</v>
      </c>
      <c r="Y358" s="140">
        <f t="shared" si="134"/>
        <v>0</v>
      </c>
      <c r="Z358" s="140">
        <f t="shared" si="134"/>
        <v>0</v>
      </c>
      <c r="AA358" s="140">
        <f t="shared" si="134"/>
        <v>0</v>
      </c>
      <c r="AB358" s="140">
        <f t="shared" si="134"/>
        <v>0</v>
      </c>
      <c r="AC358" s="140">
        <f t="shared" si="134"/>
        <v>0</v>
      </c>
      <c r="AD358" s="140">
        <f t="shared" si="134"/>
        <v>0</v>
      </c>
      <c r="AE358" s="140">
        <f t="shared" si="134"/>
        <v>0</v>
      </c>
      <c r="AF358" s="141"/>
      <c r="AG358" s="141"/>
      <c r="AH358" s="141"/>
      <c r="AI358" s="141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9"/>
      <c r="L359" s="142">
        <f t="shared" ref="L359:AE359" si="135">SUMPRODUCT(L$252:L$259*(1-EXP(-L$262:L$269*L$358)))+SUMPRODUCT(L$308:L$323*(1-EXP(-L$272:L$287*L$358)))</f>
        <v>0</v>
      </c>
      <c r="M359" s="142">
        <f t="shared" si="135"/>
        <v>0</v>
      </c>
      <c r="N359" s="142">
        <f t="shared" si="135"/>
        <v>0</v>
      </c>
      <c r="O359" s="142">
        <f t="shared" si="135"/>
        <v>0</v>
      </c>
      <c r="P359" s="142">
        <f t="shared" si="135"/>
        <v>0</v>
      </c>
      <c r="Q359" s="142">
        <f t="shared" si="135"/>
        <v>0</v>
      </c>
      <c r="R359" s="142">
        <f t="shared" si="135"/>
        <v>0</v>
      </c>
      <c r="S359" s="142">
        <f t="shared" si="135"/>
        <v>0</v>
      </c>
      <c r="T359" s="142">
        <f t="shared" si="135"/>
        <v>0</v>
      </c>
      <c r="U359" s="142">
        <f t="shared" si="135"/>
        <v>0</v>
      </c>
      <c r="V359" s="142">
        <f t="shared" si="135"/>
        <v>0</v>
      </c>
      <c r="W359" s="142">
        <f t="shared" si="135"/>
        <v>0</v>
      </c>
      <c r="X359" s="142">
        <f t="shared" si="135"/>
        <v>0</v>
      </c>
      <c r="Y359" s="142">
        <f t="shared" si="135"/>
        <v>0</v>
      </c>
      <c r="Z359" s="142">
        <f t="shared" si="135"/>
        <v>0</v>
      </c>
      <c r="AA359" s="142">
        <f t="shared" si="135"/>
        <v>0</v>
      </c>
      <c r="AB359" s="142">
        <f t="shared" si="135"/>
        <v>0</v>
      </c>
      <c r="AC359" s="142">
        <f t="shared" si="135"/>
        <v>0</v>
      </c>
      <c r="AD359" s="142">
        <f t="shared" si="135"/>
        <v>0</v>
      </c>
      <c r="AE359" s="142">
        <f t="shared" si="135"/>
        <v>0</v>
      </c>
      <c r="AF359" s="141"/>
      <c r="AG359" s="141"/>
      <c r="AH359" s="141"/>
      <c r="AI359" s="141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9"/>
      <c r="L360" s="140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0">
        <f t="shared" si="136"/>
        <v>0</v>
      </c>
      <c r="N360" s="140">
        <f t="shared" si="136"/>
        <v>0</v>
      </c>
      <c r="O360" s="140">
        <f t="shared" si="136"/>
        <v>0</v>
      </c>
      <c r="P360" s="140">
        <f t="shared" si="136"/>
        <v>0</v>
      </c>
      <c r="Q360" s="140">
        <f t="shared" si="136"/>
        <v>0</v>
      </c>
      <c r="R360" s="140">
        <f t="shared" si="136"/>
        <v>0</v>
      </c>
      <c r="S360" s="140">
        <f t="shared" si="136"/>
        <v>0</v>
      </c>
      <c r="T360" s="140">
        <f t="shared" si="136"/>
        <v>0</v>
      </c>
      <c r="U360" s="140">
        <f t="shared" si="136"/>
        <v>0</v>
      </c>
      <c r="V360" s="140">
        <f t="shared" si="136"/>
        <v>0</v>
      </c>
      <c r="W360" s="140">
        <f t="shared" si="136"/>
        <v>0</v>
      </c>
      <c r="X360" s="140">
        <f t="shared" si="136"/>
        <v>0</v>
      </c>
      <c r="Y360" s="140">
        <f t="shared" si="136"/>
        <v>0</v>
      </c>
      <c r="Z360" s="140">
        <f t="shared" si="136"/>
        <v>0</v>
      </c>
      <c r="AA360" s="140">
        <f t="shared" si="136"/>
        <v>0</v>
      </c>
      <c r="AB360" s="140">
        <f t="shared" si="136"/>
        <v>0</v>
      </c>
      <c r="AC360" s="140">
        <f t="shared" si="136"/>
        <v>0</v>
      </c>
      <c r="AD360" s="140">
        <f t="shared" si="136"/>
        <v>0</v>
      </c>
      <c r="AE360" s="140">
        <f t="shared" si="136"/>
        <v>0</v>
      </c>
      <c r="AF360" s="141"/>
      <c r="AG360" s="141"/>
      <c r="AH360" s="141"/>
      <c r="AI360" s="141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9"/>
      <c r="L361" s="142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2">
        <f t="shared" si="137"/>
        <v>0</v>
      </c>
      <c r="N361" s="142">
        <f t="shared" si="137"/>
        <v>0</v>
      </c>
      <c r="O361" s="142">
        <f t="shared" si="137"/>
        <v>0</v>
      </c>
      <c r="P361" s="142">
        <f t="shared" si="137"/>
        <v>0</v>
      </c>
      <c r="Q361" s="142">
        <f t="shared" si="137"/>
        <v>0</v>
      </c>
      <c r="R361" s="142">
        <f t="shared" si="137"/>
        <v>0</v>
      </c>
      <c r="S361" s="142">
        <f t="shared" si="137"/>
        <v>0</v>
      </c>
      <c r="T361" s="142">
        <f t="shared" si="137"/>
        <v>0</v>
      </c>
      <c r="U361" s="142">
        <f t="shared" si="137"/>
        <v>0</v>
      </c>
      <c r="V361" s="142">
        <f t="shared" si="137"/>
        <v>0</v>
      </c>
      <c r="W361" s="142">
        <f t="shared" si="137"/>
        <v>0</v>
      </c>
      <c r="X361" s="142">
        <f t="shared" si="137"/>
        <v>0</v>
      </c>
      <c r="Y361" s="142">
        <f t="shared" si="137"/>
        <v>0</v>
      </c>
      <c r="Z361" s="142">
        <f t="shared" si="137"/>
        <v>0</v>
      </c>
      <c r="AA361" s="142">
        <f t="shared" si="137"/>
        <v>0</v>
      </c>
      <c r="AB361" s="142">
        <f t="shared" si="137"/>
        <v>0</v>
      </c>
      <c r="AC361" s="142">
        <f t="shared" si="137"/>
        <v>0</v>
      </c>
      <c r="AD361" s="142">
        <f t="shared" si="137"/>
        <v>0</v>
      </c>
      <c r="AE361" s="142">
        <f t="shared" si="137"/>
        <v>0</v>
      </c>
      <c r="AF361" s="141"/>
      <c r="AG361" s="141"/>
      <c r="AH361" s="141"/>
      <c r="AI361" s="141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9"/>
      <c r="L362" s="140">
        <f t="shared" ref="L362:AE362" si="138">IF(L$329&lt;=0,0,IF(L$361&lt;=0,L$358,MIN($F$5,IF(L$358-(L$360-L$329)/L$361&lt;=0,L$358/2,L$358-(L$360-L$329)/L$361))))</f>
        <v>0</v>
      </c>
      <c r="M362" s="140">
        <f t="shared" si="138"/>
        <v>0</v>
      </c>
      <c r="N362" s="140">
        <f t="shared" si="138"/>
        <v>0</v>
      </c>
      <c r="O362" s="140">
        <f t="shared" si="138"/>
        <v>0</v>
      </c>
      <c r="P362" s="140">
        <f t="shared" si="138"/>
        <v>0</v>
      </c>
      <c r="Q362" s="140">
        <f t="shared" si="138"/>
        <v>0</v>
      </c>
      <c r="R362" s="140">
        <f t="shared" si="138"/>
        <v>0</v>
      </c>
      <c r="S362" s="140">
        <f t="shared" si="138"/>
        <v>0</v>
      </c>
      <c r="T362" s="140">
        <f t="shared" si="138"/>
        <v>0</v>
      </c>
      <c r="U362" s="140">
        <f t="shared" si="138"/>
        <v>0</v>
      </c>
      <c r="V362" s="140">
        <f t="shared" si="138"/>
        <v>0</v>
      </c>
      <c r="W362" s="140">
        <f t="shared" si="138"/>
        <v>0</v>
      </c>
      <c r="X362" s="140">
        <f t="shared" si="138"/>
        <v>0</v>
      </c>
      <c r="Y362" s="140">
        <f t="shared" si="138"/>
        <v>0</v>
      </c>
      <c r="Z362" s="140">
        <f t="shared" si="138"/>
        <v>0</v>
      </c>
      <c r="AA362" s="140">
        <f t="shared" si="138"/>
        <v>0</v>
      </c>
      <c r="AB362" s="140">
        <f t="shared" si="138"/>
        <v>0</v>
      </c>
      <c r="AC362" s="140">
        <f t="shared" si="138"/>
        <v>0</v>
      </c>
      <c r="AD362" s="140">
        <f t="shared" si="138"/>
        <v>0</v>
      </c>
      <c r="AE362" s="140">
        <f t="shared" si="138"/>
        <v>0</v>
      </c>
      <c r="AF362" s="141"/>
      <c r="AG362" s="141"/>
      <c r="AH362" s="141"/>
      <c r="AI362" s="141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9"/>
      <c r="L363" s="142">
        <f t="shared" ref="L363:AE363" si="139">SUMPRODUCT(L$252:L$259*(1-EXP(-L$262:L$269*L$362)))+SUMPRODUCT(L$308:L$323*(1-EXP(-L$272:L$287*L$362)))</f>
        <v>0</v>
      </c>
      <c r="M363" s="142">
        <f t="shared" si="139"/>
        <v>0</v>
      </c>
      <c r="N363" s="142">
        <f t="shared" si="139"/>
        <v>0</v>
      </c>
      <c r="O363" s="142">
        <f t="shared" si="139"/>
        <v>0</v>
      </c>
      <c r="P363" s="142">
        <f t="shared" si="139"/>
        <v>0</v>
      </c>
      <c r="Q363" s="142">
        <f t="shared" si="139"/>
        <v>0</v>
      </c>
      <c r="R363" s="142">
        <f t="shared" si="139"/>
        <v>0</v>
      </c>
      <c r="S363" s="142">
        <f t="shared" si="139"/>
        <v>0</v>
      </c>
      <c r="T363" s="142">
        <f t="shared" si="139"/>
        <v>0</v>
      </c>
      <c r="U363" s="142">
        <f t="shared" si="139"/>
        <v>0</v>
      </c>
      <c r="V363" s="142">
        <f t="shared" si="139"/>
        <v>0</v>
      </c>
      <c r="W363" s="142">
        <f t="shared" si="139"/>
        <v>0</v>
      </c>
      <c r="X363" s="142">
        <f t="shared" si="139"/>
        <v>0</v>
      </c>
      <c r="Y363" s="142">
        <f t="shared" si="139"/>
        <v>0</v>
      </c>
      <c r="Z363" s="142">
        <f t="shared" si="139"/>
        <v>0</v>
      </c>
      <c r="AA363" s="142">
        <f t="shared" si="139"/>
        <v>0</v>
      </c>
      <c r="AB363" s="142">
        <f t="shared" si="139"/>
        <v>0</v>
      </c>
      <c r="AC363" s="142">
        <f t="shared" si="139"/>
        <v>0</v>
      </c>
      <c r="AD363" s="142">
        <f t="shared" si="139"/>
        <v>0</v>
      </c>
      <c r="AE363" s="142">
        <f t="shared" si="139"/>
        <v>0</v>
      </c>
      <c r="AF363" s="141"/>
      <c r="AG363" s="141"/>
      <c r="AH363" s="141"/>
      <c r="AI363" s="141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9"/>
      <c r="L364" s="140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0">
        <f t="shared" si="140"/>
        <v>0</v>
      </c>
      <c r="N364" s="140">
        <f t="shared" si="140"/>
        <v>0</v>
      </c>
      <c r="O364" s="140">
        <f t="shared" si="140"/>
        <v>0</v>
      </c>
      <c r="P364" s="140">
        <f t="shared" si="140"/>
        <v>0</v>
      </c>
      <c r="Q364" s="140">
        <f t="shared" si="140"/>
        <v>0</v>
      </c>
      <c r="R364" s="140">
        <f t="shared" si="140"/>
        <v>0</v>
      </c>
      <c r="S364" s="140">
        <f t="shared" si="140"/>
        <v>0</v>
      </c>
      <c r="T364" s="140">
        <f t="shared" si="140"/>
        <v>0</v>
      </c>
      <c r="U364" s="140">
        <f t="shared" si="140"/>
        <v>0</v>
      </c>
      <c r="V364" s="140">
        <f t="shared" si="140"/>
        <v>0</v>
      </c>
      <c r="W364" s="140">
        <f t="shared" si="140"/>
        <v>0</v>
      </c>
      <c r="X364" s="140">
        <f t="shared" si="140"/>
        <v>0</v>
      </c>
      <c r="Y364" s="140">
        <f t="shared" si="140"/>
        <v>0</v>
      </c>
      <c r="Z364" s="140">
        <f t="shared" si="140"/>
        <v>0</v>
      </c>
      <c r="AA364" s="140">
        <f t="shared" si="140"/>
        <v>0</v>
      </c>
      <c r="AB364" s="140">
        <f t="shared" si="140"/>
        <v>0</v>
      </c>
      <c r="AC364" s="140">
        <f t="shared" si="140"/>
        <v>0</v>
      </c>
      <c r="AD364" s="140">
        <f t="shared" si="140"/>
        <v>0</v>
      </c>
      <c r="AE364" s="140">
        <f t="shared" si="140"/>
        <v>0</v>
      </c>
      <c r="AF364" s="141"/>
      <c r="AG364" s="141"/>
      <c r="AH364" s="141"/>
      <c r="AI364" s="141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9"/>
      <c r="L365" s="142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2">
        <f t="shared" si="141"/>
        <v>0</v>
      </c>
      <c r="N365" s="142">
        <f t="shared" si="141"/>
        <v>0</v>
      </c>
      <c r="O365" s="142">
        <f t="shared" si="141"/>
        <v>0</v>
      </c>
      <c r="P365" s="142">
        <f t="shared" si="141"/>
        <v>0</v>
      </c>
      <c r="Q365" s="142">
        <f t="shared" si="141"/>
        <v>0</v>
      </c>
      <c r="R365" s="142">
        <f t="shared" si="141"/>
        <v>0</v>
      </c>
      <c r="S365" s="142">
        <f t="shared" si="141"/>
        <v>0</v>
      </c>
      <c r="T365" s="142">
        <f t="shared" si="141"/>
        <v>0</v>
      </c>
      <c r="U365" s="142">
        <f t="shared" si="141"/>
        <v>0</v>
      </c>
      <c r="V365" s="142">
        <f t="shared" si="141"/>
        <v>0</v>
      </c>
      <c r="W365" s="142">
        <f t="shared" si="141"/>
        <v>0</v>
      </c>
      <c r="X365" s="142">
        <f t="shared" si="141"/>
        <v>0</v>
      </c>
      <c r="Y365" s="142">
        <f t="shared" si="141"/>
        <v>0</v>
      </c>
      <c r="Z365" s="142">
        <f t="shared" si="141"/>
        <v>0</v>
      </c>
      <c r="AA365" s="142">
        <f t="shared" si="141"/>
        <v>0</v>
      </c>
      <c r="AB365" s="142">
        <f t="shared" si="141"/>
        <v>0</v>
      </c>
      <c r="AC365" s="142">
        <f t="shared" si="141"/>
        <v>0</v>
      </c>
      <c r="AD365" s="142">
        <f t="shared" si="141"/>
        <v>0</v>
      </c>
      <c r="AE365" s="142">
        <f t="shared" si="141"/>
        <v>0</v>
      </c>
      <c r="AF365" s="141"/>
      <c r="AG365" s="141"/>
      <c r="AH365" s="141"/>
      <c r="AI365" s="141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9"/>
      <c r="L366" s="140">
        <f t="shared" ref="L366:AE366" si="142">IF(L$329&lt;=0,0,IF(L$365&lt;=0,L$362,MIN($F$5,IF(L$362-(L$364-L$329)/L$365&lt;=0,L$362/2,L$362-(L$364-L$329)/L$365))))</f>
        <v>0</v>
      </c>
      <c r="M366" s="140">
        <f t="shared" si="142"/>
        <v>0</v>
      </c>
      <c r="N366" s="140">
        <f t="shared" si="142"/>
        <v>0</v>
      </c>
      <c r="O366" s="140">
        <f t="shared" si="142"/>
        <v>0</v>
      </c>
      <c r="P366" s="140">
        <f t="shared" si="142"/>
        <v>0</v>
      </c>
      <c r="Q366" s="140">
        <f t="shared" si="142"/>
        <v>0</v>
      </c>
      <c r="R366" s="140">
        <f t="shared" si="142"/>
        <v>0</v>
      </c>
      <c r="S366" s="140">
        <f t="shared" si="142"/>
        <v>0</v>
      </c>
      <c r="T366" s="140">
        <f t="shared" si="142"/>
        <v>0</v>
      </c>
      <c r="U366" s="140">
        <f t="shared" si="142"/>
        <v>0</v>
      </c>
      <c r="V366" s="140">
        <f t="shared" si="142"/>
        <v>0</v>
      </c>
      <c r="W366" s="140">
        <f t="shared" si="142"/>
        <v>0</v>
      </c>
      <c r="X366" s="140">
        <f t="shared" si="142"/>
        <v>0</v>
      </c>
      <c r="Y366" s="140">
        <f t="shared" si="142"/>
        <v>0</v>
      </c>
      <c r="Z366" s="140">
        <f t="shared" si="142"/>
        <v>0</v>
      </c>
      <c r="AA366" s="140">
        <f t="shared" si="142"/>
        <v>0</v>
      </c>
      <c r="AB366" s="140">
        <f t="shared" si="142"/>
        <v>0</v>
      </c>
      <c r="AC366" s="140">
        <f t="shared" si="142"/>
        <v>0</v>
      </c>
      <c r="AD366" s="140">
        <f t="shared" si="142"/>
        <v>0</v>
      </c>
      <c r="AE366" s="140">
        <f t="shared" si="142"/>
        <v>0</v>
      </c>
      <c r="AF366" s="141"/>
      <c r="AG366" s="141"/>
      <c r="AH366" s="141"/>
      <c r="AI366" s="141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9"/>
      <c r="L367" s="142">
        <f t="shared" ref="L367:AE367" si="143">SUMPRODUCT(L$252:L$259*(1-EXP(-L$262:L$269*L$366)))+SUMPRODUCT(L$308:L$323*(1-EXP(-L$272:L$287*L$366)))</f>
        <v>0</v>
      </c>
      <c r="M367" s="142">
        <f t="shared" si="143"/>
        <v>0</v>
      </c>
      <c r="N367" s="142">
        <f t="shared" si="143"/>
        <v>0</v>
      </c>
      <c r="O367" s="142">
        <f t="shared" si="143"/>
        <v>0</v>
      </c>
      <c r="P367" s="142">
        <f t="shared" si="143"/>
        <v>0</v>
      </c>
      <c r="Q367" s="142">
        <f t="shared" si="143"/>
        <v>0</v>
      </c>
      <c r="R367" s="142">
        <f t="shared" si="143"/>
        <v>0</v>
      </c>
      <c r="S367" s="142">
        <f t="shared" si="143"/>
        <v>0</v>
      </c>
      <c r="T367" s="142">
        <f t="shared" si="143"/>
        <v>0</v>
      </c>
      <c r="U367" s="142">
        <f t="shared" si="143"/>
        <v>0</v>
      </c>
      <c r="V367" s="142">
        <f t="shared" si="143"/>
        <v>0</v>
      </c>
      <c r="W367" s="142">
        <f t="shared" si="143"/>
        <v>0</v>
      </c>
      <c r="X367" s="142">
        <f t="shared" si="143"/>
        <v>0</v>
      </c>
      <c r="Y367" s="142">
        <f t="shared" si="143"/>
        <v>0</v>
      </c>
      <c r="Z367" s="142">
        <f t="shared" si="143"/>
        <v>0</v>
      </c>
      <c r="AA367" s="142">
        <f t="shared" si="143"/>
        <v>0</v>
      </c>
      <c r="AB367" s="142">
        <f t="shared" si="143"/>
        <v>0</v>
      </c>
      <c r="AC367" s="142">
        <f t="shared" si="143"/>
        <v>0</v>
      </c>
      <c r="AD367" s="142">
        <f t="shared" si="143"/>
        <v>0</v>
      </c>
      <c r="AE367" s="142">
        <f t="shared" si="143"/>
        <v>0</v>
      </c>
      <c r="AF367" s="141"/>
      <c r="AG367" s="141"/>
      <c r="AH367" s="141"/>
      <c r="AI367" s="141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9"/>
      <c r="L368" s="140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0">
        <f t="shared" si="144"/>
        <v>0</v>
      </c>
      <c r="N368" s="140">
        <f t="shared" si="144"/>
        <v>0</v>
      </c>
      <c r="O368" s="140">
        <f t="shared" si="144"/>
        <v>0</v>
      </c>
      <c r="P368" s="140">
        <f t="shared" si="144"/>
        <v>0</v>
      </c>
      <c r="Q368" s="140">
        <f t="shared" si="144"/>
        <v>0</v>
      </c>
      <c r="R368" s="140">
        <f t="shared" si="144"/>
        <v>0</v>
      </c>
      <c r="S368" s="140">
        <f t="shared" si="144"/>
        <v>0</v>
      </c>
      <c r="T368" s="140">
        <f t="shared" si="144"/>
        <v>0</v>
      </c>
      <c r="U368" s="140">
        <f t="shared" si="144"/>
        <v>0</v>
      </c>
      <c r="V368" s="140">
        <f t="shared" si="144"/>
        <v>0</v>
      </c>
      <c r="W368" s="140">
        <f t="shared" si="144"/>
        <v>0</v>
      </c>
      <c r="X368" s="140">
        <f t="shared" si="144"/>
        <v>0</v>
      </c>
      <c r="Y368" s="140">
        <f t="shared" si="144"/>
        <v>0</v>
      </c>
      <c r="Z368" s="140">
        <f t="shared" si="144"/>
        <v>0</v>
      </c>
      <c r="AA368" s="140">
        <f t="shared" si="144"/>
        <v>0</v>
      </c>
      <c r="AB368" s="140">
        <f t="shared" si="144"/>
        <v>0</v>
      </c>
      <c r="AC368" s="140">
        <f t="shared" si="144"/>
        <v>0</v>
      </c>
      <c r="AD368" s="140">
        <f t="shared" si="144"/>
        <v>0</v>
      </c>
      <c r="AE368" s="140">
        <f t="shared" si="144"/>
        <v>0</v>
      </c>
      <c r="AF368" s="141"/>
      <c r="AG368" s="141"/>
      <c r="AH368" s="141"/>
      <c r="AI368" s="141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9"/>
      <c r="L369" s="142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2">
        <f t="shared" si="145"/>
        <v>0</v>
      </c>
      <c r="N369" s="142">
        <f t="shared" si="145"/>
        <v>0</v>
      </c>
      <c r="O369" s="142">
        <f t="shared" si="145"/>
        <v>0</v>
      </c>
      <c r="P369" s="142">
        <f t="shared" si="145"/>
        <v>0</v>
      </c>
      <c r="Q369" s="142">
        <f t="shared" si="145"/>
        <v>0</v>
      </c>
      <c r="R369" s="142">
        <f t="shared" si="145"/>
        <v>0</v>
      </c>
      <c r="S369" s="142">
        <f t="shared" si="145"/>
        <v>0</v>
      </c>
      <c r="T369" s="142">
        <f t="shared" si="145"/>
        <v>0</v>
      </c>
      <c r="U369" s="142">
        <f t="shared" si="145"/>
        <v>0</v>
      </c>
      <c r="V369" s="142">
        <f t="shared" si="145"/>
        <v>0</v>
      </c>
      <c r="W369" s="142">
        <f t="shared" si="145"/>
        <v>0</v>
      </c>
      <c r="X369" s="142">
        <f t="shared" si="145"/>
        <v>0</v>
      </c>
      <c r="Y369" s="142">
        <f t="shared" si="145"/>
        <v>0</v>
      </c>
      <c r="Z369" s="142">
        <f t="shared" si="145"/>
        <v>0</v>
      </c>
      <c r="AA369" s="142">
        <f t="shared" si="145"/>
        <v>0</v>
      </c>
      <c r="AB369" s="142">
        <f t="shared" si="145"/>
        <v>0</v>
      </c>
      <c r="AC369" s="142">
        <f t="shared" si="145"/>
        <v>0</v>
      </c>
      <c r="AD369" s="142">
        <f t="shared" si="145"/>
        <v>0</v>
      </c>
      <c r="AE369" s="142">
        <f t="shared" si="145"/>
        <v>0</v>
      </c>
      <c r="AF369" s="141"/>
      <c r="AG369" s="141"/>
      <c r="AH369" s="141"/>
      <c r="AI369" s="141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9"/>
      <c r="L370" s="140">
        <f t="shared" ref="L370:AE370" si="146">IF(L$329&lt;=0,0,IF(L$369&lt;=0,L$366,MIN($F$5,IF(L$366-(L$368-L$329)/L$369&lt;=0,L$366/2,L$366-(L$368-L$329)/L$369))))</f>
        <v>0</v>
      </c>
      <c r="M370" s="140">
        <f t="shared" si="146"/>
        <v>0</v>
      </c>
      <c r="N370" s="140">
        <f t="shared" si="146"/>
        <v>0</v>
      </c>
      <c r="O370" s="140">
        <f t="shared" si="146"/>
        <v>0</v>
      </c>
      <c r="P370" s="140">
        <f t="shared" si="146"/>
        <v>0</v>
      </c>
      <c r="Q370" s="140">
        <f t="shared" si="146"/>
        <v>0</v>
      </c>
      <c r="R370" s="140">
        <f t="shared" si="146"/>
        <v>0</v>
      </c>
      <c r="S370" s="140">
        <f t="shared" si="146"/>
        <v>0</v>
      </c>
      <c r="T370" s="140">
        <f t="shared" si="146"/>
        <v>0</v>
      </c>
      <c r="U370" s="140">
        <f t="shared" si="146"/>
        <v>0</v>
      </c>
      <c r="V370" s="140">
        <f t="shared" si="146"/>
        <v>0</v>
      </c>
      <c r="W370" s="140">
        <f t="shared" si="146"/>
        <v>0</v>
      </c>
      <c r="X370" s="140">
        <f t="shared" si="146"/>
        <v>0</v>
      </c>
      <c r="Y370" s="140">
        <f t="shared" si="146"/>
        <v>0</v>
      </c>
      <c r="Z370" s="140">
        <f t="shared" si="146"/>
        <v>0</v>
      </c>
      <c r="AA370" s="140">
        <f t="shared" si="146"/>
        <v>0</v>
      </c>
      <c r="AB370" s="140">
        <f t="shared" si="146"/>
        <v>0</v>
      </c>
      <c r="AC370" s="140">
        <f t="shared" si="146"/>
        <v>0</v>
      </c>
      <c r="AD370" s="140">
        <f t="shared" si="146"/>
        <v>0</v>
      </c>
      <c r="AE370" s="140">
        <f t="shared" si="146"/>
        <v>0</v>
      </c>
      <c r="AF370" s="141"/>
      <c r="AG370" s="141"/>
      <c r="AH370" s="141"/>
      <c r="AI370" s="141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9"/>
      <c r="L371" s="142">
        <f t="shared" ref="L371:AE371" si="147">SUMPRODUCT(L$252:L$259*(1-EXP(-L$262:L$269*L$370)))+SUMPRODUCT(L$308:L$323*(1-EXP(-L$272:L$287*L$370)))</f>
        <v>0</v>
      </c>
      <c r="M371" s="142">
        <f t="shared" si="147"/>
        <v>0</v>
      </c>
      <c r="N371" s="142">
        <f t="shared" si="147"/>
        <v>0</v>
      </c>
      <c r="O371" s="142">
        <f t="shared" si="147"/>
        <v>0</v>
      </c>
      <c r="P371" s="142">
        <f t="shared" si="147"/>
        <v>0</v>
      </c>
      <c r="Q371" s="142">
        <f t="shared" si="147"/>
        <v>0</v>
      </c>
      <c r="R371" s="142">
        <f t="shared" si="147"/>
        <v>0</v>
      </c>
      <c r="S371" s="142">
        <f t="shared" si="147"/>
        <v>0</v>
      </c>
      <c r="T371" s="142">
        <f t="shared" si="147"/>
        <v>0</v>
      </c>
      <c r="U371" s="142">
        <f t="shared" si="147"/>
        <v>0</v>
      </c>
      <c r="V371" s="142">
        <f t="shared" si="147"/>
        <v>0</v>
      </c>
      <c r="W371" s="142">
        <f t="shared" si="147"/>
        <v>0</v>
      </c>
      <c r="X371" s="142">
        <f t="shared" si="147"/>
        <v>0</v>
      </c>
      <c r="Y371" s="142">
        <f t="shared" si="147"/>
        <v>0</v>
      </c>
      <c r="Z371" s="142">
        <f t="shared" si="147"/>
        <v>0</v>
      </c>
      <c r="AA371" s="142">
        <f t="shared" si="147"/>
        <v>0</v>
      </c>
      <c r="AB371" s="142">
        <f t="shared" si="147"/>
        <v>0</v>
      </c>
      <c r="AC371" s="142">
        <f t="shared" si="147"/>
        <v>0</v>
      </c>
      <c r="AD371" s="142">
        <f t="shared" si="147"/>
        <v>0</v>
      </c>
      <c r="AE371" s="142">
        <f t="shared" si="147"/>
        <v>0</v>
      </c>
      <c r="AF371" s="141"/>
      <c r="AG371" s="141"/>
      <c r="AH371" s="141"/>
      <c r="AI371" s="141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9"/>
      <c r="L372" s="140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0">
        <f t="shared" si="148"/>
        <v>0</v>
      </c>
      <c r="N372" s="140">
        <f t="shared" si="148"/>
        <v>0</v>
      </c>
      <c r="O372" s="140">
        <f t="shared" si="148"/>
        <v>0</v>
      </c>
      <c r="P372" s="140">
        <f t="shared" si="148"/>
        <v>0</v>
      </c>
      <c r="Q372" s="140">
        <f t="shared" si="148"/>
        <v>0</v>
      </c>
      <c r="R372" s="140">
        <f t="shared" si="148"/>
        <v>0</v>
      </c>
      <c r="S372" s="140">
        <f t="shared" si="148"/>
        <v>0</v>
      </c>
      <c r="T372" s="140">
        <f t="shared" si="148"/>
        <v>0</v>
      </c>
      <c r="U372" s="140">
        <f t="shared" si="148"/>
        <v>0</v>
      </c>
      <c r="V372" s="140">
        <f t="shared" si="148"/>
        <v>0</v>
      </c>
      <c r="W372" s="140">
        <f t="shared" si="148"/>
        <v>0</v>
      </c>
      <c r="X372" s="140">
        <f t="shared" si="148"/>
        <v>0</v>
      </c>
      <c r="Y372" s="140">
        <f t="shared" si="148"/>
        <v>0</v>
      </c>
      <c r="Z372" s="140">
        <f t="shared" si="148"/>
        <v>0</v>
      </c>
      <c r="AA372" s="140">
        <f t="shared" si="148"/>
        <v>0</v>
      </c>
      <c r="AB372" s="140">
        <f t="shared" si="148"/>
        <v>0</v>
      </c>
      <c r="AC372" s="140">
        <f t="shared" si="148"/>
        <v>0</v>
      </c>
      <c r="AD372" s="140">
        <f t="shared" si="148"/>
        <v>0</v>
      </c>
      <c r="AE372" s="140">
        <f t="shared" si="148"/>
        <v>0</v>
      </c>
      <c r="AF372" s="141"/>
      <c r="AG372" s="141"/>
      <c r="AH372" s="141"/>
      <c r="AI372" s="141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9"/>
      <c r="L373" s="142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2">
        <f t="shared" si="149"/>
        <v>0</v>
      </c>
      <c r="N373" s="142">
        <f t="shared" si="149"/>
        <v>0</v>
      </c>
      <c r="O373" s="142">
        <f t="shared" si="149"/>
        <v>0</v>
      </c>
      <c r="P373" s="142">
        <f t="shared" si="149"/>
        <v>0</v>
      </c>
      <c r="Q373" s="142">
        <f t="shared" si="149"/>
        <v>0</v>
      </c>
      <c r="R373" s="142">
        <f t="shared" si="149"/>
        <v>0</v>
      </c>
      <c r="S373" s="142">
        <f t="shared" si="149"/>
        <v>0</v>
      </c>
      <c r="T373" s="142">
        <f t="shared" si="149"/>
        <v>0</v>
      </c>
      <c r="U373" s="142">
        <f t="shared" si="149"/>
        <v>0</v>
      </c>
      <c r="V373" s="142">
        <f t="shared" si="149"/>
        <v>0</v>
      </c>
      <c r="W373" s="142">
        <f t="shared" si="149"/>
        <v>0</v>
      </c>
      <c r="X373" s="142">
        <f t="shared" si="149"/>
        <v>0</v>
      </c>
      <c r="Y373" s="142">
        <f t="shared" si="149"/>
        <v>0</v>
      </c>
      <c r="Z373" s="142">
        <f t="shared" si="149"/>
        <v>0</v>
      </c>
      <c r="AA373" s="142">
        <f t="shared" si="149"/>
        <v>0</v>
      </c>
      <c r="AB373" s="142">
        <f t="shared" si="149"/>
        <v>0</v>
      </c>
      <c r="AC373" s="142">
        <f t="shared" si="149"/>
        <v>0</v>
      </c>
      <c r="AD373" s="142">
        <f t="shared" si="149"/>
        <v>0</v>
      </c>
      <c r="AE373" s="142">
        <f t="shared" si="149"/>
        <v>0</v>
      </c>
      <c r="AF373" s="141"/>
      <c r="AG373" s="141"/>
      <c r="AH373" s="141"/>
      <c r="AI373" s="141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9"/>
      <c r="L374" s="140">
        <f t="shared" ref="L374:AE374" si="150">IF(L$329&lt;=0,0,IF(L$373&lt;=0,L$370,MIN($F$5,IF(L$370-(L$372-L$329)/L$373&lt;=0,L$370/2,L$370-(L$372-L$329)/L$373))))</f>
        <v>0</v>
      </c>
      <c r="M374" s="140">
        <f t="shared" si="150"/>
        <v>0</v>
      </c>
      <c r="N374" s="140">
        <f t="shared" si="150"/>
        <v>0</v>
      </c>
      <c r="O374" s="140">
        <f t="shared" si="150"/>
        <v>0</v>
      </c>
      <c r="P374" s="140">
        <f t="shared" si="150"/>
        <v>0</v>
      </c>
      <c r="Q374" s="140">
        <f t="shared" si="150"/>
        <v>0</v>
      </c>
      <c r="R374" s="140">
        <f t="shared" si="150"/>
        <v>0</v>
      </c>
      <c r="S374" s="140">
        <f t="shared" si="150"/>
        <v>0</v>
      </c>
      <c r="T374" s="140">
        <f t="shared" si="150"/>
        <v>0</v>
      </c>
      <c r="U374" s="140">
        <f t="shared" si="150"/>
        <v>0</v>
      </c>
      <c r="V374" s="140">
        <f t="shared" si="150"/>
        <v>0</v>
      </c>
      <c r="W374" s="140">
        <f t="shared" si="150"/>
        <v>0</v>
      </c>
      <c r="X374" s="140">
        <f t="shared" si="150"/>
        <v>0</v>
      </c>
      <c r="Y374" s="140">
        <f t="shared" si="150"/>
        <v>0</v>
      </c>
      <c r="Z374" s="140">
        <f t="shared" si="150"/>
        <v>0</v>
      </c>
      <c r="AA374" s="140">
        <f t="shared" si="150"/>
        <v>0</v>
      </c>
      <c r="AB374" s="140">
        <f t="shared" si="150"/>
        <v>0</v>
      </c>
      <c r="AC374" s="140">
        <f t="shared" si="150"/>
        <v>0</v>
      </c>
      <c r="AD374" s="140">
        <f t="shared" si="150"/>
        <v>0</v>
      </c>
      <c r="AE374" s="140">
        <f t="shared" si="150"/>
        <v>0</v>
      </c>
      <c r="AF374" s="141"/>
      <c r="AG374" s="141"/>
      <c r="AH374" s="141"/>
      <c r="AI374" s="141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9"/>
      <c r="L375" s="142">
        <f t="shared" ref="L375:AE375" si="151">SUMPRODUCT(L$252:L$259*(1-EXP(-L$262:L$269*L$374)))+SUMPRODUCT(L$308:L$323*(1-EXP(-L$272:L$287*L$374)))</f>
        <v>0</v>
      </c>
      <c r="M375" s="142">
        <f t="shared" si="151"/>
        <v>0</v>
      </c>
      <c r="N375" s="142">
        <f t="shared" si="151"/>
        <v>0</v>
      </c>
      <c r="O375" s="142">
        <f t="shared" si="151"/>
        <v>0</v>
      </c>
      <c r="P375" s="142">
        <f t="shared" si="151"/>
        <v>0</v>
      </c>
      <c r="Q375" s="142">
        <f t="shared" si="151"/>
        <v>0</v>
      </c>
      <c r="R375" s="142">
        <f t="shared" si="151"/>
        <v>0</v>
      </c>
      <c r="S375" s="142">
        <f t="shared" si="151"/>
        <v>0</v>
      </c>
      <c r="T375" s="142">
        <f t="shared" si="151"/>
        <v>0</v>
      </c>
      <c r="U375" s="142">
        <f t="shared" si="151"/>
        <v>0</v>
      </c>
      <c r="V375" s="142">
        <f t="shared" si="151"/>
        <v>0</v>
      </c>
      <c r="W375" s="142">
        <f t="shared" si="151"/>
        <v>0</v>
      </c>
      <c r="X375" s="142">
        <f t="shared" si="151"/>
        <v>0</v>
      </c>
      <c r="Y375" s="142">
        <f t="shared" si="151"/>
        <v>0</v>
      </c>
      <c r="Z375" s="142">
        <f t="shared" si="151"/>
        <v>0</v>
      </c>
      <c r="AA375" s="142">
        <f t="shared" si="151"/>
        <v>0</v>
      </c>
      <c r="AB375" s="142">
        <f t="shared" si="151"/>
        <v>0</v>
      </c>
      <c r="AC375" s="142">
        <f t="shared" si="151"/>
        <v>0</v>
      </c>
      <c r="AD375" s="142">
        <f t="shared" si="151"/>
        <v>0</v>
      </c>
      <c r="AE375" s="142">
        <f t="shared" si="151"/>
        <v>0</v>
      </c>
      <c r="AF375" s="141"/>
      <c r="AG375" s="141"/>
      <c r="AH375" s="141"/>
      <c r="AI375" s="141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9"/>
      <c r="L376" s="140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0">
        <f t="shared" si="152"/>
        <v>0</v>
      </c>
      <c r="N376" s="140">
        <f t="shared" si="152"/>
        <v>0</v>
      </c>
      <c r="O376" s="140">
        <f t="shared" si="152"/>
        <v>0</v>
      </c>
      <c r="P376" s="140">
        <f t="shared" si="152"/>
        <v>0</v>
      </c>
      <c r="Q376" s="140">
        <f t="shared" si="152"/>
        <v>0</v>
      </c>
      <c r="R376" s="140">
        <f t="shared" si="152"/>
        <v>0</v>
      </c>
      <c r="S376" s="140">
        <f t="shared" si="152"/>
        <v>0</v>
      </c>
      <c r="T376" s="140">
        <f t="shared" si="152"/>
        <v>0</v>
      </c>
      <c r="U376" s="140">
        <f t="shared" si="152"/>
        <v>0</v>
      </c>
      <c r="V376" s="140">
        <f t="shared" si="152"/>
        <v>0</v>
      </c>
      <c r="W376" s="140">
        <f t="shared" si="152"/>
        <v>0</v>
      </c>
      <c r="X376" s="140">
        <f t="shared" si="152"/>
        <v>0</v>
      </c>
      <c r="Y376" s="140">
        <f t="shared" si="152"/>
        <v>0</v>
      </c>
      <c r="Z376" s="140">
        <f t="shared" si="152"/>
        <v>0</v>
      </c>
      <c r="AA376" s="140">
        <f t="shared" si="152"/>
        <v>0</v>
      </c>
      <c r="AB376" s="140">
        <f t="shared" si="152"/>
        <v>0</v>
      </c>
      <c r="AC376" s="140">
        <f t="shared" si="152"/>
        <v>0</v>
      </c>
      <c r="AD376" s="140">
        <f t="shared" si="152"/>
        <v>0</v>
      </c>
      <c r="AE376" s="140">
        <f t="shared" si="152"/>
        <v>0</v>
      </c>
      <c r="AF376" s="141"/>
      <c r="AG376" s="141"/>
      <c r="AH376" s="141"/>
      <c r="AI376" s="141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9"/>
      <c r="L377" s="142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2">
        <f t="shared" si="153"/>
        <v>0</v>
      </c>
      <c r="N377" s="142">
        <f t="shared" si="153"/>
        <v>0</v>
      </c>
      <c r="O377" s="142">
        <f t="shared" si="153"/>
        <v>0</v>
      </c>
      <c r="P377" s="142">
        <f t="shared" si="153"/>
        <v>0</v>
      </c>
      <c r="Q377" s="142">
        <f t="shared" si="153"/>
        <v>0</v>
      </c>
      <c r="R377" s="142">
        <f t="shared" si="153"/>
        <v>0</v>
      </c>
      <c r="S377" s="142">
        <f t="shared" si="153"/>
        <v>0</v>
      </c>
      <c r="T377" s="142">
        <f t="shared" si="153"/>
        <v>0</v>
      </c>
      <c r="U377" s="142">
        <f t="shared" si="153"/>
        <v>0</v>
      </c>
      <c r="V377" s="142">
        <f t="shared" si="153"/>
        <v>0</v>
      </c>
      <c r="W377" s="142">
        <f t="shared" si="153"/>
        <v>0</v>
      </c>
      <c r="X377" s="142">
        <f t="shared" si="153"/>
        <v>0</v>
      </c>
      <c r="Y377" s="142">
        <f t="shared" si="153"/>
        <v>0</v>
      </c>
      <c r="Z377" s="142">
        <f t="shared" si="153"/>
        <v>0</v>
      </c>
      <c r="AA377" s="142">
        <f t="shared" si="153"/>
        <v>0</v>
      </c>
      <c r="AB377" s="142">
        <f t="shared" si="153"/>
        <v>0</v>
      </c>
      <c r="AC377" s="142">
        <f t="shared" si="153"/>
        <v>0</v>
      </c>
      <c r="AD377" s="142">
        <f t="shared" si="153"/>
        <v>0</v>
      </c>
      <c r="AE377" s="142">
        <f t="shared" si="153"/>
        <v>0</v>
      </c>
      <c r="AF377" s="141"/>
      <c r="AG377" s="141"/>
      <c r="AH377" s="141"/>
      <c r="AI377" s="141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9"/>
      <c r="L378" s="140">
        <f t="shared" ref="L378:AE378" si="154">IF(L$329&lt;=0,0,IF(L$377&lt;=0,L$374,MIN($F$5,IF(L$374-(L$376-L$329)/L$377&lt;=0,L$374/2,L$374-(L$376-L$329)/L$377))))</f>
        <v>0</v>
      </c>
      <c r="M378" s="140">
        <f t="shared" si="154"/>
        <v>0</v>
      </c>
      <c r="N378" s="140">
        <f t="shared" si="154"/>
        <v>0</v>
      </c>
      <c r="O378" s="140">
        <f t="shared" si="154"/>
        <v>0</v>
      </c>
      <c r="P378" s="140">
        <f t="shared" si="154"/>
        <v>0</v>
      </c>
      <c r="Q378" s="140">
        <f t="shared" si="154"/>
        <v>0</v>
      </c>
      <c r="R378" s="140">
        <f t="shared" si="154"/>
        <v>0</v>
      </c>
      <c r="S378" s="140">
        <f t="shared" si="154"/>
        <v>0</v>
      </c>
      <c r="T378" s="140">
        <f t="shared" si="154"/>
        <v>0</v>
      </c>
      <c r="U378" s="140">
        <f t="shared" si="154"/>
        <v>0</v>
      </c>
      <c r="V378" s="140">
        <f t="shared" si="154"/>
        <v>0</v>
      </c>
      <c r="W378" s="140">
        <f t="shared" si="154"/>
        <v>0</v>
      </c>
      <c r="X378" s="140">
        <f t="shared" si="154"/>
        <v>0</v>
      </c>
      <c r="Y378" s="140">
        <f t="shared" si="154"/>
        <v>0</v>
      </c>
      <c r="Z378" s="140">
        <f t="shared" si="154"/>
        <v>0</v>
      </c>
      <c r="AA378" s="140">
        <f t="shared" si="154"/>
        <v>0</v>
      </c>
      <c r="AB378" s="140">
        <f t="shared" si="154"/>
        <v>0</v>
      </c>
      <c r="AC378" s="140">
        <f t="shared" si="154"/>
        <v>0</v>
      </c>
      <c r="AD378" s="140">
        <f t="shared" si="154"/>
        <v>0</v>
      </c>
      <c r="AE378" s="140">
        <f t="shared" si="154"/>
        <v>0</v>
      </c>
      <c r="AF378" s="141"/>
      <c r="AG378" s="141"/>
      <c r="AH378" s="141"/>
      <c r="AI378" s="141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9"/>
      <c r="L379" s="142">
        <f t="shared" ref="L379:AE379" si="155">SUMPRODUCT(L$252:L$259*(1-EXP(-L$262:L$269*L$378)))+SUMPRODUCT(L$308:L$323*(1-EXP(-L$272:L$287*L$378)))</f>
        <v>0</v>
      </c>
      <c r="M379" s="142">
        <f t="shared" si="155"/>
        <v>0</v>
      </c>
      <c r="N379" s="142">
        <f t="shared" si="155"/>
        <v>0</v>
      </c>
      <c r="O379" s="142">
        <f t="shared" si="155"/>
        <v>0</v>
      </c>
      <c r="P379" s="142">
        <f t="shared" si="155"/>
        <v>0</v>
      </c>
      <c r="Q379" s="142">
        <f t="shared" si="155"/>
        <v>0</v>
      </c>
      <c r="R379" s="142">
        <f t="shared" si="155"/>
        <v>0</v>
      </c>
      <c r="S379" s="142">
        <f t="shared" si="155"/>
        <v>0</v>
      </c>
      <c r="T379" s="142">
        <f t="shared" si="155"/>
        <v>0</v>
      </c>
      <c r="U379" s="142">
        <f t="shared" si="155"/>
        <v>0</v>
      </c>
      <c r="V379" s="142">
        <f t="shared" si="155"/>
        <v>0</v>
      </c>
      <c r="W379" s="142">
        <f t="shared" si="155"/>
        <v>0</v>
      </c>
      <c r="X379" s="142">
        <f t="shared" si="155"/>
        <v>0</v>
      </c>
      <c r="Y379" s="142">
        <f t="shared" si="155"/>
        <v>0</v>
      </c>
      <c r="Z379" s="142">
        <f t="shared" si="155"/>
        <v>0</v>
      </c>
      <c r="AA379" s="142">
        <f t="shared" si="155"/>
        <v>0</v>
      </c>
      <c r="AB379" s="142">
        <f t="shared" si="155"/>
        <v>0</v>
      </c>
      <c r="AC379" s="142">
        <f t="shared" si="155"/>
        <v>0</v>
      </c>
      <c r="AD379" s="142">
        <f t="shared" si="155"/>
        <v>0</v>
      </c>
      <c r="AE379" s="142">
        <f t="shared" si="155"/>
        <v>0</v>
      </c>
      <c r="AF379" s="141"/>
      <c r="AG379" s="141"/>
      <c r="AH379" s="141"/>
      <c r="AI379" s="141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9"/>
      <c r="L380" s="140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0">
        <f t="shared" si="156"/>
        <v>0</v>
      </c>
      <c r="N380" s="140">
        <f t="shared" si="156"/>
        <v>0</v>
      </c>
      <c r="O380" s="140">
        <f t="shared" si="156"/>
        <v>0</v>
      </c>
      <c r="P380" s="140">
        <f t="shared" si="156"/>
        <v>0</v>
      </c>
      <c r="Q380" s="140">
        <f t="shared" si="156"/>
        <v>0</v>
      </c>
      <c r="R380" s="140">
        <f t="shared" si="156"/>
        <v>0</v>
      </c>
      <c r="S380" s="140">
        <f t="shared" si="156"/>
        <v>0</v>
      </c>
      <c r="T380" s="140">
        <f t="shared" si="156"/>
        <v>0</v>
      </c>
      <c r="U380" s="140">
        <f t="shared" si="156"/>
        <v>0</v>
      </c>
      <c r="V380" s="140">
        <f t="shared" si="156"/>
        <v>0</v>
      </c>
      <c r="W380" s="140">
        <f t="shared" si="156"/>
        <v>0</v>
      </c>
      <c r="X380" s="140">
        <f t="shared" si="156"/>
        <v>0</v>
      </c>
      <c r="Y380" s="140">
        <f t="shared" si="156"/>
        <v>0</v>
      </c>
      <c r="Z380" s="140">
        <f t="shared" si="156"/>
        <v>0</v>
      </c>
      <c r="AA380" s="140">
        <f t="shared" si="156"/>
        <v>0</v>
      </c>
      <c r="AB380" s="140">
        <f t="shared" si="156"/>
        <v>0</v>
      </c>
      <c r="AC380" s="140">
        <f t="shared" si="156"/>
        <v>0</v>
      </c>
      <c r="AD380" s="140">
        <f t="shared" si="156"/>
        <v>0</v>
      </c>
      <c r="AE380" s="140">
        <f t="shared" si="156"/>
        <v>0</v>
      </c>
      <c r="AF380" s="141"/>
      <c r="AG380" s="141"/>
      <c r="AH380" s="141"/>
      <c r="AI380" s="141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9"/>
      <c r="L381" s="142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2">
        <f t="shared" si="157"/>
        <v>0</v>
      </c>
      <c r="N381" s="142">
        <f t="shared" si="157"/>
        <v>0</v>
      </c>
      <c r="O381" s="142">
        <f t="shared" si="157"/>
        <v>0</v>
      </c>
      <c r="P381" s="142">
        <f t="shared" si="157"/>
        <v>0</v>
      </c>
      <c r="Q381" s="142">
        <f t="shared" si="157"/>
        <v>0</v>
      </c>
      <c r="R381" s="142">
        <f t="shared" si="157"/>
        <v>0</v>
      </c>
      <c r="S381" s="142">
        <f t="shared" si="157"/>
        <v>0</v>
      </c>
      <c r="T381" s="142">
        <f t="shared" si="157"/>
        <v>0</v>
      </c>
      <c r="U381" s="142">
        <f t="shared" si="157"/>
        <v>0</v>
      </c>
      <c r="V381" s="142">
        <f t="shared" si="157"/>
        <v>0</v>
      </c>
      <c r="W381" s="142">
        <f t="shared" si="157"/>
        <v>0</v>
      </c>
      <c r="X381" s="142">
        <f t="shared" si="157"/>
        <v>0</v>
      </c>
      <c r="Y381" s="142">
        <f t="shared" si="157"/>
        <v>0</v>
      </c>
      <c r="Z381" s="142">
        <f t="shared" si="157"/>
        <v>0</v>
      </c>
      <c r="AA381" s="142">
        <f t="shared" si="157"/>
        <v>0</v>
      </c>
      <c r="AB381" s="142">
        <f t="shared" si="157"/>
        <v>0</v>
      </c>
      <c r="AC381" s="142">
        <f t="shared" si="157"/>
        <v>0</v>
      </c>
      <c r="AD381" s="142">
        <f t="shared" si="157"/>
        <v>0</v>
      </c>
      <c r="AE381" s="142">
        <f t="shared" si="157"/>
        <v>0</v>
      </c>
      <c r="AF381" s="141"/>
      <c r="AG381" s="141"/>
      <c r="AH381" s="141"/>
      <c r="AI381" s="141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9"/>
      <c r="L382" s="140">
        <f t="shared" ref="L382:AE382" si="158">IF(L$329&lt;=0,0,IF(L$381&lt;=0,L$378,MIN($F$5,IF(L$378-(L$380-L$329)/L$381&lt;=0,L$378/2,L$378-(L$380-L$329)/L$381))))</f>
        <v>0</v>
      </c>
      <c r="M382" s="140">
        <f t="shared" si="158"/>
        <v>0</v>
      </c>
      <c r="N382" s="140">
        <f t="shared" si="158"/>
        <v>0</v>
      </c>
      <c r="O382" s="140">
        <f t="shared" si="158"/>
        <v>0</v>
      </c>
      <c r="P382" s="140">
        <f t="shared" si="158"/>
        <v>0</v>
      </c>
      <c r="Q382" s="140">
        <f t="shared" si="158"/>
        <v>0</v>
      </c>
      <c r="R382" s="140">
        <f t="shared" si="158"/>
        <v>0</v>
      </c>
      <c r="S382" s="140">
        <f t="shared" si="158"/>
        <v>0</v>
      </c>
      <c r="T382" s="140">
        <f t="shared" si="158"/>
        <v>0</v>
      </c>
      <c r="U382" s="140">
        <f t="shared" si="158"/>
        <v>0</v>
      </c>
      <c r="V382" s="140">
        <f t="shared" si="158"/>
        <v>0</v>
      </c>
      <c r="W382" s="140">
        <f t="shared" si="158"/>
        <v>0</v>
      </c>
      <c r="X382" s="140">
        <f t="shared" si="158"/>
        <v>0</v>
      </c>
      <c r="Y382" s="140">
        <f t="shared" si="158"/>
        <v>0</v>
      </c>
      <c r="Z382" s="140">
        <f t="shared" si="158"/>
        <v>0</v>
      </c>
      <c r="AA382" s="140">
        <f t="shared" si="158"/>
        <v>0</v>
      </c>
      <c r="AB382" s="140">
        <f t="shared" si="158"/>
        <v>0</v>
      </c>
      <c r="AC382" s="140">
        <f t="shared" si="158"/>
        <v>0</v>
      </c>
      <c r="AD382" s="140">
        <f t="shared" si="158"/>
        <v>0</v>
      </c>
      <c r="AE382" s="140">
        <f t="shared" si="158"/>
        <v>0</v>
      </c>
      <c r="AF382" s="141"/>
      <c r="AG382" s="141"/>
      <c r="AH382" s="141"/>
      <c r="AI382" s="141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9"/>
      <c r="L383" s="142">
        <f t="shared" ref="L383:AE383" si="159">SUMPRODUCT(L$252:L$259*(1-EXP(-L$262:L$269*L$382)))+SUMPRODUCT(L$308:L$323*(1-EXP(-L$272:L$287*L$382)))</f>
        <v>0</v>
      </c>
      <c r="M383" s="142">
        <f t="shared" si="159"/>
        <v>0</v>
      </c>
      <c r="N383" s="142">
        <f t="shared" si="159"/>
        <v>0</v>
      </c>
      <c r="O383" s="142">
        <f t="shared" si="159"/>
        <v>0</v>
      </c>
      <c r="P383" s="142">
        <f t="shared" si="159"/>
        <v>0</v>
      </c>
      <c r="Q383" s="142">
        <f t="shared" si="159"/>
        <v>0</v>
      </c>
      <c r="R383" s="142">
        <f t="shared" si="159"/>
        <v>0</v>
      </c>
      <c r="S383" s="142">
        <f t="shared" si="159"/>
        <v>0</v>
      </c>
      <c r="T383" s="142">
        <f t="shared" si="159"/>
        <v>0</v>
      </c>
      <c r="U383" s="142">
        <f t="shared" si="159"/>
        <v>0</v>
      </c>
      <c r="V383" s="142">
        <f t="shared" si="159"/>
        <v>0</v>
      </c>
      <c r="W383" s="142">
        <f t="shared" si="159"/>
        <v>0</v>
      </c>
      <c r="X383" s="142">
        <f t="shared" si="159"/>
        <v>0</v>
      </c>
      <c r="Y383" s="142">
        <f t="shared" si="159"/>
        <v>0</v>
      </c>
      <c r="Z383" s="142">
        <f t="shared" si="159"/>
        <v>0</v>
      </c>
      <c r="AA383" s="142">
        <f t="shared" si="159"/>
        <v>0</v>
      </c>
      <c r="AB383" s="142">
        <f t="shared" si="159"/>
        <v>0</v>
      </c>
      <c r="AC383" s="142">
        <f t="shared" si="159"/>
        <v>0</v>
      </c>
      <c r="AD383" s="142">
        <f t="shared" si="159"/>
        <v>0</v>
      </c>
      <c r="AE383" s="142">
        <f t="shared" si="159"/>
        <v>0</v>
      </c>
      <c r="AF383" s="141"/>
      <c r="AG383" s="141"/>
      <c r="AH383" s="141"/>
      <c r="AI383" s="141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9"/>
      <c r="L384" s="140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0">
        <f t="shared" si="160"/>
        <v>0</v>
      </c>
      <c r="N384" s="140">
        <f t="shared" si="160"/>
        <v>0</v>
      </c>
      <c r="O384" s="140">
        <f t="shared" si="160"/>
        <v>0</v>
      </c>
      <c r="P384" s="140">
        <f t="shared" si="160"/>
        <v>0</v>
      </c>
      <c r="Q384" s="140">
        <f t="shared" si="160"/>
        <v>0</v>
      </c>
      <c r="R384" s="140">
        <f t="shared" si="160"/>
        <v>0</v>
      </c>
      <c r="S384" s="140">
        <f t="shared" si="160"/>
        <v>0</v>
      </c>
      <c r="T384" s="140">
        <f t="shared" si="160"/>
        <v>0</v>
      </c>
      <c r="U384" s="140">
        <f t="shared" si="160"/>
        <v>0</v>
      </c>
      <c r="V384" s="140">
        <f t="shared" si="160"/>
        <v>0</v>
      </c>
      <c r="W384" s="140">
        <f t="shared" si="160"/>
        <v>0</v>
      </c>
      <c r="X384" s="140">
        <f t="shared" si="160"/>
        <v>0</v>
      </c>
      <c r="Y384" s="140">
        <f t="shared" si="160"/>
        <v>0</v>
      </c>
      <c r="Z384" s="140">
        <f t="shared" si="160"/>
        <v>0</v>
      </c>
      <c r="AA384" s="140">
        <f t="shared" si="160"/>
        <v>0</v>
      </c>
      <c r="AB384" s="140">
        <f t="shared" si="160"/>
        <v>0</v>
      </c>
      <c r="AC384" s="140">
        <f t="shared" si="160"/>
        <v>0</v>
      </c>
      <c r="AD384" s="140">
        <f t="shared" si="160"/>
        <v>0</v>
      </c>
      <c r="AE384" s="140">
        <f t="shared" si="160"/>
        <v>0</v>
      </c>
      <c r="AF384" s="141"/>
      <c r="AG384" s="141"/>
      <c r="AH384" s="141"/>
      <c r="AI384" s="141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9"/>
      <c r="L385" s="142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2">
        <f t="shared" si="161"/>
        <v>0</v>
      </c>
      <c r="N385" s="142">
        <f t="shared" si="161"/>
        <v>0</v>
      </c>
      <c r="O385" s="142">
        <f t="shared" si="161"/>
        <v>0</v>
      </c>
      <c r="P385" s="142">
        <f t="shared" si="161"/>
        <v>0</v>
      </c>
      <c r="Q385" s="142">
        <f t="shared" si="161"/>
        <v>0</v>
      </c>
      <c r="R385" s="142">
        <f t="shared" si="161"/>
        <v>0</v>
      </c>
      <c r="S385" s="142">
        <f t="shared" si="161"/>
        <v>0</v>
      </c>
      <c r="T385" s="142">
        <f t="shared" si="161"/>
        <v>0</v>
      </c>
      <c r="U385" s="142">
        <f t="shared" si="161"/>
        <v>0</v>
      </c>
      <c r="V385" s="142">
        <f t="shared" si="161"/>
        <v>0</v>
      </c>
      <c r="W385" s="142">
        <f t="shared" si="161"/>
        <v>0</v>
      </c>
      <c r="X385" s="142">
        <f t="shared" si="161"/>
        <v>0</v>
      </c>
      <c r="Y385" s="142">
        <f t="shared" si="161"/>
        <v>0</v>
      </c>
      <c r="Z385" s="142">
        <f t="shared" si="161"/>
        <v>0</v>
      </c>
      <c r="AA385" s="142">
        <f t="shared" si="161"/>
        <v>0</v>
      </c>
      <c r="AB385" s="142">
        <f t="shared" si="161"/>
        <v>0</v>
      </c>
      <c r="AC385" s="142">
        <f t="shared" si="161"/>
        <v>0</v>
      </c>
      <c r="AD385" s="142">
        <f t="shared" si="161"/>
        <v>0</v>
      </c>
      <c r="AE385" s="142">
        <f t="shared" si="161"/>
        <v>0</v>
      </c>
      <c r="AF385" s="141"/>
      <c r="AG385" s="141"/>
      <c r="AH385" s="141"/>
      <c r="AI385" s="141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9"/>
      <c r="L386" s="140">
        <f t="shared" ref="L386:AE386" si="162">IF(L$329&lt;=0,0,IF(L$385&lt;=0,L$382,MIN($F$5,IF(L$382-(L$384-L$329)/L$385&lt;=0,L$382/2,L$382-(L$384-L$329)/L$385))))</f>
        <v>0</v>
      </c>
      <c r="M386" s="140">
        <f t="shared" si="162"/>
        <v>0</v>
      </c>
      <c r="N386" s="140">
        <f t="shared" si="162"/>
        <v>0</v>
      </c>
      <c r="O386" s="140">
        <f t="shared" si="162"/>
        <v>0</v>
      </c>
      <c r="P386" s="140">
        <f t="shared" si="162"/>
        <v>0</v>
      </c>
      <c r="Q386" s="140">
        <f t="shared" si="162"/>
        <v>0</v>
      </c>
      <c r="R386" s="140">
        <f t="shared" si="162"/>
        <v>0</v>
      </c>
      <c r="S386" s="140">
        <f t="shared" si="162"/>
        <v>0</v>
      </c>
      <c r="T386" s="140">
        <f t="shared" si="162"/>
        <v>0</v>
      </c>
      <c r="U386" s="140">
        <f t="shared" si="162"/>
        <v>0</v>
      </c>
      <c r="V386" s="140">
        <f t="shared" si="162"/>
        <v>0</v>
      </c>
      <c r="W386" s="140">
        <f t="shared" si="162"/>
        <v>0</v>
      </c>
      <c r="X386" s="140">
        <f t="shared" si="162"/>
        <v>0</v>
      </c>
      <c r="Y386" s="140">
        <f t="shared" si="162"/>
        <v>0</v>
      </c>
      <c r="Z386" s="140">
        <f t="shared" si="162"/>
        <v>0</v>
      </c>
      <c r="AA386" s="140">
        <f t="shared" si="162"/>
        <v>0</v>
      </c>
      <c r="AB386" s="140">
        <f t="shared" si="162"/>
        <v>0</v>
      </c>
      <c r="AC386" s="140">
        <f t="shared" si="162"/>
        <v>0</v>
      </c>
      <c r="AD386" s="140">
        <f t="shared" si="162"/>
        <v>0</v>
      </c>
      <c r="AE386" s="140">
        <f t="shared" si="162"/>
        <v>0</v>
      </c>
      <c r="AF386" s="141"/>
      <c r="AG386" s="141"/>
      <c r="AH386" s="141"/>
      <c r="AI386" s="141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9"/>
      <c r="L387" s="142">
        <f t="shared" ref="L387:AE387" si="163">SUMPRODUCT(L$252:L$259*(1-EXP(-L$262:L$269*L$386)))+SUMPRODUCT(L$308:L$323*(1-EXP(-L$272:L$287*L$386)))</f>
        <v>0</v>
      </c>
      <c r="M387" s="142">
        <f t="shared" si="163"/>
        <v>0</v>
      </c>
      <c r="N387" s="142">
        <f t="shared" si="163"/>
        <v>0</v>
      </c>
      <c r="O387" s="142">
        <f t="shared" si="163"/>
        <v>0</v>
      </c>
      <c r="P387" s="142">
        <f t="shared" si="163"/>
        <v>0</v>
      </c>
      <c r="Q387" s="142">
        <f t="shared" si="163"/>
        <v>0</v>
      </c>
      <c r="R387" s="142">
        <f t="shared" si="163"/>
        <v>0</v>
      </c>
      <c r="S387" s="142">
        <f t="shared" si="163"/>
        <v>0</v>
      </c>
      <c r="T387" s="142">
        <f t="shared" si="163"/>
        <v>0</v>
      </c>
      <c r="U387" s="142">
        <f t="shared" si="163"/>
        <v>0</v>
      </c>
      <c r="V387" s="142">
        <f t="shared" si="163"/>
        <v>0</v>
      </c>
      <c r="W387" s="142">
        <f t="shared" si="163"/>
        <v>0</v>
      </c>
      <c r="X387" s="142">
        <f t="shared" si="163"/>
        <v>0</v>
      </c>
      <c r="Y387" s="142">
        <f t="shared" si="163"/>
        <v>0</v>
      </c>
      <c r="Z387" s="142">
        <f t="shared" si="163"/>
        <v>0</v>
      </c>
      <c r="AA387" s="142">
        <f t="shared" si="163"/>
        <v>0</v>
      </c>
      <c r="AB387" s="142">
        <f t="shared" si="163"/>
        <v>0</v>
      </c>
      <c r="AC387" s="142">
        <f t="shared" si="163"/>
        <v>0</v>
      </c>
      <c r="AD387" s="142">
        <f t="shared" si="163"/>
        <v>0</v>
      </c>
      <c r="AE387" s="142">
        <f t="shared" si="163"/>
        <v>0</v>
      </c>
      <c r="AF387" s="141"/>
      <c r="AG387" s="141"/>
      <c r="AH387" s="141"/>
      <c r="AI387" s="141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9"/>
      <c r="L388" s="140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0">
        <f t="shared" si="164"/>
        <v>0</v>
      </c>
      <c r="N388" s="140">
        <f t="shared" si="164"/>
        <v>0</v>
      </c>
      <c r="O388" s="140">
        <f t="shared" si="164"/>
        <v>0</v>
      </c>
      <c r="P388" s="140">
        <f t="shared" si="164"/>
        <v>0</v>
      </c>
      <c r="Q388" s="140">
        <f t="shared" si="164"/>
        <v>0</v>
      </c>
      <c r="R388" s="140">
        <f t="shared" si="164"/>
        <v>0</v>
      </c>
      <c r="S388" s="140">
        <f t="shared" si="164"/>
        <v>0</v>
      </c>
      <c r="T388" s="140">
        <f t="shared" si="164"/>
        <v>0</v>
      </c>
      <c r="U388" s="140">
        <f t="shared" si="164"/>
        <v>0</v>
      </c>
      <c r="V388" s="140">
        <f t="shared" si="164"/>
        <v>0</v>
      </c>
      <c r="W388" s="140">
        <f t="shared" si="164"/>
        <v>0</v>
      </c>
      <c r="X388" s="140">
        <f t="shared" si="164"/>
        <v>0</v>
      </c>
      <c r="Y388" s="140">
        <f t="shared" si="164"/>
        <v>0</v>
      </c>
      <c r="Z388" s="140">
        <f t="shared" si="164"/>
        <v>0</v>
      </c>
      <c r="AA388" s="140">
        <f t="shared" si="164"/>
        <v>0</v>
      </c>
      <c r="AB388" s="140">
        <f t="shared" si="164"/>
        <v>0</v>
      </c>
      <c r="AC388" s="140">
        <f t="shared" si="164"/>
        <v>0</v>
      </c>
      <c r="AD388" s="140">
        <f t="shared" si="164"/>
        <v>0</v>
      </c>
      <c r="AE388" s="140">
        <f t="shared" si="164"/>
        <v>0</v>
      </c>
      <c r="AF388" s="141"/>
      <c r="AG388" s="141"/>
      <c r="AH388" s="141"/>
      <c r="AI388" s="141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9"/>
      <c r="L389" s="142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2">
        <f t="shared" si="165"/>
        <v>0</v>
      </c>
      <c r="N389" s="142">
        <f t="shared" si="165"/>
        <v>0</v>
      </c>
      <c r="O389" s="142">
        <f t="shared" si="165"/>
        <v>0</v>
      </c>
      <c r="P389" s="142">
        <f t="shared" si="165"/>
        <v>0</v>
      </c>
      <c r="Q389" s="142">
        <f t="shared" si="165"/>
        <v>0</v>
      </c>
      <c r="R389" s="142">
        <f t="shared" si="165"/>
        <v>0</v>
      </c>
      <c r="S389" s="142">
        <f t="shared" si="165"/>
        <v>0</v>
      </c>
      <c r="T389" s="142">
        <f t="shared" si="165"/>
        <v>0</v>
      </c>
      <c r="U389" s="142">
        <f t="shared" si="165"/>
        <v>0</v>
      </c>
      <c r="V389" s="142">
        <f t="shared" si="165"/>
        <v>0</v>
      </c>
      <c r="W389" s="142">
        <f t="shared" si="165"/>
        <v>0</v>
      </c>
      <c r="X389" s="142">
        <f t="shared" si="165"/>
        <v>0</v>
      </c>
      <c r="Y389" s="142">
        <f t="shared" si="165"/>
        <v>0</v>
      </c>
      <c r="Z389" s="142">
        <f t="shared" si="165"/>
        <v>0</v>
      </c>
      <c r="AA389" s="142">
        <f t="shared" si="165"/>
        <v>0</v>
      </c>
      <c r="AB389" s="142">
        <f t="shared" si="165"/>
        <v>0</v>
      </c>
      <c r="AC389" s="142">
        <f t="shared" si="165"/>
        <v>0</v>
      </c>
      <c r="AD389" s="142">
        <f t="shared" si="165"/>
        <v>0</v>
      </c>
      <c r="AE389" s="142">
        <f t="shared" si="165"/>
        <v>0</v>
      </c>
      <c r="AF389" s="141"/>
      <c r="AG389" s="141"/>
      <c r="AH389" s="141"/>
      <c r="AI389" s="141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9"/>
      <c r="L390" s="140">
        <f t="shared" ref="L390:AE390" si="166">IF(L$329&lt;=0,0,IF(L$389&lt;=0,L$386,MIN($F$5,IF(L$386-(L$388-L$329)/L$389&lt;=0,L$386/2,L$386-(L$388-L$329)/L$389))))</f>
        <v>0</v>
      </c>
      <c r="M390" s="140">
        <f t="shared" si="166"/>
        <v>0</v>
      </c>
      <c r="N390" s="140">
        <f t="shared" si="166"/>
        <v>0</v>
      </c>
      <c r="O390" s="140">
        <f t="shared" si="166"/>
        <v>0</v>
      </c>
      <c r="P390" s="140">
        <f t="shared" si="166"/>
        <v>0</v>
      </c>
      <c r="Q390" s="140">
        <f t="shared" si="166"/>
        <v>0</v>
      </c>
      <c r="R390" s="140">
        <f t="shared" si="166"/>
        <v>0</v>
      </c>
      <c r="S390" s="140">
        <f t="shared" si="166"/>
        <v>0</v>
      </c>
      <c r="T390" s="140">
        <f t="shared" si="166"/>
        <v>0</v>
      </c>
      <c r="U390" s="140">
        <f t="shared" si="166"/>
        <v>0</v>
      </c>
      <c r="V390" s="140">
        <f t="shared" si="166"/>
        <v>0</v>
      </c>
      <c r="W390" s="140">
        <f t="shared" si="166"/>
        <v>0</v>
      </c>
      <c r="X390" s="140">
        <f t="shared" si="166"/>
        <v>0</v>
      </c>
      <c r="Y390" s="140">
        <f t="shared" si="166"/>
        <v>0</v>
      </c>
      <c r="Z390" s="140">
        <f t="shared" si="166"/>
        <v>0</v>
      </c>
      <c r="AA390" s="140">
        <f t="shared" si="166"/>
        <v>0</v>
      </c>
      <c r="AB390" s="140">
        <f t="shared" si="166"/>
        <v>0</v>
      </c>
      <c r="AC390" s="140">
        <f t="shared" si="166"/>
        <v>0</v>
      </c>
      <c r="AD390" s="140">
        <f t="shared" si="166"/>
        <v>0</v>
      </c>
      <c r="AE390" s="140">
        <f t="shared" si="166"/>
        <v>0</v>
      </c>
      <c r="AF390" s="141"/>
      <c r="AG390" s="141"/>
      <c r="AH390" s="141"/>
      <c r="AI390" s="141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9"/>
      <c r="L391" s="142">
        <f t="shared" ref="L391:AE391" si="167">SUMPRODUCT(L$252:L$259*(1-EXP(-L$262:L$269*L$390)))+SUMPRODUCT(L$308:L$323*(1-EXP(-L$272:L$287*L$390)))</f>
        <v>0</v>
      </c>
      <c r="M391" s="142">
        <f t="shared" si="167"/>
        <v>0</v>
      </c>
      <c r="N391" s="142">
        <f t="shared" si="167"/>
        <v>0</v>
      </c>
      <c r="O391" s="142">
        <f t="shared" si="167"/>
        <v>0</v>
      </c>
      <c r="P391" s="142">
        <f t="shared" si="167"/>
        <v>0</v>
      </c>
      <c r="Q391" s="142">
        <f t="shared" si="167"/>
        <v>0</v>
      </c>
      <c r="R391" s="142">
        <f t="shared" si="167"/>
        <v>0</v>
      </c>
      <c r="S391" s="142">
        <f t="shared" si="167"/>
        <v>0</v>
      </c>
      <c r="T391" s="142">
        <f t="shared" si="167"/>
        <v>0</v>
      </c>
      <c r="U391" s="142">
        <f t="shared" si="167"/>
        <v>0</v>
      </c>
      <c r="V391" s="142">
        <f t="shared" si="167"/>
        <v>0</v>
      </c>
      <c r="W391" s="142">
        <f t="shared" si="167"/>
        <v>0</v>
      </c>
      <c r="X391" s="142">
        <f t="shared" si="167"/>
        <v>0</v>
      </c>
      <c r="Y391" s="142">
        <f t="shared" si="167"/>
        <v>0</v>
      </c>
      <c r="Z391" s="142">
        <f t="shared" si="167"/>
        <v>0</v>
      </c>
      <c r="AA391" s="142">
        <f t="shared" si="167"/>
        <v>0</v>
      </c>
      <c r="AB391" s="142">
        <f t="shared" si="167"/>
        <v>0</v>
      </c>
      <c r="AC391" s="142">
        <f t="shared" si="167"/>
        <v>0</v>
      </c>
      <c r="AD391" s="142">
        <f t="shared" si="167"/>
        <v>0</v>
      </c>
      <c r="AE391" s="142">
        <f t="shared" si="167"/>
        <v>0</v>
      </c>
      <c r="AF391" s="141"/>
      <c r="AG391" s="141"/>
      <c r="AH391" s="141"/>
      <c r="AI391" s="141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9"/>
      <c r="L392" s="140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0">
        <f t="shared" si="168"/>
        <v>0</v>
      </c>
      <c r="N392" s="140">
        <f t="shared" si="168"/>
        <v>0</v>
      </c>
      <c r="O392" s="140">
        <f t="shared" si="168"/>
        <v>0</v>
      </c>
      <c r="P392" s="140">
        <f t="shared" si="168"/>
        <v>0</v>
      </c>
      <c r="Q392" s="140">
        <f t="shared" si="168"/>
        <v>0</v>
      </c>
      <c r="R392" s="140">
        <f t="shared" si="168"/>
        <v>0</v>
      </c>
      <c r="S392" s="140">
        <f t="shared" si="168"/>
        <v>0</v>
      </c>
      <c r="T392" s="140">
        <f t="shared" si="168"/>
        <v>0</v>
      </c>
      <c r="U392" s="140">
        <f t="shared" si="168"/>
        <v>0</v>
      </c>
      <c r="V392" s="140">
        <f t="shared" si="168"/>
        <v>0</v>
      </c>
      <c r="W392" s="140">
        <f t="shared" si="168"/>
        <v>0</v>
      </c>
      <c r="X392" s="140">
        <f t="shared" si="168"/>
        <v>0</v>
      </c>
      <c r="Y392" s="140">
        <f t="shared" si="168"/>
        <v>0</v>
      </c>
      <c r="Z392" s="140">
        <f t="shared" si="168"/>
        <v>0</v>
      </c>
      <c r="AA392" s="140">
        <f t="shared" si="168"/>
        <v>0</v>
      </c>
      <c r="AB392" s="140">
        <f t="shared" si="168"/>
        <v>0</v>
      </c>
      <c r="AC392" s="140">
        <f t="shared" si="168"/>
        <v>0</v>
      </c>
      <c r="AD392" s="140">
        <f t="shared" si="168"/>
        <v>0</v>
      </c>
      <c r="AE392" s="140">
        <f t="shared" si="168"/>
        <v>0</v>
      </c>
      <c r="AF392" s="141"/>
      <c r="AG392" s="141"/>
      <c r="AH392" s="141"/>
      <c r="AI392" s="141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9"/>
      <c r="L393" s="142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2">
        <f t="shared" si="169"/>
        <v>0</v>
      </c>
      <c r="N393" s="142">
        <f t="shared" si="169"/>
        <v>0</v>
      </c>
      <c r="O393" s="142">
        <f t="shared" si="169"/>
        <v>0</v>
      </c>
      <c r="P393" s="142">
        <f t="shared" si="169"/>
        <v>0</v>
      </c>
      <c r="Q393" s="142">
        <f t="shared" si="169"/>
        <v>0</v>
      </c>
      <c r="R393" s="142">
        <f t="shared" si="169"/>
        <v>0</v>
      </c>
      <c r="S393" s="142">
        <f t="shared" si="169"/>
        <v>0</v>
      </c>
      <c r="T393" s="142">
        <f t="shared" si="169"/>
        <v>0</v>
      </c>
      <c r="U393" s="142">
        <f t="shared" si="169"/>
        <v>0</v>
      </c>
      <c r="V393" s="142">
        <f t="shared" si="169"/>
        <v>0</v>
      </c>
      <c r="W393" s="142">
        <f t="shared" si="169"/>
        <v>0</v>
      </c>
      <c r="X393" s="142">
        <f t="shared" si="169"/>
        <v>0</v>
      </c>
      <c r="Y393" s="142">
        <f t="shared" si="169"/>
        <v>0</v>
      </c>
      <c r="Z393" s="142">
        <f t="shared" si="169"/>
        <v>0</v>
      </c>
      <c r="AA393" s="142">
        <f t="shared" si="169"/>
        <v>0</v>
      </c>
      <c r="AB393" s="142">
        <f t="shared" si="169"/>
        <v>0</v>
      </c>
      <c r="AC393" s="142">
        <f t="shared" si="169"/>
        <v>0</v>
      </c>
      <c r="AD393" s="142">
        <f t="shared" si="169"/>
        <v>0</v>
      </c>
      <c r="AE393" s="142">
        <f t="shared" si="169"/>
        <v>0</v>
      </c>
      <c r="AF393" s="141"/>
      <c r="AG393" s="141"/>
      <c r="AH393" s="141"/>
      <c r="AI393" s="141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9"/>
      <c r="L394" s="140">
        <f t="shared" ref="L394:AE394" si="170">IF(L$329&lt;=0,0,IF(L$393&lt;=0,L$390,MIN($F$5,IF(L$390-(L$392-L$329)/L$393&lt;=0,L$390/2,L$390-(L$392-L$329)/L$393))))</f>
        <v>0</v>
      </c>
      <c r="M394" s="140">
        <f t="shared" si="170"/>
        <v>0</v>
      </c>
      <c r="N394" s="140">
        <f t="shared" si="170"/>
        <v>0</v>
      </c>
      <c r="O394" s="140">
        <f t="shared" si="170"/>
        <v>0</v>
      </c>
      <c r="P394" s="140">
        <f t="shared" si="170"/>
        <v>0</v>
      </c>
      <c r="Q394" s="140">
        <f t="shared" si="170"/>
        <v>0</v>
      </c>
      <c r="R394" s="140">
        <f t="shared" si="170"/>
        <v>0</v>
      </c>
      <c r="S394" s="140">
        <f t="shared" si="170"/>
        <v>0</v>
      </c>
      <c r="T394" s="140">
        <f t="shared" si="170"/>
        <v>0</v>
      </c>
      <c r="U394" s="140">
        <f t="shared" si="170"/>
        <v>0</v>
      </c>
      <c r="V394" s="140">
        <f t="shared" si="170"/>
        <v>0</v>
      </c>
      <c r="W394" s="140">
        <f t="shared" si="170"/>
        <v>0</v>
      </c>
      <c r="X394" s="140">
        <f t="shared" si="170"/>
        <v>0</v>
      </c>
      <c r="Y394" s="140">
        <f t="shared" si="170"/>
        <v>0</v>
      </c>
      <c r="Z394" s="140">
        <f t="shared" si="170"/>
        <v>0</v>
      </c>
      <c r="AA394" s="140">
        <f t="shared" si="170"/>
        <v>0</v>
      </c>
      <c r="AB394" s="140">
        <f t="shared" si="170"/>
        <v>0</v>
      </c>
      <c r="AC394" s="140">
        <f t="shared" si="170"/>
        <v>0</v>
      </c>
      <c r="AD394" s="140">
        <f t="shared" si="170"/>
        <v>0</v>
      </c>
      <c r="AE394" s="140">
        <f t="shared" si="170"/>
        <v>0</v>
      </c>
      <c r="AF394" s="141"/>
      <c r="AG394" s="141"/>
      <c r="AH394" s="141"/>
      <c r="AI394" s="141"/>
    </row>
    <row r="395" spans="1:35" x14ac:dyDescent="0.35"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7">
        <v>2021</v>
      </c>
      <c r="L396" s="138">
        <v>2022</v>
      </c>
      <c r="M396" s="137">
        <v>2023</v>
      </c>
      <c r="N396" s="137">
        <v>2024</v>
      </c>
      <c r="O396" s="137">
        <v>2025</v>
      </c>
      <c r="P396" s="137">
        <v>2026</v>
      </c>
      <c r="Q396" s="137">
        <v>2027</v>
      </c>
      <c r="R396" s="137">
        <v>2028</v>
      </c>
      <c r="S396" s="137">
        <v>2029</v>
      </c>
      <c r="T396" s="137">
        <v>2030</v>
      </c>
      <c r="U396" s="137">
        <v>2031</v>
      </c>
      <c r="V396" s="137">
        <v>2032</v>
      </c>
      <c r="W396" s="137">
        <v>2033</v>
      </c>
      <c r="X396" s="137">
        <v>2034</v>
      </c>
      <c r="Y396" s="137">
        <v>2035</v>
      </c>
      <c r="Z396" s="137">
        <v>2036</v>
      </c>
      <c r="AA396" s="137">
        <v>2037</v>
      </c>
      <c r="AB396" s="137">
        <v>2038</v>
      </c>
      <c r="AC396" s="137">
        <v>2039</v>
      </c>
      <c r="AD396" s="137">
        <v>2040</v>
      </c>
      <c r="AE396" s="137">
        <v>2041</v>
      </c>
      <c r="AF396" s="137">
        <v>2042</v>
      </c>
      <c r="AG396" s="137">
        <v>2043</v>
      </c>
      <c r="AH396" s="137">
        <v>2044</v>
      </c>
      <c r="AI396" s="137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8" t="str">
        <f>Settings!$B$3&amp;".mit.fundsp.cbam.tot.2"</f>
        <v>egy.mit.fundsp.cbam.tot.2</v>
      </c>
      <c r="I397" t="s">
        <v>2867</v>
      </c>
      <c r="K397" s="139"/>
      <c r="L397" s="140">
        <f t="shared" ref="L397:AE397" si="171">L$394</f>
        <v>0</v>
      </c>
      <c r="M397" s="140">
        <f t="shared" si="171"/>
        <v>0</v>
      </c>
      <c r="N397" s="140">
        <f t="shared" si="171"/>
        <v>0</v>
      </c>
      <c r="O397" s="140">
        <f t="shared" si="171"/>
        <v>0</v>
      </c>
      <c r="P397" s="140">
        <f t="shared" si="171"/>
        <v>0</v>
      </c>
      <c r="Q397" s="140">
        <f t="shared" si="171"/>
        <v>0</v>
      </c>
      <c r="R397" s="140">
        <f t="shared" si="171"/>
        <v>0</v>
      </c>
      <c r="S397" s="140">
        <f t="shared" si="171"/>
        <v>0</v>
      </c>
      <c r="T397" s="140">
        <f t="shared" si="171"/>
        <v>0</v>
      </c>
      <c r="U397" s="140">
        <f t="shared" si="171"/>
        <v>0</v>
      </c>
      <c r="V397" s="140">
        <f t="shared" si="171"/>
        <v>0</v>
      </c>
      <c r="W397" s="140">
        <f t="shared" si="171"/>
        <v>0</v>
      </c>
      <c r="X397" s="140">
        <f t="shared" si="171"/>
        <v>0</v>
      </c>
      <c r="Y397" s="140">
        <f t="shared" si="171"/>
        <v>0</v>
      </c>
      <c r="Z397" s="140">
        <f t="shared" si="171"/>
        <v>0</v>
      </c>
      <c r="AA397" s="140">
        <f t="shared" si="171"/>
        <v>0</v>
      </c>
      <c r="AB397" s="140">
        <f t="shared" si="171"/>
        <v>0</v>
      </c>
      <c r="AC397" s="140">
        <f t="shared" si="171"/>
        <v>0</v>
      </c>
      <c r="AD397" s="140">
        <f t="shared" si="171"/>
        <v>0</v>
      </c>
      <c r="AE397" s="140">
        <f t="shared" si="171"/>
        <v>0</v>
      </c>
      <c r="AF397" s="141"/>
      <c r="AG397" s="141"/>
      <c r="AH397" s="141"/>
      <c r="AI397" s="141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8" t="str">
        <f>Settings!$B$3&amp;".mit.abat.cbam.tot.2"</f>
        <v>egy.mit.abat.cbam.tot.2</v>
      </c>
      <c r="I398" t="s">
        <v>2827</v>
      </c>
      <c r="K398" s="139"/>
      <c r="L398" s="142">
        <f t="shared" ref="L398:AE398" si="172">L399+L400</f>
        <v>0</v>
      </c>
      <c r="M398" s="142">
        <f t="shared" si="172"/>
        <v>0</v>
      </c>
      <c r="N398" s="142">
        <f t="shared" si="172"/>
        <v>0</v>
      </c>
      <c r="O398" s="142">
        <f t="shared" si="172"/>
        <v>0</v>
      </c>
      <c r="P398" s="142">
        <f t="shared" si="172"/>
        <v>0</v>
      </c>
      <c r="Q398" s="142">
        <f t="shared" si="172"/>
        <v>0</v>
      </c>
      <c r="R398" s="142">
        <f t="shared" si="172"/>
        <v>0</v>
      </c>
      <c r="S398" s="142">
        <f t="shared" si="172"/>
        <v>0</v>
      </c>
      <c r="T398" s="142">
        <f t="shared" si="172"/>
        <v>0</v>
      </c>
      <c r="U398" s="142">
        <f t="shared" si="172"/>
        <v>0</v>
      </c>
      <c r="V398" s="142">
        <f t="shared" si="172"/>
        <v>0</v>
      </c>
      <c r="W398" s="142">
        <f t="shared" si="172"/>
        <v>0</v>
      </c>
      <c r="X398" s="142">
        <f t="shared" si="172"/>
        <v>0</v>
      </c>
      <c r="Y398" s="142">
        <f t="shared" si="172"/>
        <v>0</v>
      </c>
      <c r="Z398" s="142">
        <f t="shared" si="172"/>
        <v>0</v>
      </c>
      <c r="AA398" s="142">
        <f t="shared" si="172"/>
        <v>0</v>
      </c>
      <c r="AB398" s="142">
        <f t="shared" si="172"/>
        <v>0</v>
      </c>
      <c r="AC398" s="142">
        <f t="shared" si="172"/>
        <v>0</v>
      </c>
      <c r="AD398" s="142">
        <f t="shared" si="172"/>
        <v>0</v>
      </c>
      <c r="AE398" s="142">
        <f t="shared" si="172"/>
        <v>0</v>
      </c>
      <c r="AF398" s="141"/>
      <c r="AG398" s="141"/>
      <c r="AH398" s="141"/>
      <c r="AI398" s="141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8" t="str">
        <f>Settings!$B$3&amp;".mit.abatf.cbam.tot.2"</f>
        <v>egy.mit.abatf.cbam.tot.2</v>
      </c>
      <c r="I399" t="s">
        <v>2830</v>
      </c>
      <c r="K399" s="139"/>
      <c r="L399" s="142">
        <f t="shared" ref="L399:AE399" si="173">SUMPRODUCT(L$252:L$259*(1-EXP(-L$262:L$269*L$397)))</f>
        <v>0</v>
      </c>
      <c r="M399" s="142">
        <f t="shared" si="173"/>
        <v>0</v>
      </c>
      <c r="N399" s="142">
        <f t="shared" si="173"/>
        <v>0</v>
      </c>
      <c r="O399" s="142">
        <f t="shared" si="173"/>
        <v>0</v>
      </c>
      <c r="P399" s="142">
        <f t="shared" si="173"/>
        <v>0</v>
      </c>
      <c r="Q399" s="142">
        <f t="shared" si="173"/>
        <v>0</v>
      </c>
      <c r="R399" s="142">
        <f t="shared" si="173"/>
        <v>0</v>
      </c>
      <c r="S399" s="142">
        <f t="shared" si="173"/>
        <v>0</v>
      </c>
      <c r="T399" s="142">
        <f t="shared" si="173"/>
        <v>0</v>
      </c>
      <c r="U399" s="142">
        <f t="shared" si="173"/>
        <v>0</v>
      </c>
      <c r="V399" s="142">
        <f t="shared" si="173"/>
        <v>0</v>
      </c>
      <c r="W399" s="142">
        <f t="shared" si="173"/>
        <v>0</v>
      </c>
      <c r="X399" s="142">
        <f t="shared" si="173"/>
        <v>0</v>
      </c>
      <c r="Y399" s="142">
        <f t="shared" si="173"/>
        <v>0</v>
      </c>
      <c r="Z399" s="142">
        <f t="shared" si="173"/>
        <v>0</v>
      </c>
      <c r="AA399" s="142">
        <f t="shared" si="173"/>
        <v>0</v>
      </c>
      <c r="AB399" s="142">
        <f t="shared" si="173"/>
        <v>0</v>
      </c>
      <c r="AC399" s="142">
        <f t="shared" si="173"/>
        <v>0</v>
      </c>
      <c r="AD399" s="142">
        <f t="shared" si="173"/>
        <v>0</v>
      </c>
      <c r="AE399" s="142">
        <f t="shared" si="173"/>
        <v>0</v>
      </c>
      <c r="AF399" s="141"/>
      <c r="AG399" s="141"/>
      <c r="AH399" s="141"/>
      <c r="AI399" s="141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8" t="str">
        <f>Settings!$B$3&amp;".mit.abatp.cbam.tot.2"</f>
        <v>egy.mit.abatp.cbam.tot.2</v>
      </c>
      <c r="I400" t="s">
        <v>2833</v>
      </c>
      <c r="K400" s="139"/>
      <c r="L400" s="142">
        <f t="shared" ref="L400:AE400" si="174">SUMPRODUCT(L$308:L$323*(1-EXP(-L$272:L$287*L$397)))</f>
        <v>0</v>
      </c>
      <c r="M400" s="142">
        <f t="shared" si="174"/>
        <v>0</v>
      </c>
      <c r="N400" s="142">
        <f t="shared" si="174"/>
        <v>0</v>
      </c>
      <c r="O400" s="142">
        <f t="shared" si="174"/>
        <v>0</v>
      </c>
      <c r="P400" s="142">
        <f t="shared" si="174"/>
        <v>0</v>
      </c>
      <c r="Q400" s="142">
        <f t="shared" si="174"/>
        <v>0</v>
      </c>
      <c r="R400" s="142">
        <f t="shared" si="174"/>
        <v>0</v>
      </c>
      <c r="S400" s="142">
        <f t="shared" si="174"/>
        <v>0</v>
      </c>
      <c r="T400" s="142">
        <f t="shared" si="174"/>
        <v>0</v>
      </c>
      <c r="U400" s="142">
        <f t="shared" si="174"/>
        <v>0</v>
      </c>
      <c r="V400" s="142">
        <f t="shared" si="174"/>
        <v>0</v>
      </c>
      <c r="W400" s="142">
        <f t="shared" si="174"/>
        <v>0</v>
      </c>
      <c r="X400" s="142">
        <f t="shared" si="174"/>
        <v>0</v>
      </c>
      <c r="Y400" s="142">
        <f t="shared" si="174"/>
        <v>0</v>
      </c>
      <c r="Z400" s="142">
        <f t="shared" si="174"/>
        <v>0</v>
      </c>
      <c r="AA400" s="142">
        <f t="shared" si="174"/>
        <v>0</v>
      </c>
      <c r="AB400" s="142">
        <f t="shared" si="174"/>
        <v>0</v>
      </c>
      <c r="AC400" s="142">
        <f t="shared" si="174"/>
        <v>0</v>
      </c>
      <c r="AD400" s="142">
        <f t="shared" si="174"/>
        <v>0</v>
      </c>
      <c r="AE400" s="142">
        <f t="shared" si="174"/>
        <v>0</v>
      </c>
      <c r="AF400" s="141"/>
      <c r="AG400" s="141"/>
      <c r="AH400" s="141"/>
      <c r="AI400" s="141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8" t="str">
        <f>Settings!$B$3&amp;".mit.outlay.cbam.tot.2"</f>
        <v>egy.mit.outlay.cbam.tot.2</v>
      </c>
      <c r="K401" s="139"/>
      <c r="L401" s="140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0">
        <f t="shared" si="175"/>
        <v>0</v>
      </c>
      <c r="N401" s="140">
        <f t="shared" si="175"/>
        <v>0</v>
      </c>
      <c r="O401" s="140">
        <f t="shared" si="175"/>
        <v>0</v>
      </c>
      <c r="P401" s="140">
        <f t="shared" si="175"/>
        <v>0</v>
      </c>
      <c r="Q401" s="140">
        <f t="shared" si="175"/>
        <v>0</v>
      </c>
      <c r="R401" s="140">
        <f t="shared" si="175"/>
        <v>0</v>
      </c>
      <c r="S401" s="140">
        <f t="shared" si="175"/>
        <v>0</v>
      </c>
      <c r="T401" s="140">
        <f t="shared" si="175"/>
        <v>0</v>
      </c>
      <c r="U401" s="140">
        <f t="shared" si="175"/>
        <v>0</v>
      </c>
      <c r="V401" s="140">
        <f t="shared" si="175"/>
        <v>0</v>
      </c>
      <c r="W401" s="140">
        <f t="shared" si="175"/>
        <v>0</v>
      </c>
      <c r="X401" s="140">
        <f t="shared" si="175"/>
        <v>0</v>
      </c>
      <c r="Y401" s="140">
        <f t="shared" si="175"/>
        <v>0</v>
      </c>
      <c r="Z401" s="140">
        <f t="shared" si="175"/>
        <v>0</v>
      </c>
      <c r="AA401" s="140">
        <f t="shared" si="175"/>
        <v>0</v>
      </c>
      <c r="AB401" s="140">
        <f t="shared" si="175"/>
        <v>0</v>
      </c>
      <c r="AC401" s="140">
        <f t="shared" si="175"/>
        <v>0</v>
      </c>
      <c r="AD401" s="140">
        <f t="shared" si="175"/>
        <v>0</v>
      </c>
      <c r="AE401" s="140">
        <f t="shared" si="175"/>
        <v>0</v>
      </c>
      <c r="AF401" s="141"/>
      <c r="AG401" s="141"/>
      <c r="AH401" s="141"/>
      <c r="AI401" s="141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9"/>
      <c r="L402" s="142">
        <f t="shared" ref="L402:AE402" si="176">L$401-L$329</f>
        <v>0</v>
      </c>
      <c r="M402" s="142">
        <f t="shared" si="176"/>
        <v>0</v>
      </c>
      <c r="N402" s="142">
        <f t="shared" si="176"/>
        <v>0</v>
      </c>
      <c r="O402" s="142">
        <f t="shared" si="176"/>
        <v>0</v>
      </c>
      <c r="P402" s="142">
        <f t="shared" si="176"/>
        <v>0</v>
      </c>
      <c r="Q402" s="142">
        <f t="shared" si="176"/>
        <v>0</v>
      </c>
      <c r="R402" s="142">
        <f t="shared" si="176"/>
        <v>0</v>
      </c>
      <c r="S402" s="142">
        <f t="shared" si="176"/>
        <v>0</v>
      </c>
      <c r="T402" s="142">
        <f t="shared" si="176"/>
        <v>0</v>
      </c>
      <c r="U402" s="142">
        <f t="shared" si="176"/>
        <v>0</v>
      </c>
      <c r="V402" s="142">
        <f t="shared" si="176"/>
        <v>0</v>
      </c>
      <c r="W402" s="142">
        <f t="shared" si="176"/>
        <v>0</v>
      </c>
      <c r="X402" s="142">
        <f t="shared" si="176"/>
        <v>0</v>
      </c>
      <c r="Y402" s="142">
        <f t="shared" si="176"/>
        <v>0</v>
      </c>
      <c r="Z402" s="142">
        <f t="shared" si="176"/>
        <v>0</v>
      </c>
      <c r="AA402" s="142">
        <f t="shared" si="176"/>
        <v>0</v>
      </c>
      <c r="AB402" s="142">
        <f t="shared" si="176"/>
        <v>0</v>
      </c>
      <c r="AC402" s="142">
        <f t="shared" si="176"/>
        <v>0</v>
      </c>
      <c r="AD402" s="142">
        <f t="shared" si="176"/>
        <v>0</v>
      </c>
      <c r="AE402" s="142">
        <f t="shared" si="176"/>
        <v>0</v>
      </c>
      <c r="AF402" s="141"/>
      <c r="AG402" s="141"/>
      <c r="AH402" s="141"/>
      <c r="AI402" s="141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8" t="str">
        <f>Settings!$B$3&amp;".mit.unspent.cbam.tot.2"</f>
        <v>egy.mit.unspent.cbam.tot.2</v>
      </c>
      <c r="K403" s="139"/>
      <c r="L403" s="140">
        <f t="shared" ref="L403:AE403" si="177">MAX(0,L$329-L$401)</f>
        <v>0</v>
      </c>
      <c r="M403" s="140">
        <f t="shared" si="177"/>
        <v>0</v>
      </c>
      <c r="N403" s="140">
        <f t="shared" si="177"/>
        <v>0</v>
      </c>
      <c r="O403" s="140">
        <f t="shared" si="177"/>
        <v>0</v>
      </c>
      <c r="P403" s="140">
        <f t="shared" si="177"/>
        <v>0</v>
      </c>
      <c r="Q403" s="140">
        <f t="shared" si="177"/>
        <v>0</v>
      </c>
      <c r="R403" s="140">
        <f t="shared" si="177"/>
        <v>0</v>
      </c>
      <c r="S403" s="140">
        <f t="shared" si="177"/>
        <v>0</v>
      </c>
      <c r="T403" s="140">
        <f t="shared" si="177"/>
        <v>0</v>
      </c>
      <c r="U403" s="140">
        <f t="shared" si="177"/>
        <v>0</v>
      </c>
      <c r="V403" s="140">
        <f t="shared" si="177"/>
        <v>0</v>
      </c>
      <c r="W403" s="140">
        <f t="shared" si="177"/>
        <v>0</v>
      </c>
      <c r="X403" s="140">
        <f t="shared" si="177"/>
        <v>0</v>
      </c>
      <c r="Y403" s="140">
        <f t="shared" si="177"/>
        <v>0</v>
      </c>
      <c r="Z403" s="140">
        <f t="shared" si="177"/>
        <v>0</v>
      </c>
      <c r="AA403" s="140">
        <f t="shared" si="177"/>
        <v>0</v>
      </c>
      <c r="AB403" s="140">
        <f t="shared" si="177"/>
        <v>0</v>
      </c>
      <c r="AC403" s="140">
        <f t="shared" si="177"/>
        <v>0</v>
      </c>
      <c r="AD403" s="140">
        <f t="shared" si="177"/>
        <v>0</v>
      </c>
      <c r="AE403" s="140">
        <f t="shared" si="177"/>
        <v>0</v>
      </c>
      <c r="AF403" s="141"/>
      <c r="AG403" s="141"/>
      <c r="AH403" s="141"/>
      <c r="AI403" s="141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9"/>
      <c r="L404" s="144">
        <f t="shared" ref="L404:AE404" si="178">(L$329&gt;0)*(L$397&gt;=$F$5-0.000000001)</f>
        <v>0</v>
      </c>
      <c r="M404" s="144">
        <f t="shared" si="178"/>
        <v>0</v>
      </c>
      <c r="N404" s="144">
        <f t="shared" si="178"/>
        <v>0</v>
      </c>
      <c r="O404" s="144">
        <f t="shared" si="178"/>
        <v>0</v>
      </c>
      <c r="P404" s="144">
        <f t="shared" si="178"/>
        <v>0</v>
      </c>
      <c r="Q404" s="144">
        <f t="shared" si="178"/>
        <v>0</v>
      </c>
      <c r="R404" s="144">
        <f t="shared" si="178"/>
        <v>0</v>
      </c>
      <c r="S404" s="144">
        <f t="shared" si="178"/>
        <v>0</v>
      </c>
      <c r="T404" s="144">
        <f t="shared" si="178"/>
        <v>0</v>
      </c>
      <c r="U404" s="144">
        <f t="shared" si="178"/>
        <v>0</v>
      </c>
      <c r="V404" s="144">
        <f t="shared" si="178"/>
        <v>0</v>
      </c>
      <c r="W404" s="144">
        <f t="shared" si="178"/>
        <v>0</v>
      </c>
      <c r="X404" s="144">
        <f t="shared" si="178"/>
        <v>0</v>
      </c>
      <c r="Y404" s="144">
        <f t="shared" si="178"/>
        <v>0</v>
      </c>
      <c r="Z404" s="144">
        <f t="shared" si="178"/>
        <v>0</v>
      </c>
      <c r="AA404" s="144">
        <f t="shared" si="178"/>
        <v>0</v>
      </c>
      <c r="AB404" s="144">
        <f t="shared" si="178"/>
        <v>0</v>
      </c>
      <c r="AC404" s="144">
        <f t="shared" si="178"/>
        <v>0</v>
      </c>
      <c r="AD404" s="144">
        <f t="shared" si="178"/>
        <v>0</v>
      </c>
      <c r="AE404" s="144">
        <f t="shared" si="178"/>
        <v>0</v>
      </c>
      <c r="AF404" s="141"/>
      <c r="AG404" s="141"/>
      <c r="AH404" s="141"/>
      <c r="AI404" s="141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8" t="str">
        <f>Settings!$B$3&amp;".mit.cpt.cbam.tot.2"</f>
        <v>egy.mit.cpt.cbam.tot.2</v>
      </c>
      <c r="K405" s="139"/>
      <c r="L405" s="140">
        <f t="shared" ref="L405:AE405" si="179">IF(L$398&gt;0,L$401/L$398,0)</f>
        <v>0</v>
      </c>
      <c r="M405" s="140">
        <f t="shared" si="179"/>
        <v>0</v>
      </c>
      <c r="N405" s="140">
        <f t="shared" si="179"/>
        <v>0</v>
      </c>
      <c r="O405" s="140">
        <f t="shared" si="179"/>
        <v>0</v>
      </c>
      <c r="P405" s="140">
        <f t="shared" si="179"/>
        <v>0</v>
      </c>
      <c r="Q405" s="140">
        <f t="shared" si="179"/>
        <v>0</v>
      </c>
      <c r="R405" s="140">
        <f t="shared" si="179"/>
        <v>0</v>
      </c>
      <c r="S405" s="140">
        <f t="shared" si="179"/>
        <v>0</v>
      </c>
      <c r="T405" s="140">
        <f t="shared" si="179"/>
        <v>0</v>
      </c>
      <c r="U405" s="140">
        <f t="shared" si="179"/>
        <v>0</v>
      </c>
      <c r="V405" s="140">
        <f t="shared" si="179"/>
        <v>0</v>
      </c>
      <c r="W405" s="140">
        <f t="shared" si="179"/>
        <v>0</v>
      </c>
      <c r="X405" s="140">
        <f t="shared" si="179"/>
        <v>0</v>
      </c>
      <c r="Y405" s="140">
        <f t="shared" si="179"/>
        <v>0</v>
      </c>
      <c r="Z405" s="140">
        <f t="shared" si="179"/>
        <v>0</v>
      </c>
      <c r="AA405" s="140">
        <f t="shared" si="179"/>
        <v>0</v>
      </c>
      <c r="AB405" s="140">
        <f t="shared" si="179"/>
        <v>0</v>
      </c>
      <c r="AC405" s="140">
        <f t="shared" si="179"/>
        <v>0</v>
      </c>
      <c r="AD405" s="140">
        <f t="shared" si="179"/>
        <v>0</v>
      </c>
      <c r="AE405" s="140">
        <f t="shared" si="179"/>
        <v>0</v>
      </c>
      <c r="AF405" s="141"/>
      <c r="AG405" s="141"/>
      <c r="AH405" s="141"/>
      <c r="AI405" s="141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9"/>
      <c r="L406" s="143">
        <f>L$218*Mitigation_Industry!L$799</f>
        <v>0</v>
      </c>
      <c r="M406" s="143">
        <f>M$218*Mitigation_Industry!M$799</f>
        <v>0</v>
      </c>
      <c r="N406" s="143">
        <f>N$218*Mitigation_Industry!N$799</f>
        <v>0</v>
      </c>
      <c r="O406" s="143">
        <f>O$218*Mitigation_Industry!O$799</f>
        <v>0</v>
      </c>
      <c r="P406" s="143">
        <f>P$218*Mitigation_Industry!P$799</f>
        <v>0</v>
      </c>
      <c r="Q406" s="143">
        <f>Q$218*Mitigation_Industry!Q$799</f>
        <v>0</v>
      </c>
      <c r="R406" s="143">
        <f>R$218*Mitigation_Industry!R$799</f>
        <v>0</v>
      </c>
      <c r="S406" s="143">
        <f>S$218*Mitigation_Industry!S$799</f>
        <v>0</v>
      </c>
      <c r="T406" s="143">
        <f>T$218*Mitigation_Industry!T$799</f>
        <v>0</v>
      </c>
      <c r="U406" s="143">
        <f>U$218*Mitigation_Industry!U$799</f>
        <v>0</v>
      </c>
      <c r="V406" s="143">
        <f>V$218*Mitigation_Industry!V$799</f>
        <v>0</v>
      </c>
      <c r="W406" s="143">
        <f>W$218*Mitigation_Industry!W$799</f>
        <v>0</v>
      </c>
      <c r="X406" s="143">
        <f>X$218*Mitigation_Industry!X$799</f>
        <v>0</v>
      </c>
      <c r="Y406" s="143">
        <f>Y$218*Mitigation_Industry!Y$799</f>
        <v>0</v>
      </c>
      <c r="Z406" s="143">
        <f>Z$218*Mitigation_Industry!Z$799</f>
        <v>0</v>
      </c>
      <c r="AA406" s="143">
        <f>AA$218*Mitigation_Industry!AA$799</f>
        <v>0</v>
      </c>
      <c r="AB406" s="143">
        <f>AB$218*Mitigation_Industry!AB$799</f>
        <v>0</v>
      </c>
      <c r="AC406" s="143">
        <f>AC$218*Mitigation_Industry!AC$799</f>
        <v>0</v>
      </c>
      <c r="AD406" s="143">
        <f>AD$218*Mitigation_Industry!AD$799</f>
        <v>0</v>
      </c>
      <c r="AE406" s="143">
        <f>AE$218*Mitigation_Industry!AE$799</f>
        <v>0</v>
      </c>
      <c r="AF406" s="141"/>
      <c r="AG406" s="141"/>
      <c r="AH406" s="141"/>
      <c r="AI406" s="141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9"/>
      <c r="L407" s="143">
        <f t="shared" ref="L407:AE407" si="180">L406-L$329</f>
        <v>0</v>
      </c>
      <c r="M407" s="143">
        <f t="shared" si="180"/>
        <v>0</v>
      </c>
      <c r="N407" s="143">
        <f t="shared" si="180"/>
        <v>0</v>
      </c>
      <c r="O407" s="143">
        <f t="shared" si="180"/>
        <v>0</v>
      </c>
      <c r="P407" s="143">
        <f t="shared" si="180"/>
        <v>0</v>
      </c>
      <c r="Q407" s="143">
        <f t="shared" si="180"/>
        <v>0</v>
      </c>
      <c r="R407" s="143">
        <f t="shared" si="180"/>
        <v>0</v>
      </c>
      <c r="S407" s="143">
        <f t="shared" si="180"/>
        <v>0</v>
      </c>
      <c r="T407" s="143">
        <f t="shared" si="180"/>
        <v>0</v>
      </c>
      <c r="U407" s="143">
        <f t="shared" si="180"/>
        <v>0</v>
      </c>
      <c r="V407" s="143">
        <f t="shared" si="180"/>
        <v>0</v>
      </c>
      <c r="W407" s="143">
        <f t="shared" si="180"/>
        <v>0</v>
      </c>
      <c r="X407" s="143">
        <f t="shared" si="180"/>
        <v>0</v>
      </c>
      <c r="Y407" s="143">
        <f t="shared" si="180"/>
        <v>0</v>
      </c>
      <c r="Z407" s="143">
        <f t="shared" si="180"/>
        <v>0</v>
      </c>
      <c r="AA407" s="143">
        <f t="shared" si="180"/>
        <v>0</v>
      </c>
      <c r="AB407" s="143">
        <f t="shared" si="180"/>
        <v>0</v>
      </c>
      <c r="AC407" s="143">
        <f t="shared" si="180"/>
        <v>0</v>
      </c>
      <c r="AD407" s="143">
        <f t="shared" si="180"/>
        <v>0</v>
      </c>
      <c r="AE407" s="143">
        <f t="shared" si="180"/>
        <v>0</v>
      </c>
      <c r="AF407" s="141"/>
      <c r="AG407" s="141"/>
      <c r="AH407" s="141"/>
      <c r="AI407" s="141"/>
    </row>
    <row r="408" spans="1:35" x14ac:dyDescent="0.35"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7">
        <v>2021</v>
      </c>
      <c r="L409" s="138">
        <v>2022</v>
      </c>
      <c r="M409" s="137">
        <v>2023</v>
      </c>
      <c r="N409" s="137">
        <v>2024</v>
      </c>
      <c r="O409" s="137">
        <v>2025</v>
      </c>
      <c r="P409" s="137">
        <v>2026</v>
      </c>
      <c r="Q409" s="137">
        <v>2027</v>
      </c>
      <c r="R409" s="137">
        <v>2028</v>
      </c>
      <c r="S409" s="137">
        <v>2029</v>
      </c>
      <c r="T409" s="137">
        <v>2030</v>
      </c>
      <c r="U409" s="137">
        <v>2031</v>
      </c>
      <c r="V409" s="137">
        <v>2032</v>
      </c>
      <c r="W409" s="137">
        <v>2033</v>
      </c>
      <c r="X409" s="137">
        <v>2034</v>
      </c>
      <c r="Y409" s="137">
        <v>2035</v>
      </c>
      <c r="Z409" s="137">
        <v>2036</v>
      </c>
      <c r="AA409" s="137">
        <v>2037</v>
      </c>
      <c r="AB409" s="137">
        <v>2038</v>
      </c>
      <c r="AC409" s="137">
        <v>2039</v>
      </c>
      <c r="AD409" s="137">
        <v>2040</v>
      </c>
      <c r="AE409" s="137">
        <v>2041</v>
      </c>
      <c r="AF409" s="137">
        <v>2042</v>
      </c>
      <c r="AG409" s="137">
        <v>2043</v>
      </c>
      <c r="AH409" s="137">
        <v>2044</v>
      </c>
      <c r="AI409" s="137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8" t="str">
        <f>Settings!$B$3&amp;".mit.shpf.coa.ind.2"</f>
        <v>egy.mit.shpf.coa.ind.2</v>
      </c>
      <c r="K410" s="140"/>
      <c r="L410" s="140">
        <f>L$397*Scenarios!$E$30</f>
        <v>0</v>
      </c>
      <c r="M410" s="140">
        <f>M$397*Scenarios!$E$30</f>
        <v>0</v>
      </c>
      <c r="N410" s="140">
        <f>N$397*Scenarios!$E$30</f>
        <v>0</v>
      </c>
      <c r="O410" s="140">
        <f>O$397*Scenarios!$E$30</f>
        <v>0</v>
      </c>
      <c r="P410" s="140">
        <f>P$397*Scenarios!$E$30</f>
        <v>0</v>
      </c>
      <c r="Q410" s="140">
        <f>Q$397*Scenarios!$E$30</f>
        <v>0</v>
      </c>
      <c r="R410" s="140">
        <f>R$397*Scenarios!$E$30</f>
        <v>0</v>
      </c>
      <c r="S410" s="140">
        <f>S$397*Scenarios!$E$30</f>
        <v>0</v>
      </c>
      <c r="T410" s="140">
        <f>T$397*Scenarios!$E$30</f>
        <v>0</v>
      </c>
      <c r="U410" s="140">
        <f>U$397*Scenarios!$E$30</f>
        <v>0</v>
      </c>
      <c r="V410" s="140">
        <f>V$397*Scenarios!$E$30</f>
        <v>0</v>
      </c>
      <c r="W410" s="140">
        <f>W$397*Scenarios!$E$30</f>
        <v>0</v>
      </c>
      <c r="X410" s="140">
        <f>X$397*Scenarios!$E$30</f>
        <v>0</v>
      </c>
      <c r="Y410" s="140">
        <f>Y$397*Scenarios!$E$30</f>
        <v>0</v>
      </c>
      <c r="Z410" s="140">
        <f>Z$397*Scenarios!$E$30</f>
        <v>0</v>
      </c>
      <c r="AA410" s="140">
        <f>AA$397*Scenarios!$E$30</f>
        <v>0</v>
      </c>
      <c r="AB410" s="140">
        <f>AB$397*Scenarios!$E$30</f>
        <v>0</v>
      </c>
      <c r="AC410" s="140">
        <f>AC$397*Scenarios!$E$30</f>
        <v>0</v>
      </c>
      <c r="AD410" s="140">
        <f>AD$397*Scenarios!$E$30</f>
        <v>0</v>
      </c>
      <c r="AE410" s="140">
        <f>AE$397*Scenarios!$E$30</f>
        <v>0</v>
      </c>
      <c r="AF410" s="141"/>
      <c r="AG410" s="141"/>
      <c r="AH410" s="141"/>
      <c r="AI410" s="141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8" t="str">
        <f>Settings!$B$3&amp;".mit.shpf.nga.ind.2"</f>
        <v>egy.mit.shpf.nga.ind.2</v>
      </c>
      <c r="K411" s="140"/>
      <c r="L411" s="140">
        <f>L$397*Scenarios!$E$31</f>
        <v>0</v>
      </c>
      <c r="M411" s="140">
        <f>M$397*Scenarios!$E$31</f>
        <v>0</v>
      </c>
      <c r="N411" s="140">
        <f>N$397*Scenarios!$E$31</f>
        <v>0</v>
      </c>
      <c r="O411" s="140">
        <f>O$397*Scenarios!$E$31</f>
        <v>0</v>
      </c>
      <c r="P411" s="140">
        <f>P$397*Scenarios!$E$31</f>
        <v>0</v>
      </c>
      <c r="Q411" s="140">
        <f>Q$397*Scenarios!$E$31</f>
        <v>0</v>
      </c>
      <c r="R411" s="140">
        <f>R$397*Scenarios!$E$31</f>
        <v>0</v>
      </c>
      <c r="S411" s="140">
        <f>S$397*Scenarios!$E$31</f>
        <v>0</v>
      </c>
      <c r="T411" s="140">
        <f>T$397*Scenarios!$E$31</f>
        <v>0</v>
      </c>
      <c r="U411" s="140">
        <f>U$397*Scenarios!$E$31</f>
        <v>0</v>
      </c>
      <c r="V411" s="140">
        <f>V$397*Scenarios!$E$31</f>
        <v>0</v>
      </c>
      <c r="W411" s="140">
        <f>W$397*Scenarios!$E$31</f>
        <v>0</v>
      </c>
      <c r="X411" s="140">
        <f>X$397*Scenarios!$E$31</f>
        <v>0</v>
      </c>
      <c r="Y411" s="140">
        <f>Y$397*Scenarios!$E$31</f>
        <v>0</v>
      </c>
      <c r="Z411" s="140">
        <f>Z$397*Scenarios!$E$31</f>
        <v>0</v>
      </c>
      <c r="AA411" s="140">
        <f>AA$397*Scenarios!$E$31</f>
        <v>0</v>
      </c>
      <c r="AB411" s="140">
        <f>AB$397*Scenarios!$E$31</f>
        <v>0</v>
      </c>
      <c r="AC411" s="140">
        <f>AC$397*Scenarios!$E$31</f>
        <v>0</v>
      </c>
      <c r="AD411" s="140">
        <f>AD$397*Scenarios!$E$31</f>
        <v>0</v>
      </c>
      <c r="AE411" s="140">
        <f>AE$397*Scenarios!$E$31</f>
        <v>0</v>
      </c>
      <c r="AF411" s="141"/>
      <c r="AG411" s="141"/>
      <c r="AH411" s="141"/>
      <c r="AI411" s="141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8" t="str">
        <f>Settings!$B$3&amp;".mit.shpf.gso.ind.2"</f>
        <v>egy.mit.shpf.gso.ind.2</v>
      </c>
      <c r="K412" s="140"/>
      <c r="L412" s="140">
        <f>L$397*Scenarios!$E$32</f>
        <v>0</v>
      </c>
      <c r="M412" s="140">
        <f>M$397*Scenarios!$E$32</f>
        <v>0</v>
      </c>
      <c r="N412" s="140">
        <f>N$397*Scenarios!$E$32</f>
        <v>0</v>
      </c>
      <c r="O412" s="140">
        <f>O$397*Scenarios!$E$32</f>
        <v>0</v>
      </c>
      <c r="P412" s="140">
        <f>P$397*Scenarios!$E$32</f>
        <v>0</v>
      </c>
      <c r="Q412" s="140">
        <f>Q$397*Scenarios!$E$32</f>
        <v>0</v>
      </c>
      <c r="R412" s="140">
        <f>R$397*Scenarios!$E$32</f>
        <v>0</v>
      </c>
      <c r="S412" s="140">
        <f>S$397*Scenarios!$E$32</f>
        <v>0</v>
      </c>
      <c r="T412" s="140">
        <f>T$397*Scenarios!$E$32</f>
        <v>0</v>
      </c>
      <c r="U412" s="140">
        <f>U$397*Scenarios!$E$32</f>
        <v>0</v>
      </c>
      <c r="V412" s="140">
        <f>V$397*Scenarios!$E$32</f>
        <v>0</v>
      </c>
      <c r="W412" s="140">
        <f>W$397*Scenarios!$E$32</f>
        <v>0</v>
      </c>
      <c r="X412" s="140">
        <f>X$397*Scenarios!$E$32</f>
        <v>0</v>
      </c>
      <c r="Y412" s="140">
        <f>Y$397*Scenarios!$E$32</f>
        <v>0</v>
      </c>
      <c r="Z412" s="140">
        <f>Z$397*Scenarios!$E$32</f>
        <v>0</v>
      </c>
      <c r="AA412" s="140">
        <f>AA$397*Scenarios!$E$32</f>
        <v>0</v>
      </c>
      <c r="AB412" s="140">
        <f>AB$397*Scenarios!$E$32</f>
        <v>0</v>
      </c>
      <c r="AC412" s="140">
        <f>AC$397*Scenarios!$E$32</f>
        <v>0</v>
      </c>
      <c r="AD412" s="140">
        <f>AD$397*Scenarios!$E$32</f>
        <v>0</v>
      </c>
      <c r="AE412" s="140">
        <f>AE$397*Scenarios!$E$32</f>
        <v>0</v>
      </c>
      <c r="AF412" s="141"/>
      <c r="AG412" s="141"/>
      <c r="AH412" s="141"/>
      <c r="AI412" s="141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8" t="str">
        <f>Settings!$B$3&amp;".mit.shpf.die.ind.2"</f>
        <v>egy.mit.shpf.die.ind.2</v>
      </c>
      <c r="K413" s="140"/>
      <c r="L413" s="140">
        <f>L$397*Scenarios!$E$33</f>
        <v>0</v>
      </c>
      <c r="M413" s="140">
        <f>M$397*Scenarios!$E$33</f>
        <v>0</v>
      </c>
      <c r="N413" s="140">
        <f>N$397*Scenarios!$E$33</f>
        <v>0</v>
      </c>
      <c r="O413" s="140">
        <f>O$397*Scenarios!$E$33</f>
        <v>0</v>
      </c>
      <c r="P413" s="140">
        <f>P$397*Scenarios!$E$33</f>
        <v>0</v>
      </c>
      <c r="Q413" s="140">
        <f>Q$397*Scenarios!$E$33</f>
        <v>0</v>
      </c>
      <c r="R413" s="140">
        <f>R$397*Scenarios!$E$33</f>
        <v>0</v>
      </c>
      <c r="S413" s="140">
        <f>S$397*Scenarios!$E$33</f>
        <v>0</v>
      </c>
      <c r="T413" s="140">
        <f>T$397*Scenarios!$E$33</f>
        <v>0</v>
      </c>
      <c r="U413" s="140">
        <f>U$397*Scenarios!$E$33</f>
        <v>0</v>
      </c>
      <c r="V413" s="140">
        <f>V$397*Scenarios!$E$33</f>
        <v>0</v>
      </c>
      <c r="W413" s="140">
        <f>W$397*Scenarios!$E$33</f>
        <v>0</v>
      </c>
      <c r="X413" s="140">
        <f>X$397*Scenarios!$E$33</f>
        <v>0</v>
      </c>
      <c r="Y413" s="140">
        <f>Y$397*Scenarios!$E$33</f>
        <v>0</v>
      </c>
      <c r="Z413" s="140">
        <f>Z$397*Scenarios!$E$33</f>
        <v>0</v>
      </c>
      <c r="AA413" s="140">
        <f>AA$397*Scenarios!$E$33</f>
        <v>0</v>
      </c>
      <c r="AB413" s="140">
        <f>AB$397*Scenarios!$E$33</f>
        <v>0</v>
      </c>
      <c r="AC413" s="140">
        <f>AC$397*Scenarios!$E$33</f>
        <v>0</v>
      </c>
      <c r="AD413" s="140">
        <f>AD$397*Scenarios!$E$33</f>
        <v>0</v>
      </c>
      <c r="AE413" s="140">
        <f>AE$397*Scenarios!$E$33</f>
        <v>0</v>
      </c>
      <c r="AF413" s="141"/>
      <c r="AG413" s="141"/>
      <c r="AH413" s="141"/>
      <c r="AI413" s="141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8" t="str">
        <f>Settings!$B$3&amp;".mit.shpf.lpg.ind.2"</f>
        <v>egy.mit.shpf.lpg.ind.2</v>
      </c>
      <c r="K414" s="140"/>
      <c r="L414" s="140">
        <f>L$397*Scenarios!$E$34</f>
        <v>0</v>
      </c>
      <c r="M414" s="140">
        <f>M$397*Scenarios!$E$34</f>
        <v>0</v>
      </c>
      <c r="N414" s="140">
        <f>N$397*Scenarios!$E$34</f>
        <v>0</v>
      </c>
      <c r="O414" s="140">
        <f>O$397*Scenarios!$E$34</f>
        <v>0</v>
      </c>
      <c r="P414" s="140">
        <f>P$397*Scenarios!$E$34</f>
        <v>0</v>
      </c>
      <c r="Q414" s="140">
        <f>Q$397*Scenarios!$E$34</f>
        <v>0</v>
      </c>
      <c r="R414" s="140">
        <f>R$397*Scenarios!$E$34</f>
        <v>0</v>
      </c>
      <c r="S414" s="140">
        <f>S$397*Scenarios!$E$34</f>
        <v>0</v>
      </c>
      <c r="T414" s="140">
        <f>T$397*Scenarios!$E$34</f>
        <v>0</v>
      </c>
      <c r="U414" s="140">
        <f>U$397*Scenarios!$E$34</f>
        <v>0</v>
      </c>
      <c r="V414" s="140">
        <f>V$397*Scenarios!$E$34</f>
        <v>0</v>
      </c>
      <c r="W414" s="140">
        <f>W$397*Scenarios!$E$34</f>
        <v>0</v>
      </c>
      <c r="X414" s="140">
        <f>X$397*Scenarios!$E$34</f>
        <v>0</v>
      </c>
      <c r="Y414" s="140">
        <f>Y$397*Scenarios!$E$34</f>
        <v>0</v>
      </c>
      <c r="Z414" s="140">
        <f>Z$397*Scenarios!$E$34</f>
        <v>0</v>
      </c>
      <c r="AA414" s="140">
        <f>AA$397*Scenarios!$E$34</f>
        <v>0</v>
      </c>
      <c r="AB414" s="140">
        <f>AB$397*Scenarios!$E$34</f>
        <v>0</v>
      </c>
      <c r="AC414" s="140">
        <f>AC$397*Scenarios!$E$34</f>
        <v>0</v>
      </c>
      <c r="AD414" s="140">
        <f>AD$397*Scenarios!$E$34</f>
        <v>0</v>
      </c>
      <c r="AE414" s="140">
        <f>AE$397*Scenarios!$E$34</f>
        <v>0</v>
      </c>
      <c r="AF414" s="141"/>
      <c r="AG414" s="141"/>
      <c r="AH414" s="141"/>
      <c r="AI414" s="141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8" t="str">
        <f>Settings!$B$3&amp;".mit.shpf.ker.ind.2"</f>
        <v>egy.mit.shpf.ker.ind.2</v>
      </c>
      <c r="K415" s="140"/>
      <c r="L415" s="140">
        <f>L$397*Scenarios!$E$35</f>
        <v>0</v>
      </c>
      <c r="M415" s="140">
        <f>M$397*Scenarios!$E$35</f>
        <v>0</v>
      </c>
      <c r="N415" s="140">
        <f>N$397*Scenarios!$E$35</f>
        <v>0</v>
      </c>
      <c r="O415" s="140">
        <f>O$397*Scenarios!$E$35</f>
        <v>0</v>
      </c>
      <c r="P415" s="140">
        <f>P$397*Scenarios!$E$35</f>
        <v>0</v>
      </c>
      <c r="Q415" s="140">
        <f>Q$397*Scenarios!$E$35</f>
        <v>0</v>
      </c>
      <c r="R415" s="140">
        <f>R$397*Scenarios!$E$35</f>
        <v>0</v>
      </c>
      <c r="S415" s="140">
        <f>S$397*Scenarios!$E$35</f>
        <v>0</v>
      </c>
      <c r="T415" s="140">
        <f>T$397*Scenarios!$E$35</f>
        <v>0</v>
      </c>
      <c r="U415" s="140">
        <f>U$397*Scenarios!$E$35</f>
        <v>0</v>
      </c>
      <c r="V415" s="140">
        <f>V$397*Scenarios!$E$35</f>
        <v>0</v>
      </c>
      <c r="W415" s="140">
        <f>W$397*Scenarios!$E$35</f>
        <v>0</v>
      </c>
      <c r="X415" s="140">
        <f>X$397*Scenarios!$E$35</f>
        <v>0</v>
      </c>
      <c r="Y415" s="140">
        <f>Y$397*Scenarios!$E$35</f>
        <v>0</v>
      </c>
      <c r="Z415" s="140">
        <f>Z$397*Scenarios!$E$35</f>
        <v>0</v>
      </c>
      <c r="AA415" s="140">
        <f>AA$397*Scenarios!$E$35</f>
        <v>0</v>
      </c>
      <c r="AB415" s="140">
        <f>AB$397*Scenarios!$E$35</f>
        <v>0</v>
      </c>
      <c r="AC415" s="140">
        <f>AC$397*Scenarios!$E$35</f>
        <v>0</v>
      </c>
      <c r="AD415" s="140">
        <f>AD$397*Scenarios!$E$35</f>
        <v>0</v>
      </c>
      <c r="AE415" s="140">
        <f>AE$397*Scenarios!$E$35</f>
        <v>0</v>
      </c>
      <c r="AF415" s="141"/>
      <c r="AG415" s="141"/>
      <c r="AH415" s="141"/>
      <c r="AI415" s="141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8" t="str">
        <f>Settings!$B$3&amp;".mit.shpf.oop.ind.2"</f>
        <v>egy.mit.shpf.oop.ind.2</v>
      </c>
      <c r="K416" s="140"/>
      <c r="L416" s="140">
        <f>L$397*Scenarios!$E$36</f>
        <v>0</v>
      </c>
      <c r="M416" s="140">
        <f>M$397*Scenarios!$E$36</f>
        <v>0</v>
      </c>
      <c r="N416" s="140">
        <f>N$397*Scenarios!$E$36</f>
        <v>0</v>
      </c>
      <c r="O416" s="140">
        <f>O$397*Scenarios!$E$36</f>
        <v>0</v>
      </c>
      <c r="P416" s="140">
        <f>P$397*Scenarios!$E$36</f>
        <v>0</v>
      </c>
      <c r="Q416" s="140">
        <f>Q$397*Scenarios!$E$36</f>
        <v>0</v>
      </c>
      <c r="R416" s="140">
        <f>R$397*Scenarios!$E$36</f>
        <v>0</v>
      </c>
      <c r="S416" s="140">
        <f>S$397*Scenarios!$E$36</f>
        <v>0</v>
      </c>
      <c r="T416" s="140">
        <f>T$397*Scenarios!$E$36</f>
        <v>0</v>
      </c>
      <c r="U416" s="140">
        <f>U$397*Scenarios!$E$36</f>
        <v>0</v>
      </c>
      <c r="V416" s="140">
        <f>V$397*Scenarios!$E$36</f>
        <v>0</v>
      </c>
      <c r="W416" s="140">
        <f>W$397*Scenarios!$E$36</f>
        <v>0</v>
      </c>
      <c r="X416" s="140">
        <f>X$397*Scenarios!$E$36</f>
        <v>0</v>
      </c>
      <c r="Y416" s="140">
        <f>Y$397*Scenarios!$E$36</f>
        <v>0</v>
      </c>
      <c r="Z416" s="140">
        <f>Z$397*Scenarios!$E$36</f>
        <v>0</v>
      </c>
      <c r="AA416" s="140">
        <f>AA$397*Scenarios!$E$36</f>
        <v>0</v>
      </c>
      <c r="AB416" s="140">
        <f>AB$397*Scenarios!$E$36</f>
        <v>0</v>
      </c>
      <c r="AC416" s="140">
        <f>AC$397*Scenarios!$E$36</f>
        <v>0</v>
      </c>
      <c r="AD416" s="140">
        <f>AD$397*Scenarios!$E$36</f>
        <v>0</v>
      </c>
      <c r="AE416" s="140">
        <f>AE$397*Scenarios!$E$36</f>
        <v>0</v>
      </c>
      <c r="AF416" s="141"/>
      <c r="AG416" s="141"/>
      <c r="AH416" s="141"/>
      <c r="AI416" s="141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8" t="str">
        <f>Settings!$B$3&amp;".mit.shpf.bio.ind.2"</f>
        <v>egy.mit.shpf.bio.ind.2</v>
      </c>
      <c r="K417" s="140"/>
      <c r="L417" s="140">
        <f>L$397*Scenarios!$E$37</f>
        <v>0</v>
      </c>
      <c r="M417" s="140">
        <f>M$397*Scenarios!$E$37</f>
        <v>0</v>
      </c>
      <c r="N417" s="140">
        <f>N$397*Scenarios!$E$37</f>
        <v>0</v>
      </c>
      <c r="O417" s="140">
        <f>O$397*Scenarios!$E$37</f>
        <v>0</v>
      </c>
      <c r="P417" s="140">
        <f>P$397*Scenarios!$E$37</f>
        <v>0</v>
      </c>
      <c r="Q417" s="140">
        <f>Q$397*Scenarios!$E$37</f>
        <v>0</v>
      </c>
      <c r="R417" s="140">
        <f>R$397*Scenarios!$E$37</f>
        <v>0</v>
      </c>
      <c r="S417" s="140">
        <f>S$397*Scenarios!$E$37</f>
        <v>0</v>
      </c>
      <c r="T417" s="140">
        <f>T$397*Scenarios!$E$37</f>
        <v>0</v>
      </c>
      <c r="U417" s="140">
        <f>U$397*Scenarios!$E$37</f>
        <v>0</v>
      </c>
      <c r="V417" s="140">
        <f>V$397*Scenarios!$E$37</f>
        <v>0</v>
      </c>
      <c r="W417" s="140">
        <f>W$397*Scenarios!$E$37</f>
        <v>0</v>
      </c>
      <c r="X417" s="140">
        <f>X$397*Scenarios!$E$37</f>
        <v>0</v>
      </c>
      <c r="Y417" s="140">
        <f>Y$397*Scenarios!$E$37</f>
        <v>0</v>
      </c>
      <c r="Z417" s="140">
        <f>Z$397*Scenarios!$E$37</f>
        <v>0</v>
      </c>
      <c r="AA417" s="140">
        <f>AA$397*Scenarios!$E$37</f>
        <v>0</v>
      </c>
      <c r="AB417" s="140">
        <f>AB$397*Scenarios!$E$37</f>
        <v>0</v>
      </c>
      <c r="AC417" s="140">
        <f>AC$397*Scenarios!$E$37</f>
        <v>0</v>
      </c>
      <c r="AD417" s="140">
        <f>AD$397*Scenarios!$E$37</f>
        <v>0</v>
      </c>
      <c r="AE417" s="140">
        <f>AE$397*Scenarios!$E$37</f>
        <v>0</v>
      </c>
      <c r="AF417" s="141"/>
      <c r="AG417" s="141"/>
      <c r="AH417" s="141"/>
      <c r="AI417" s="141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8" t="str">
        <f>Settings!$B$3&amp;".mit.shpf.ren.ind.2"</f>
        <v>egy.mit.shpf.ren.ind.2</v>
      </c>
      <c r="K418" s="140"/>
      <c r="L418" s="140">
        <f>L$397*Scenarios!$E$38</f>
        <v>0</v>
      </c>
      <c r="M418" s="140">
        <f>M$397*Scenarios!$E$38</f>
        <v>0</v>
      </c>
      <c r="N418" s="140">
        <f>N$397*Scenarios!$E$38</f>
        <v>0</v>
      </c>
      <c r="O418" s="140">
        <f>O$397*Scenarios!$E$38</f>
        <v>0</v>
      </c>
      <c r="P418" s="140">
        <f>P$397*Scenarios!$E$38</f>
        <v>0</v>
      </c>
      <c r="Q418" s="140">
        <f>Q$397*Scenarios!$E$38</f>
        <v>0</v>
      </c>
      <c r="R418" s="140">
        <f>R$397*Scenarios!$E$38</f>
        <v>0</v>
      </c>
      <c r="S418" s="140">
        <f>S$397*Scenarios!$E$38</f>
        <v>0</v>
      </c>
      <c r="T418" s="140">
        <f>T$397*Scenarios!$E$38</f>
        <v>0</v>
      </c>
      <c r="U418" s="140">
        <f>U$397*Scenarios!$E$38</f>
        <v>0</v>
      </c>
      <c r="V418" s="140">
        <f>V$397*Scenarios!$E$38</f>
        <v>0</v>
      </c>
      <c r="W418" s="140">
        <f>W$397*Scenarios!$E$38</f>
        <v>0</v>
      </c>
      <c r="X418" s="140">
        <f>X$397*Scenarios!$E$38</f>
        <v>0</v>
      </c>
      <c r="Y418" s="140">
        <f>Y$397*Scenarios!$E$38</f>
        <v>0</v>
      </c>
      <c r="Z418" s="140">
        <f>Z$397*Scenarios!$E$38</f>
        <v>0</v>
      </c>
      <c r="AA418" s="140">
        <f>AA$397*Scenarios!$E$38</f>
        <v>0</v>
      </c>
      <c r="AB418" s="140">
        <f>AB$397*Scenarios!$E$38</f>
        <v>0</v>
      </c>
      <c r="AC418" s="140">
        <f>AC$397*Scenarios!$E$38</f>
        <v>0</v>
      </c>
      <c r="AD418" s="140">
        <f>AD$397*Scenarios!$E$38</f>
        <v>0</v>
      </c>
      <c r="AE418" s="140">
        <f>AE$397*Scenarios!$E$38</f>
        <v>0</v>
      </c>
      <c r="AF418" s="141"/>
      <c r="AG418" s="141"/>
      <c r="AH418" s="141"/>
      <c r="AI418" s="141"/>
    </row>
    <row r="419" spans="1:35" x14ac:dyDescent="0.35"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</row>
    <row r="420" spans="1:35" x14ac:dyDescent="0.35"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</row>
    <row r="421" spans="1:35" x14ac:dyDescent="0.35"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</row>
    <row r="422" spans="1:35" x14ac:dyDescent="0.35"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</row>
    <row r="425" spans="1:35" ht="13.9" x14ac:dyDescent="0.4">
      <c r="B425" s="124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7"/>
      <c r="L426" s="138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8"/>
      <c r="K427" s="139"/>
      <c r="L427" s="166">
        <v>0</v>
      </c>
      <c r="M427" s="166">
        <v>0</v>
      </c>
      <c r="N427" s="166">
        <v>0</v>
      </c>
      <c r="O427" s="166">
        <v>0</v>
      </c>
      <c r="P427" s="166">
        <v>0</v>
      </c>
      <c r="Q427" s="166">
        <v>313.18092912945133</v>
      </c>
      <c r="R427" s="166">
        <v>646.88764494852489</v>
      </c>
      <c r="S427" s="166">
        <v>1002.1648959865571</v>
      </c>
      <c r="T427" s="166">
        <v>1380.1062236958546</v>
      </c>
      <c r="U427" s="166">
        <v>1781.8561629939895</v>
      </c>
      <c r="V427" s="166">
        <v>2208.6125408023772</v>
      </c>
      <c r="W427" s="166">
        <v>2661.6288769403232</v>
      </c>
      <c r="X427" s="166">
        <v>3142.2168919286596</v>
      </c>
      <c r="Y427" s="166">
        <v>3651.7491264608011</v>
      </c>
      <c r="Z427" s="166">
        <v>4191.6616775120128</v>
      </c>
      <c r="AA427" s="166">
        <v>4763.45705628019</v>
      </c>
      <c r="AB427" s="166">
        <v>5368.7071733840539</v>
      </c>
      <c r="AC427" s="166">
        <v>6009.0564569877843</v>
      </c>
      <c r="AD427" s="166">
        <v>6686.2251097751796</v>
      </c>
      <c r="AE427" s="166">
        <v>7402.012510962054</v>
      </c>
      <c r="AF427" s="141"/>
      <c r="AG427" s="141"/>
      <c r="AH427" s="141"/>
      <c r="AI427" s="141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8"/>
      <c r="K428" s="139"/>
      <c r="L428" s="166">
        <v>0</v>
      </c>
      <c r="M428" s="166">
        <v>0</v>
      </c>
      <c r="N428" s="166">
        <v>0</v>
      </c>
      <c r="O428" s="166">
        <v>0</v>
      </c>
      <c r="P428" s="166">
        <v>0</v>
      </c>
      <c r="Q428" s="166">
        <v>0</v>
      </c>
      <c r="R428" s="166">
        <v>1057.9653697411281</v>
      </c>
      <c r="S428" s="166">
        <v>1093.1620433314142</v>
      </c>
      <c r="T428" s="166">
        <v>1129.5594607976172</v>
      </c>
      <c r="U428" s="166">
        <v>1167.1997052675226</v>
      </c>
      <c r="V428" s="166">
        <v>1206.1263807224127</v>
      </c>
      <c r="W428" s="166">
        <v>1246.3846689558893</v>
      </c>
      <c r="X428" s="166">
        <v>1288.0213887550383</v>
      </c>
      <c r="Y428" s="166">
        <v>1331.0850573946454</v>
      </c>
      <c r="Z428" s="166">
        <v>1375.6259545390431</v>
      </c>
      <c r="AA428" s="166">
        <v>1421.6961886502354</v>
      </c>
      <c r="AB428" s="166">
        <v>1469.3497660051655</v>
      </c>
      <c r="AC428" s="166">
        <v>1518.6426624294395</v>
      </c>
      <c r="AD428" s="166">
        <v>1569.6328978594127</v>
      </c>
      <c r="AE428" s="166">
        <v>1622.380613849411</v>
      </c>
      <c r="AF428" s="141"/>
      <c r="AG428" s="141"/>
      <c r="AH428" s="141"/>
      <c r="AI428" s="141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8"/>
      <c r="K429" s="139"/>
      <c r="L429" s="166">
        <v>0</v>
      </c>
      <c r="M429" s="166">
        <v>0</v>
      </c>
      <c r="N429" s="166">
        <v>0</v>
      </c>
      <c r="O429" s="166">
        <v>0</v>
      </c>
      <c r="P429" s="166">
        <v>0</v>
      </c>
      <c r="Q429" s="166">
        <v>0</v>
      </c>
      <c r="R429" s="166">
        <v>504.02954432644299</v>
      </c>
      <c r="S429" s="166">
        <v>520.59186271947965</v>
      </c>
      <c r="T429" s="166">
        <v>537.71770413942943</v>
      </c>
      <c r="U429" s="166">
        <v>555.42686035444433</v>
      </c>
      <c r="V429" s="166">
        <v>573.73983914371013</v>
      </c>
      <c r="W429" s="166">
        <v>592.67789094096656</v>
      </c>
      <c r="X429" s="166">
        <v>612.26303649661156</v>
      </c>
      <c r="Y429" s="166">
        <v>632.51809559834771</v>
      </c>
      <c r="Z429" s="166">
        <v>653.46671689193511</v>
      </c>
      <c r="AA429" s="166">
        <v>675.13340884529282</v>
      </c>
      <c r="AB429" s="166">
        <v>697.54357190091923</v>
      </c>
      <c r="AC429" s="166">
        <v>720.72353186342718</v>
      </c>
      <c r="AD429" s="166">
        <v>744.70057457087296</v>
      </c>
      <c r="AE429" s="166">
        <v>769.50298190052069</v>
      </c>
      <c r="AF429" s="141"/>
      <c r="AG429" s="141"/>
      <c r="AH429" s="141"/>
      <c r="AI429" s="141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8"/>
      <c r="K430" s="139"/>
      <c r="L430" s="166">
        <v>0</v>
      </c>
      <c r="M430" s="166">
        <v>0</v>
      </c>
      <c r="N430" s="166">
        <v>0</v>
      </c>
      <c r="O430" s="166">
        <v>0</v>
      </c>
      <c r="P430" s="166">
        <v>0</v>
      </c>
      <c r="Q430" s="166">
        <v>0</v>
      </c>
      <c r="R430" s="166">
        <v>504.02954432644299</v>
      </c>
      <c r="S430" s="166">
        <v>520.59186271947965</v>
      </c>
      <c r="T430" s="166">
        <v>537.71770413942943</v>
      </c>
      <c r="U430" s="166">
        <v>555.42686035444433</v>
      </c>
      <c r="V430" s="166">
        <v>573.73983914371013</v>
      </c>
      <c r="W430" s="166">
        <v>592.67789094096656</v>
      </c>
      <c r="X430" s="166">
        <v>612.26303649661156</v>
      </c>
      <c r="Y430" s="166">
        <v>632.51809559834771</v>
      </c>
      <c r="Z430" s="166">
        <v>653.46671689193511</v>
      </c>
      <c r="AA430" s="166">
        <v>675.13340884529282</v>
      </c>
      <c r="AB430" s="166">
        <v>697.54357190091923</v>
      </c>
      <c r="AC430" s="166">
        <v>720.72353186342718</v>
      </c>
      <c r="AD430" s="166">
        <v>744.70057457087296</v>
      </c>
      <c r="AE430" s="166">
        <v>769.50298190052069</v>
      </c>
      <c r="AF430" s="141"/>
      <c r="AG430" s="141"/>
      <c r="AH430" s="141"/>
      <c r="AI430" s="141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8"/>
      <c r="K431" s="139"/>
      <c r="L431" s="166">
        <v>0</v>
      </c>
      <c r="M431" s="166">
        <v>0</v>
      </c>
      <c r="N431" s="166">
        <v>0</v>
      </c>
      <c r="O431" s="166">
        <v>0</v>
      </c>
      <c r="P431" s="166">
        <v>0</v>
      </c>
      <c r="Q431" s="166">
        <v>0</v>
      </c>
      <c r="R431" s="166">
        <v>284.83707043323085</v>
      </c>
      <c r="S431" s="166">
        <v>708.4833424775004</v>
      </c>
      <c r="T431" s="166">
        <v>1129.5594607976172</v>
      </c>
      <c r="U431" s="166">
        <v>1549.8255604732622</v>
      </c>
      <c r="V431" s="166">
        <v>1970.8501189293936</v>
      </c>
      <c r="W431" s="166">
        <v>2394.0512219885131</v>
      </c>
      <c r="X431" s="166">
        <v>2820.7286212640565</v>
      </c>
      <c r="Y431" s="166">
        <v>3252.0889937031375</v>
      </c>
      <c r="Z431" s="166">
        <v>3689.2661154735397</v>
      </c>
      <c r="AA431" s="166">
        <v>4133.3371852990622</v>
      </c>
      <c r="AB431" s="166">
        <v>4585.3362010107467</v>
      </c>
      <c r="AC431" s="166">
        <v>5046.2650594036386</v>
      </c>
      <c r="AD431" s="166">
        <v>5517.1028823420893</v>
      </c>
      <c r="AE431" s="166">
        <v>5998.813950934873</v>
      </c>
      <c r="AF431" s="141"/>
      <c r="AG431" s="141"/>
      <c r="AH431" s="141"/>
      <c r="AI431" s="141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8"/>
      <c r="K432" s="139"/>
      <c r="L432" s="166">
        <v>0</v>
      </c>
      <c r="M432" s="166">
        <v>0</v>
      </c>
      <c r="N432" s="166">
        <v>0</v>
      </c>
      <c r="O432" s="166">
        <v>0</v>
      </c>
      <c r="P432" s="166">
        <v>0</v>
      </c>
      <c r="Q432" s="166">
        <v>0</v>
      </c>
      <c r="R432" s="166">
        <v>289.62772594427662</v>
      </c>
      <c r="S432" s="166">
        <v>737.75273903408788</v>
      </c>
      <c r="T432" s="166">
        <v>1202.9577954449232</v>
      </c>
      <c r="U432" s="166">
        <v>1686.0143243059147</v>
      </c>
      <c r="V432" s="166">
        <v>2187.7267979966064</v>
      </c>
      <c r="W432" s="166">
        <v>2708.9342957422778</v>
      </c>
      <c r="X432" s="166">
        <v>3250.5121333185052</v>
      </c>
      <c r="Y432" s="166">
        <v>3813.373561967609</v>
      </c>
      <c r="Z432" s="166">
        <v>4398.4715397617456</v>
      </c>
      <c r="AA432" s="166">
        <v>5006.8005787858556</v>
      </c>
      <c r="AB432" s="166">
        <v>5639.3986716585496</v>
      </c>
      <c r="AC432" s="166">
        <v>6297.3493010607763</v>
      </c>
      <c r="AD432" s="166">
        <v>6981.7835361008492</v>
      </c>
      <c r="AE432" s="166">
        <v>7693.8822195106932</v>
      </c>
      <c r="AF432" s="141"/>
      <c r="AG432" s="141"/>
      <c r="AH432" s="141"/>
      <c r="AI432" s="141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8"/>
      <c r="K433" s="139"/>
      <c r="L433" s="166">
        <v>0</v>
      </c>
      <c r="M433" s="166">
        <v>0</v>
      </c>
      <c r="N433" s="166">
        <v>0</v>
      </c>
      <c r="O433" s="166">
        <v>0</v>
      </c>
      <c r="P433" s="166">
        <v>0</v>
      </c>
      <c r="Q433" s="166">
        <v>0</v>
      </c>
      <c r="R433" s="166">
        <v>256.59970852637645</v>
      </c>
      <c r="S433" s="166">
        <v>603.01651494915359</v>
      </c>
      <c r="T433" s="166">
        <v>924.58405672931167</v>
      </c>
      <c r="U433" s="166">
        <v>1229.8939684901975</v>
      </c>
      <c r="V433" s="166">
        <v>1523.7820184995367</v>
      </c>
      <c r="W433" s="166">
        <v>1809.5338075890486</v>
      </c>
      <c r="X433" s="166">
        <v>2089.5969662499333</v>
      </c>
      <c r="Y433" s="166">
        <v>2365.9014322891198</v>
      </c>
      <c r="Z433" s="166">
        <v>2640.0308088773613</v>
      </c>
      <c r="AA433" s="166">
        <v>2913.3246699521969</v>
      </c>
      <c r="AB433" s="166">
        <v>3186.9444471251309</v>
      </c>
      <c r="AC433" s="166">
        <v>3461.9182857945693</v>
      </c>
      <c r="AD433" s="166">
        <v>3739.1729114652398</v>
      </c>
      <c r="AE433" s="166">
        <v>4019.5570475058698</v>
      </c>
      <c r="AF433" s="141"/>
      <c r="AG433" s="141"/>
      <c r="AH433" s="141"/>
      <c r="AI433" s="1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3129</v>
      </c>
      <c r="C6" s="115" t="s">
        <v>3130</v>
      </c>
      <c r="D6" s="115" t="s">
        <v>3131</v>
      </c>
      <c r="E6" s="115" t="s">
        <v>1852</v>
      </c>
      <c r="F6" s="115" t="s">
        <v>3132</v>
      </c>
      <c r="H6" s="119" t="str">
        <f>Settings!$B$3&amp;".mit.ghg.ipr.co2.1"</f>
        <v>egy.mit.ghg.ipr.co2.1</v>
      </c>
      <c r="I6" s="115" t="s">
        <v>3133</v>
      </c>
      <c r="L6" s="122">
        <v>39.407980795454698</v>
      </c>
      <c r="M6" s="122">
        <v>43.585000918797398</v>
      </c>
      <c r="N6" s="122">
        <v>50.912804098383539</v>
      </c>
      <c r="O6" s="122">
        <v>56.757414027053628</v>
      </c>
      <c r="P6" s="122">
        <v>55.1773166677362</v>
      </c>
      <c r="Q6" s="122">
        <v>60.177140336361155</v>
      </c>
      <c r="R6" s="122">
        <v>62.592850889257889</v>
      </c>
      <c r="S6" s="122">
        <v>64.932582697226763</v>
      </c>
      <c r="T6" s="122">
        <v>67.146957884204539</v>
      </c>
      <c r="U6" s="122">
        <v>69.397003093875313</v>
      </c>
      <c r="V6" s="122">
        <v>71.660468477644955</v>
      </c>
      <c r="W6" s="122">
        <v>73.966810189848204</v>
      </c>
      <c r="X6" s="122">
        <v>76.315807722191707</v>
      </c>
      <c r="Y6" s="122">
        <v>78.707211855040825</v>
      </c>
      <c r="Z6" s="122">
        <v>81.140744118134904</v>
      </c>
      <c r="AA6" s="122">
        <v>83.616096165537925</v>
      </c>
      <c r="AB6" s="122">
        <v>86.13292906095532</v>
      </c>
      <c r="AC6" s="122">
        <v>88.690872469710754</v>
      </c>
      <c r="AD6" s="122">
        <v>91.289523753836292</v>
      </c>
      <c r="AE6" s="122">
        <v>93.928446966871803</v>
      </c>
    </row>
    <row r="7" spans="1:35" x14ac:dyDescent="0.35">
      <c r="B7" s="115" t="s">
        <v>3134</v>
      </c>
      <c r="C7" s="115" t="s">
        <v>3130</v>
      </c>
      <c r="D7" s="115" t="s">
        <v>3135</v>
      </c>
      <c r="E7" s="115" t="s">
        <v>1852</v>
      </c>
      <c r="F7" s="115" t="s">
        <v>3136</v>
      </c>
      <c r="H7" s="119" t="str">
        <f>Settings!$B$3&amp;".mit.ghg.ipr.ch4.1"</f>
        <v>egy.mit.ghg.ipr.ch4.1</v>
      </c>
      <c r="I7" s="115" t="s">
        <v>3133</v>
      </c>
      <c r="L7" s="122">
        <v>0.1657182072</v>
      </c>
      <c r="M7" s="122">
        <v>0.16588942488057401</v>
      </c>
      <c r="N7" s="122">
        <v>0.19377986951689197</v>
      </c>
      <c r="O7" s="122">
        <v>0.21602511350632642</v>
      </c>
      <c r="P7" s="122">
        <v>0.21001108490321049</v>
      </c>
      <c r="Q7" s="122">
        <v>0.22904097719202224</v>
      </c>
      <c r="R7" s="122">
        <v>0.23823544377112332</v>
      </c>
      <c r="S7" s="122">
        <v>0.24714072668535048</v>
      </c>
      <c r="T7" s="122">
        <v>0.25556888817425227</v>
      </c>
      <c r="U7" s="122">
        <v>0.26413281378900649</v>
      </c>
      <c r="V7" s="122">
        <v>0.27274781809863574</v>
      </c>
      <c r="W7" s="122">
        <v>0.28152601454581</v>
      </c>
      <c r="X7" s="122">
        <v>0.29046656385111685</v>
      </c>
      <c r="Y7" s="122">
        <v>0.29956851745654345</v>
      </c>
      <c r="Z7" s="122">
        <v>0.30883081547289826</v>
      </c>
      <c r="AA7" s="122">
        <v>0.31825228430080271</v>
      </c>
      <c r="AB7" s="122">
        <v>0.32783163391052672</v>
      </c>
      <c r="AC7" s="122">
        <v>0.33756745476656086</v>
      </c>
      <c r="AD7" s="122">
        <v>0.34745821438342783</v>
      </c>
      <c r="AE7" s="122">
        <v>0.35750225349977566</v>
      </c>
    </row>
    <row r="8" spans="1:35" x14ac:dyDescent="0.35">
      <c r="B8" s="115" t="s">
        <v>3137</v>
      </c>
      <c r="C8" s="115" t="s">
        <v>3130</v>
      </c>
      <c r="D8" s="115" t="s">
        <v>3138</v>
      </c>
      <c r="E8" s="115" t="s">
        <v>1852</v>
      </c>
      <c r="F8" s="115" t="s">
        <v>3139</v>
      </c>
      <c r="H8" s="119" t="str">
        <f>Settings!$B$3&amp;".mit.ghg.ipr.n2o.1"</f>
        <v>egy.mit.ghg.ipr.n2o.1</v>
      </c>
      <c r="I8" s="115" t="s">
        <v>3133</v>
      </c>
      <c r="L8" s="122">
        <v>0.92749999999999999</v>
      </c>
      <c r="M8" s="122">
        <v>0.92749999999999999</v>
      </c>
      <c r="N8" s="122">
        <v>1.0834375313936251</v>
      </c>
      <c r="O8" s="122">
        <v>1.2078123299382222</v>
      </c>
      <c r="P8" s="122">
        <v>1.1741874528045189</v>
      </c>
      <c r="Q8" s="122">
        <v>1.2805849830303275</v>
      </c>
      <c r="R8" s="122">
        <v>1.3319919232753465</v>
      </c>
      <c r="S8" s="122">
        <v>1.381782016338192</v>
      </c>
      <c r="T8" s="122">
        <v>1.428904488349799</v>
      </c>
      <c r="U8" s="122">
        <v>1.4767860275944065</v>
      </c>
      <c r="V8" s="122">
        <v>1.5249531515863879</v>
      </c>
      <c r="W8" s="122">
        <v>1.5740326948460954</v>
      </c>
      <c r="X8" s="122">
        <v>1.6240199649004818</v>
      </c>
      <c r="Y8" s="122">
        <v>1.6749096582917917</v>
      </c>
      <c r="Z8" s="122">
        <v>1.7266958491014452</v>
      </c>
      <c r="AA8" s="122">
        <v>1.7793719756488264</v>
      </c>
      <c r="AB8" s="122">
        <v>1.8329308252826433</v>
      </c>
      <c r="AC8" s="122">
        <v>1.8873645171859845</v>
      </c>
      <c r="AD8" s="122">
        <v>1.9426644831196078</v>
      </c>
      <c r="AE8" s="122">
        <v>1.9988214460310123</v>
      </c>
    </row>
    <row r="9" spans="1:35" x14ac:dyDescent="0.35">
      <c r="B9" s="115" t="s">
        <v>3140</v>
      </c>
      <c r="C9" s="115" t="s">
        <v>3130</v>
      </c>
      <c r="D9" s="115" t="s">
        <v>3141</v>
      </c>
      <c r="E9" s="115" t="s">
        <v>1852</v>
      </c>
      <c r="F9" s="115" t="s">
        <v>3142</v>
      </c>
      <c r="H9" s="119" t="str">
        <f>Settings!$B$3&amp;".mit.ghg.ipr.fga.1"</f>
        <v>egy.mit.ghg.ipr.fga.1</v>
      </c>
      <c r="I9" s="115" t="s">
        <v>3133</v>
      </c>
      <c r="L9" s="122">
        <v>11.699150757821901</v>
      </c>
      <c r="M9" s="122">
        <v>12.2250407871263</v>
      </c>
      <c r="N9" s="122">
        <v>14.280396777995145</v>
      </c>
      <c r="O9" s="122">
        <v>15.919735845486592</v>
      </c>
      <c r="P9" s="122">
        <v>15.476538546918793</v>
      </c>
      <c r="Q9" s="122">
        <v>16.878925767037405</v>
      </c>
      <c r="R9" s="122">
        <v>17.556501984004221</v>
      </c>
      <c r="S9" s="122">
        <v>18.212767125231281</v>
      </c>
      <c r="T9" s="122">
        <v>18.833871321815767</v>
      </c>
      <c r="U9" s="122">
        <v>19.46498050803217</v>
      </c>
      <c r="V9" s="122">
        <v>20.099853883127096</v>
      </c>
      <c r="W9" s="122">
        <v>20.746753525351846</v>
      </c>
      <c r="X9" s="122">
        <v>21.405617584922702</v>
      </c>
      <c r="Y9" s="122">
        <v>22.076376158888326</v>
      </c>
      <c r="Z9" s="122">
        <v>22.758951139867214</v>
      </c>
      <c r="AA9" s="122">
        <v>23.453256040729276</v>
      </c>
      <c r="AB9" s="122">
        <v>24.159195794136256</v>
      </c>
      <c r="AC9" s="122">
        <v>24.876666525901445</v>
      </c>
      <c r="AD9" s="122">
        <v>25.60555530117394</v>
      </c>
      <c r="AE9" s="122">
        <v>26.345739842492602</v>
      </c>
    </row>
    <row r="10" spans="1:35" x14ac:dyDescent="0.35">
      <c r="B10" s="115" t="s">
        <v>110</v>
      </c>
      <c r="C10" s="115" t="s">
        <v>3130</v>
      </c>
      <c r="D10" s="115" t="s">
        <v>3143</v>
      </c>
      <c r="E10" s="115" t="s">
        <v>1852</v>
      </c>
      <c r="F10" s="115" t="s">
        <v>3144</v>
      </c>
      <c r="H10" s="119" t="str">
        <f>Settings!$B$3&amp;".mit.ghg.ipr.tot.1"</f>
        <v>egy.mit.ghg.ipr.tot.1</v>
      </c>
      <c r="I10" s="115" t="s">
        <v>3145</v>
      </c>
      <c r="L10" s="121">
        <f t="shared" ref="L10:AE10" si="0">SUM(L6:L9)</f>
        <v>52.200349760476598</v>
      </c>
      <c r="M10" s="121">
        <f t="shared" si="0"/>
        <v>56.903431130804279</v>
      </c>
      <c r="N10" s="121">
        <f t="shared" si="0"/>
        <v>66.470418277289212</v>
      </c>
      <c r="O10" s="121">
        <f t="shared" si="0"/>
        <v>74.100987315984767</v>
      </c>
      <c r="P10" s="121">
        <f t="shared" si="0"/>
        <v>72.038053752362714</v>
      </c>
      <c r="Q10" s="121">
        <f t="shared" si="0"/>
        <v>78.565692063620915</v>
      </c>
      <c r="R10" s="121">
        <f t="shared" si="0"/>
        <v>81.719580240308574</v>
      </c>
      <c r="S10" s="121">
        <f t="shared" si="0"/>
        <v>84.774272565481581</v>
      </c>
      <c r="T10" s="121">
        <f t="shared" si="0"/>
        <v>87.665302582544356</v>
      </c>
      <c r="U10" s="121">
        <f t="shared" si="0"/>
        <v>90.602902443290887</v>
      </c>
      <c r="V10" s="121">
        <f t="shared" si="0"/>
        <v>93.558023330457075</v>
      </c>
      <c r="W10" s="121">
        <f t="shared" si="0"/>
        <v>96.569122424591953</v>
      </c>
      <c r="X10" s="121">
        <f t="shared" si="0"/>
        <v>99.635911835866011</v>
      </c>
      <c r="Y10" s="121">
        <f t="shared" si="0"/>
        <v>102.75806618967749</v>
      </c>
      <c r="Z10" s="121">
        <f t="shared" si="0"/>
        <v>105.93522192257646</v>
      </c>
      <c r="AA10" s="121">
        <f t="shared" si="0"/>
        <v>109.16697646621682</v>
      </c>
      <c r="AB10" s="121">
        <f t="shared" si="0"/>
        <v>112.45288731428474</v>
      </c>
      <c r="AC10" s="121">
        <f t="shared" si="0"/>
        <v>115.79247096756474</v>
      </c>
      <c r="AD10" s="121">
        <f t="shared" si="0"/>
        <v>119.18520175251327</v>
      </c>
      <c r="AE10" s="121">
        <f t="shared" si="0"/>
        <v>122.6305105088952</v>
      </c>
    </row>
    <row r="11" spans="1:35" x14ac:dyDescent="0.35">
      <c r="B11" s="115" t="s">
        <v>110</v>
      </c>
      <c r="C11" s="115" t="s">
        <v>4</v>
      </c>
      <c r="D11" s="115" t="s">
        <v>3146</v>
      </c>
      <c r="E11" s="115" t="s">
        <v>2068</v>
      </c>
      <c r="F11" s="115" t="s">
        <v>3147</v>
      </c>
      <c r="H11" s="119" t="str">
        <f>Settings!$B$3&amp;".mit.co2.ind.1"</f>
        <v>egy.mit.co2.ind.1</v>
      </c>
      <c r="I11" s="115" t="s">
        <v>3148</v>
      </c>
      <c r="L11" s="122">
        <v>59.804205879849356</v>
      </c>
      <c r="M11" s="122">
        <v>48.931828957170424</v>
      </c>
      <c r="N11" s="122">
        <v>57.158576789144817</v>
      </c>
      <c r="O11" s="122">
        <v>63.720179343286866</v>
      </c>
      <c r="P11" s="122">
        <v>61.946242160955606</v>
      </c>
      <c r="Q11" s="122">
        <v>67.559423563084593</v>
      </c>
      <c r="R11" s="122">
        <v>70.271483517026113</v>
      </c>
      <c r="S11" s="122">
        <v>72.898243967174636</v>
      </c>
      <c r="T11" s="122">
        <v>75.384269563412914</v>
      </c>
      <c r="U11" s="122">
        <v>77.910341033518762</v>
      </c>
      <c r="V11" s="122">
        <v>80.451479009297159</v>
      </c>
      <c r="W11" s="122">
        <v>83.040753204531725</v>
      </c>
      <c r="X11" s="122">
        <v>85.677916059881724</v>
      </c>
      <c r="Y11" s="122">
        <v>88.362687782476257</v>
      </c>
      <c r="Z11" s="122">
        <v>91.094755740472323</v>
      </c>
      <c r="AA11" s="122">
        <v>93.873773761327016</v>
      </c>
      <c r="AB11" s="122">
        <v>96.699361329439938</v>
      </c>
      <c r="AC11" s="122">
        <v>99.571102679005023</v>
      </c>
      <c r="AD11" s="122">
        <v>102.4885457780901</v>
      </c>
      <c r="AE11" s="122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5" t="s">
        <v>110</v>
      </c>
      <c r="C17" s="115" t="s">
        <v>3150</v>
      </c>
      <c r="D17" s="115" t="s">
        <v>3151</v>
      </c>
      <c r="E17" s="115" t="s">
        <v>2068</v>
      </c>
      <c r="F17" s="115" t="s">
        <v>3152</v>
      </c>
      <c r="H17" s="119" t="str">
        <f>Settings!$B$3&amp;".mit.eco2.kern.tot.e.1"</f>
        <v>egy.mit.eco2.kern.tot.e.1</v>
      </c>
      <c r="I17" s="115" t="s">
        <v>3153</v>
      </c>
      <c r="L17" s="121">
        <f>Emissions_Industry!L15+Emissions_Industry!L27+Emissions_Industry!L39+Emissions_Industry!L51</f>
        <v>14.019740964534272</v>
      </c>
      <c r="M17" s="121">
        <f>Emissions_Industry!M15+Emissions_Industry!M27+Emissions_Industry!M39+Emissions_Industry!M51</f>
        <v>11.739301230035998</v>
      </c>
      <c r="N17" s="121">
        <f>Emissions_Industry!N15+Emissions_Industry!N27+Emissions_Industry!N39+Emissions_Industry!N51</f>
        <v>13.303124518863104</v>
      </c>
      <c r="O17" s="121">
        <f>Emissions_Industry!O15+Emissions_Industry!O27+Emissions_Industry!O39+Emissions_Industry!O51</f>
        <v>14.156899598427017</v>
      </c>
      <c r="P17" s="121">
        <f>Emissions_Industry!P15+Emissions_Industry!P27+Emissions_Industry!P39+Emissions_Industry!P51</f>
        <v>14.286244741983563</v>
      </c>
      <c r="Q17" s="121">
        <f>Emissions_Industry!Q15+Emissions_Industry!Q27+Emissions_Industry!Q39+Emissions_Industry!Q51</f>
        <v>14.694127249831887</v>
      </c>
      <c r="R17" s="121">
        <f>Emissions_Industry!R15+Emissions_Industry!R27+Emissions_Industry!R39+Emissions_Industry!R51</f>
        <v>15.27697183467752</v>
      </c>
      <c r="S17" s="121">
        <f>Emissions_Industry!S15+Emissions_Industry!S27+Emissions_Industry!S39+Emissions_Industry!S51</f>
        <v>15.844069878250156</v>
      </c>
      <c r="T17" s="121">
        <f>Emissions_Industry!T15+Emissions_Industry!T27+Emissions_Industry!T39+Emissions_Industry!T51</f>
        <v>16.383896414290213</v>
      </c>
      <c r="U17" s="121">
        <f>Emissions_Industry!U15+Emissions_Industry!U27+Emissions_Industry!U39+Emissions_Industry!U51</f>
        <v>16.932091247027692</v>
      </c>
      <c r="V17" s="121">
        <f>Emissions_Industry!V15+Emissions_Industry!V27+Emissions_Industry!V39+Emissions_Industry!V51</f>
        <v>17.456721897287899</v>
      </c>
      <c r="W17" s="121">
        <f>Emissions_Industry!W15+Emissions_Industry!W27+Emissions_Industry!W39+Emissions_Industry!W51</f>
        <v>17.991034633776298</v>
      </c>
      <c r="X17" s="121">
        <f>Emissions_Industry!X15+Emissions_Industry!X27+Emissions_Industry!X39+Emissions_Industry!X51</f>
        <v>18.534983575594026</v>
      </c>
      <c r="Y17" s="121">
        <f>Emissions_Industry!Y15+Emissions_Industry!Y27+Emissions_Industry!Y39+Emissions_Industry!Y51</f>
        <v>19.08851611045521</v>
      </c>
      <c r="Z17" s="121">
        <f>Emissions_Industry!Z15+Emissions_Industry!Z27+Emissions_Industry!Z39+Emissions_Industry!Z51</f>
        <v>19.651572741430424</v>
      </c>
      <c r="AA17" s="121">
        <f>Emissions_Industry!AA15+Emissions_Industry!AA27+Emissions_Industry!AA39+Emissions_Industry!AA51</f>
        <v>20.224086914529249</v>
      </c>
      <c r="AB17" s="121">
        <f>Emissions_Industry!AB15+Emissions_Industry!AB27+Emissions_Industry!AB39+Emissions_Industry!AB51</f>
        <v>20.80598482616989</v>
      </c>
      <c r="AC17" s="121">
        <f>Emissions_Industry!AC15+Emissions_Industry!AC27+Emissions_Industry!AC39+Emissions_Industry!AC51</f>
        <v>21.397185209616836</v>
      </c>
      <c r="AD17" s="121">
        <f>Emissions_Industry!AD15+Emissions_Industry!AD27+Emissions_Industry!AD39+Emissions_Industry!AD51</f>
        <v>21.997599099500416</v>
      </c>
      <c r="AE17" s="121">
        <f>Emissions_Industry!AE15+Emissions_Industry!AE27+Emissions_Industry!AE39+Emissions_Industry!AE51</f>
        <v>22.607129573562297</v>
      </c>
    </row>
    <row r="18" spans="1:35" x14ac:dyDescent="0.35">
      <c r="B18" s="115" t="s">
        <v>110</v>
      </c>
      <c r="C18" s="115" t="s">
        <v>4</v>
      </c>
      <c r="D18" s="115" t="s">
        <v>3154</v>
      </c>
      <c r="E18" s="115" t="s">
        <v>2068</v>
      </c>
      <c r="F18" s="115" t="s">
        <v>3155</v>
      </c>
      <c r="H18" s="119" t="str">
        <f>Settings!$B$3&amp;".mit.co2.ind.k.1"</f>
        <v>egy.mit.co2.ind.k.1</v>
      </c>
      <c r="I18" s="115" t="s">
        <v>3156</v>
      </c>
      <c r="L18" s="121">
        <f t="shared" ref="L18:AE18" si="1">L11+L17-L17</f>
        <v>59.804205879849356</v>
      </c>
      <c r="M18" s="121">
        <f t="shared" si="1"/>
        <v>48.931828957170424</v>
      </c>
      <c r="N18" s="121">
        <f t="shared" si="1"/>
        <v>57.158576789144817</v>
      </c>
      <c r="O18" s="121">
        <f t="shared" si="1"/>
        <v>63.720179343286858</v>
      </c>
      <c r="P18" s="121">
        <f t="shared" si="1"/>
        <v>61.946242160955606</v>
      </c>
      <c r="Q18" s="121">
        <f t="shared" si="1"/>
        <v>67.559423563084579</v>
      </c>
      <c r="R18" s="121">
        <f t="shared" si="1"/>
        <v>70.271483517026113</v>
      </c>
      <c r="S18" s="121">
        <f t="shared" si="1"/>
        <v>72.898243967174636</v>
      </c>
      <c r="T18" s="121">
        <f t="shared" si="1"/>
        <v>75.384269563412914</v>
      </c>
      <c r="U18" s="121">
        <f t="shared" si="1"/>
        <v>77.910341033518762</v>
      </c>
      <c r="V18" s="121">
        <f t="shared" si="1"/>
        <v>80.451479009297145</v>
      </c>
      <c r="W18" s="121">
        <f t="shared" si="1"/>
        <v>83.040753204531725</v>
      </c>
      <c r="X18" s="121">
        <f t="shared" si="1"/>
        <v>85.677916059881724</v>
      </c>
      <c r="Y18" s="121">
        <f t="shared" si="1"/>
        <v>88.362687782476257</v>
      </c>
      <c r="Z18" s="121">
        <f t="shared" si="1"/>
        <v>91.094755740472323</v>
      </c>
      <c r="AA18" s="121">
        <f t="shared" si="1"/>
        <v>93.873773761327016</v>
      </c>
      <c r="AB18" s="121">
        <f t="shared" si="1"/>
        <v>96.699361329439938</v>
      </c>
      <c r="AC18" s="121">
        <f t="shared" si="1"/>
        <v>99.571102679005023</v>
      </c>
      <c r="AD18" s="121">
        <f t="shared" si="1"/>
        <v>102.4885457780901</v>
      </c>
      <c r="AE18" s="121">
        <f t="shared" si="1"/>
        <v>105.45120120012243</v>
      </c>
    </row>
    <row r="19" spans="1:35" x14ac:dyDescent="0.35">
      <c r="B19" s="115" t="s">
        <v>110</v>
      </c>
      <c r="C19" s="115" t="s">
        <v>3130</v>
      </c>
      <c r="D19" s="115" t="s">
        <v>3157</v>
      </c>
      <c r="E19" s="115" t="s">
        <v>1852</v>
      </c>
      <c r="F19" s="115" t="s">
        <v>3158</v>
      </c>
      <c r="H19" s="119" t="str">
        <f>Settings!$B$3&amp;".mit.ghg.iprc.tot.1"</f>
        <v>egy.mit.ghg.iprc.tot.1</v>
      </c>
      <c r="I19" s="115" t="s">
        <v>3159</v>
      </c>
      <c r="L19" s="121">
        <f>L10</f>
        <v>52.200349760476598</v>
      </c>
      <c r="M19" s="121">
        <f>M10</f>
        <v>56.903431130804279</v>
      </c>
      <c r="N19" s="121">
        <f t="shared" ref="N19:AE19" si="2">IF(M18=0,0,M19*N18/M18)</f>
        <v>66.470418277289212</v>
      </c>
      <c r="O19" s="121">
        <f t="shared" si="2"/>
        <v>74.100987315984753</v>
      </c>
      <c r="P19" s="121">
        <f t="shared" si="2"/>
        <v>72.038053752362728</v>
      </c>
      <c r="Q19" s="121">
        <f t="shared" si="2"/>
        <v>78.565692063620887</v>
      </c>
      <c r="R19" s="121">
        <f t="shared" si="2"/>
        <v>81.719580240308588</v>
      </c>
      <c r="S19" s="121">
        <f t="shared" si="2"/>
        <v>84.774272565481596</v>
      </c>
      <c r="T19" s="121">
        <f t="shared" si="2"/>
        <v>87.665302582544385</v>
      </c>
      <c r="U19" s="121">
        <f t="shared" si="2"/>
        <v>90.60290244329093</v>
      </c>
      <c r="V19" s="121">
        <f t="shared" si="2"/>
        <v>93.558023330457104</v>
      </c>
      <c r="W19" s="121">
        <f t="shared" si="2"/>
        <v>96.569122424591995</v>
      </c>
      <c r="X19" s="121">
        <f t="shared" si="2"/>
        <v>99.635911835866054</v>
      </c>
      <c r="Y19" s="121">
        <f t="shared" si="2"/>
        <v>102.75806618967755</v>
      </c>
      <c r="Z19" s="121">
        <f t="shared" si="2"/>
        <v>105.93522192257653</v>
      </c>
      <c r="AA19" s="121">
        <f t="shared" si="2"/>
        <v>109.16697646621689</v>
      </c>
      <c r="AB19" s="121">
        <f t="shared" si="2"/>
        <v>112.45288731428481</v>
      </c>
      <c r="AC19" s="121">
        <f t="shared" si="2"/>
        <v>115.79247096756482</v>
      </c>
      <c r="AD19" s="121">
        <f t="shared" si="2"/>
        <v>119.18520175251335</v>
      </c>
      <c r="AE19" s="121">
        <f t="shared" si="2"/>
        <v>122.63051050889524</v>
      </c>
    </row>
    <row r="20" spans="1:35" x14ac:dyDescent="0.35">
      <c r="B20" s="115" t="s">
        <v>2675</v>
      </c>
      <c r="C20" s="115" t="s">
        <v>3130</v>
      </c>
      <c r="D20" s="115" t="s">
        <v>3160</v>
      </c>
      <c r="E20" s="115" t="s">
        <v>1852</v>
      </c>
      <c r="F20" s="115" t="s">
        <v>3161</v>
      </c>
      <c r="H20" s="119" t="str">
        <f>Settings!$B$3&amp;".mit.ghg.ipr.blknp.1"</f>
        <v>egy.mit.ghg.ipr.blknp.1</v>
      </c>
      <c r="I20" s="115" t="s">
        <v>3162</v>
      </c>
      <c r="L20" s="121">
        <f>Mitigation_Industry!L260</f>
        <v>25.971762885046314</v>
      </c>
      <c r="M20" s="121">
        <f>Mitigation_Industry!M260</f>
        <v>26.842539414672931</v>
      </c>
      <c r="N20" s="121">
        <f>Mitigation_Industry!N260</f>
        <v>27.742760634</v>
      </c>
      <c r="O20" s="121">
        <f>Mitigation_Industry!O260</f>
        <v>28.673435240928001</v>
      </c>
      <c r="P20" s="121">
        <f>Mitigation_Industry!P260</f>
        <v>29.635607169743587</v>
      </c>
      <c r="Q20" s="121">
        <f>Mitigation_Industry!Q260</f>
        <v>30.630356857310563</v>
      </c>
      <c r="R20" s="121">
        <f>Mitigation_Industry!R260</f>
        <v>31.658802556563273</v>
      </c>
      <c r="S20" s="121">
        <f>Mitigation_Industry!S260</f>
        <v>32.722101699159616</v>
      </c>
      <c r="T20" s="121">
        <f>Mitigation_Industry!T260</f>
        <v>33.821452309227929</v>
      </c>
      <c r="U20" s="121">
        <f>Mitigation_Industry!U260</f>
        <v>34.958094470222733</v>
      </c>
      <c r="V20" s="121">
        <f>Mitigation_Industry!V260</f>
        <v>36.133311846988548</v>
      </c>
      <c r="W20" s="121">
        <f>Mitigation_Industry!W260</f>
        <v>37.348433265219015</v>
      </c>
      <c r="X20" s="121">
        <f>Mitigation_Industry!X260</f>
        <v>38.60483435059016</v>
      </c>
      <c r="Y20" s="121">
        <f>Mitigation_Industry!Y260</f>
        <v>39.903939229943205</v>
      </c>
      <c r="Z20" s="121">
        <f>Mitigation_Industry!Z260</f>
        <v>41.247222296991801</v>
      </c>
      <c r="AA20" s="121">
        <f>Mitigation_Industry!AA260</f>
        <v>42.636210045134121</v>
      </c>
      <c r="AB20" s="121">
        <f>Mitigation_Industry!AB260</f>
        <v>44.072482970059113</v>
      </c>
      <c r="AC20" s="121">
        <f>Mitigation_Industry!AC260</f>
        <v>45.557677544951083</v>
      </c>
      <c r="AD20" s="121">
        <f>Mitigation_Industry!AD260</f>
        <v>47.09348827121579</v>
      </c>
      <c r="AE20" s="121">
        <f>Mitigation_Industry!AE260</f>
        <v>48.681669807777041</v>
      </c>
    </row>
    <row r="21" spans="1:35" x14ac:dyDescent="0.35">
      <c r="B21" s="115" t="s">
        <v>2675</v>
      </c>
      <c r="C21" s="115" t="s">
        <v>3130</v>
      </c>
      <c r="D21" s="115" t="s">
        <v>3163</v>
      </c>
      <c r="E21" s="115" t="s">
        <v>1852</v>
      </c>
      <c r="F21" s="115" t="s">
        <v>3164</v>
      </c>
      <c r="H21" s="119" t="str">
        <f>Settings!$B$3&amp;".mit.ghg.ipr.blkno.1"</f>
        <v>egy.mit.ghg.ipr.blkno.1</v>
      </c>
      <c r="I21" s="115" t="s">
        <v>3165</v>
      </c>
      <c r="L21" s="121">
        <f>Mitigation_Industry!L261</f>
        <v>0.77985726154224555</v>
      </c>
      <c r="M21" s="121">
        <f>Mitigation_Industry!M261</f>
        <v>0.80389860277682457</v>
      </c>
      <c r="N21" s="121">
        <f>Mitigation_Industry!N261</f>
        <v>0.82884750000000007</v>
      </c>
      <c r="O21" s="121">
        <f>Mitigation_Industry!O261</f>
        <v>0.85474474500000008</v>
      </c>
      <c r="P21" s="121">
        <f>Mitigation_Industry!P261</f>
        <v>0.88163317238999994</v>
      </c>
      <c r="Q21" s="121">
        <f>Mitigation_Industry!Q261</f>
        <v>0.90955776754758011</v>
      </c>
      <c r="R21" s="121">
        <f>Mitigation_Industry!R261</f>
        <v>0.93856578039370175</v>
      </c>
      <c r="S21" s="121">
        <f>Mitigation_Industry!S261</f>
        <v>0.96870684533024232</v>
      </c>
      <c r="T21" s="121">
        <f>Mitigation_Industry!T261</f>
        <v>1.0000331076726199</v>
      </c>
      <c r="U21" s="121">
        <f>Mitigation_Industry!U261</f>
        <v>1.0325993569325114</v>
      </c>
      <c r="V21" s="121">
        <f>Mitigation_Industry!V261</f>
        <v>1.0664631673251306</v>
      </c>
      <c r="W21" s="121">
        <f>Mitigation_Industry!W261</f>
        <v>1.1016850458960927</v>
      </c>
      <c r="X21" s="121">
        <f>Mitigation_Industry!X261</f>
        <v>1.138328588684556</v>
      </c>
      <c r="Y21" s="121">
        <f>Mitigation_Industry!Y261</f>
        <v>1.1764606453621964</v>
      </c>
      <c r="Z21" s="121">
        <f>Mitigation_Industry!Z261</f>
        <v>1.216151492811707</v>
      </c>
      <c r="AA21" s="121">
        <f>Mitigation_Industry!AA261</f>
        <v>1.2574750181339414</v>
      </c>
      <c r="AB21" s="121">
        <f>Mitigation_Industry!AB261</f>
        <v>1.3005089115996857</v>
      </c>
      <c r="AC21" s="121">
        <f>Mitigation_Industry!AC261</f>
        <v>1.3453348700903502</v>
      </c>
      <c r="AD21" s="121">
        <f>Mitigation_Industry!AD261</f>
        <v>1.3920388116017608</v>
      </c>
      <c r="AE21" s="121">
        <f>Mitigation_Industry!AE261</f>
        <v>1.4407111014167402</v>
      </c>
    </row>
    <row r="22" spans="1:35" x14ac:dyDescent="0.35">
      <c r="B22" s="115" t="s">
        <v>2675</v>
      </c>
      <c r="C22" s="115" t="s">
        <v>3130</v>
      </c>
      <c r="D22" s="115" t="s">
        <v>3166</v>
      </c>
      <c r="E22" s="115" t="s">
        <v>1852</v>
      </c>
      <c r="F22" s="115" t="s">
        <v>3167</v>
      </c>
      <c r="H22" s="119" t="str">
        <f>Settings!$B$3&amp;".mit.ghg.ipr.blkproc.1"</f>
        <v>egy.mit.ghg.ipr.blkproc.1</v>
      </c>
      <c r="I22" s="115" t="s">
        <v>3168</v>
      </c>
      <c r="L22" s="121">
        <f>Mitigation_Industry!L390</f>
        <v>26.751620146588561</v>
      </c>
      <c r="M22" s="121">
        <f>Mitigation_Industry!M390</f>
        <v>27.646438017449757</v>
      </c>
      <c r="N22" s="121">
        <f>Mitigation_Industry!N390</f>
        <v>28.571608133999998</v>
      </c>
      <c r="O22" s="121">
        <f>Mitigation_Industry!O390</f>
        <v>29.528179985927999</v>
      </c>
      <c r="P22" s="121">
        <f>Mitigation_Industry!P390</f>
        <v>30.517240342133586</v>
      </c>
      <c r="Q22" s="121">
        <f>Mitigation_Industry!Q390</f>
        <v>31.539914624858142</v>
      </c>
      <c r="R22" s="121">
        <f>Mitigation_Industry!R390</f>
        <v>32.597368336956976</v>
      </c>
      <c r="S22" s="121">
        <f>Mitigation_Industry!S390</f>
        <v>33.690808544489862</v>
      </c>
      <c r="T22" s="121">
        <f>Mitigation_Industry!T390</f>
        <v>34.821485416900551</v>
      </c>
      <c r="U22" s="121">
        <f>Mitigation_Industry!U390</f>
        <v>35.990693827155248</v>
      </c>
      <c r="V22" s="121">
        <f>Mitigation_Industry!V390</f>
        <v>37.19977501431368</v>
      </c>
      <c r="W22" s="121">
        <f>Mitigation_Industry!W390</f>
        <v>38.450118311115105</v>
      </c>
      <c r="X22" s="121">
        <f>Mitigation_Industry!X390</f>
        <v>39.743162939274711</v>
      </c>
      <c r="Y22" s="121">
        <f>Mitigation_Industry!Y390</f>
        <v>41.08039987530541</v>
      </c>
      <c r="Z22" s="121">
        <f>Mitigation_Industry!Z390</f>
        <v>42.463373789803512</v>
      </c>
      <c r="AA22" s="121">
        <f>Mitigation_Industry!AA390</f>
        <v>43.893685063268059</v>
      </c>
      <c r="AB22" s="121">
        <f>Mitigation_Industry!AB390</f>
        <v>45.372991881658805</v>
      </c>
      <c r="AC22" s="121">
        <f>Mitigation_Industry!AC390</f>
        <v>46.903012415041424</v>
      </c>
      <c r="AD22" s="121">
        <f>Mitigation_Industry!AD390</f>
        <v>48.485527082817555</v>
      </c>
      <c r="AE22" s="121">
        <f>Mitigation_Industry!AE390</f>
        <v>50.122380909193787</v>
      </c>
    </row>
    <row r="23" spans="1:35" x14ac:dyDescent="0.35">
      <c r="B23" s="115" t="s">
        <v>2675</v>
      </c>
      <c r="C23" s="115" t="s">
        <v>3130</v>
      </c>
      <c r="D23" s="115" t="s">
        <v>3169</v>
      </c>
      <c r="E23" s="115" t="s">
        <v>1852</v>
      </c>
      <c r="F23" s="115" t="s">
        <v>3170</v>
      </c>
      <c r="H23" s="119" t="str">
        <f>Settings!$B$3&amp;".mit.ghg.ipr.blkfp.1"</f>
        <v>egy.mit.ghg.ipr.blkfp.1</v>
      </c>
      <c r="I23" s="115" t="s">
        <v>3171</v>
      </c>
      <c r="L23" s="121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21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21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21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21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21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21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21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21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21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21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21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21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21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21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21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21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21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21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21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5" t="s">
        <v>2675</v>
      </c>
      <c r="C24" s="115" t="s">
        <v>3130</v>
      </c>
      <c r="D24" s="115" t="s">
        <v>3172</v>
      </c>
      <c r="E24" s="115" t="s">
        <v>1852</v>
      </c>
      <c r="H24" s="119" t="str">
        <f>Settings!$B$3&amp;".mit.ghg.ipr.blk.1"</f>
        <v>egy.mit.ghg.ipr.blk.1</v>
      </c>
      <c r="L24" s="121">
        <f t="shared" ref="L24:AE24" si="3">L22+L23</f>
        <v>28.908777412760184</v>
      </c>
      <c r="M24" s="121">
        <f t="shared" si="3"/>
        <v>29.851052743477155</v>
      </c>
      <c r="N24" s="121">
        <f t="shared" si="3"/>
        <v>30.824724384</v>
      </c>
      <c r="O24" s="121">
        <f t="shared" si="3"/>
        <v>31.830864793427999</v>
      </c>
      <c r="P24" s="121">
        <f t="shared" si="3"/>
        <v>32.870584215398587</v>
      </c>
      <c r="Q24" s="121">
        <f t="shared" si="3"/>
        <v>33.94503206333497</v>
      </c>
      <c r="R24" s="121">
        <f t="shared" si="3"/>
        <v>35.055398359080293</v>
      </c>
      <c r="S24" s="121">
        <f t="shared" si="3"/>
        <v>36.202915227099894</v>
      </c>
      <c r="T24" s="121">
        <f t="shared" si="3"/>
        <v>37.388858446528005</v>
      </c>
      <c r="U24" s="121">
        <f t="shared" si="3"/>
        <v>38.614549063434509</v>
      </c>
      <c r="V24" s="121">
        <f t="shared" si="3"/>
        <v>39.881355065791084</v>
      </c>
      <c r="W24" s="121">
        <f t="shared" si="3"/>
        <v>41.190693123725012</v>
      </c>
      <c r="X24" s="121">
        <f t="shared" si="3"/>
        <v>42.544030397762036</v>
      </c>
      <c r="Y24" s="121">
        <f t="shared" si="3"/>
        <v>43.942886417879457</v>
      </c>
      <c r="Z24" s="121">
        <f t="shared" si="3"/>
        <v>45.388835036314184</v>
      </c>
      <c r="AA24" s="121">
        <f t="shared" si="3"/>
        <v>46.883506457201968</v>
      </c>
      <c r="AB24" s="121">
        <f t="shared" si="3"/>
        <v>48.428589346259258</v>
      </c>
      <c r="AC24" s="121">
        <f t="shared" si="3"/>
        <v>50.025833023863086</v>
      </c>
      <c r="AD24" s="121">
        <f t="shared" si="3"/>
        <v>51.677049745033294</v>
      </c>
      <c r="AE24" s="121">
        <f t="shared" si="3"/>
        <v>53.384117069978274</v>
      </c>
    </row>
    <row r="25" spans="1:35" x14ac:dyDescent="0.35">
      <c r="B25" s="115" t="s">
        <v>3173</v>
      </c>
      <c r="C25" s="115" t="s">
        <v>3130</v>
      </c>
      <c r="D25" s="115" t="s">
        <v>3174</v>
      </c>
      <c r="E25" s="115" t="s">
        <v>1852</v>
      </c>
      <c r="H25" s="119" t="str">
        <f>Settings!$B$3&amp;".mit.ghg.ipr.oth.1"</f>
        <v>egy.mit.ghg.ipr.oth.1</v>
      </c>
      <c r="I25" s="115" t="s">
        <v>3175</v>
      </c>
      <c r="L25" s="121">
        <f t="shared" ref="L25:AE25" si="4">L19-L24</f>
        <v>23.291572347716414</v>
      </c>
      <c r="M25" s="121">
        <f t="shared" si="4"/>
        <v>27.052378387327124</v>
      </c>
      <c r="N25" s="121">
        <f t="shared" si="4"/>
        <v>35.645693893289213</v>
      </c>
      <c r="O25" s="121">
        <f t="shared" si="4"/>
        <v>42.270122522556754</v>
      </c>
      <c r="P25" s="121">
        <f t="shared" si="4"/>
        <v>39.167469536964141</v>
      </c>
      <c r="Q25" s="121">
        <f t="shared" si="4"/>
        <v>44.620660000285916</v>
      </c>
      <c r="R25" s="121">
        <f t="shared" si="4"/>
        <v>46.664181881228295</v>
      </c>
      <c r="S25" s="121">
        <f t="shared" si="4"/>
        <v>48.571357338381702</v>
      </c>
      <c r="T25" s="121">
        <f t="shared" si="4"/>
        <v>50.27644413601638</v>
      </c>
      <c r="U25" s="121">
        <f t="shared" si="4"/>
        <v>51.98835337985642</v>
      </c>
      <c r="V25" s="121">
        <f t="shared" si="4"/>
        <v>53.67666826466602</v>
      </c>
      <c r="W25" s="121">
        <f t="shared" si="4"/>
        <v>55.378429300866983</v>
      </c>
      <c r="X25" s="121">
        <f t="shared" si="4"/>
        <v>57.091881438104018</v>
      </c>
      <c r="Y25" s="121">
        <f t="shared" si="4"/>
        <v>58.815179771798093</v>
      </c>
      <c r="Z25" s="121">
        <f t="shared" si="4"/>
        <v>60.546386886262347</v>
      </c>
      <c r="AA25" s="121">
        <f t="shared" si="4"/>
        <v>62.283470009014927</v>
      </c>
      <c r="AB25" s="121">
        <f t="shared" si="4"/>
        <v>64.02429796802555</v>
      </c>
      <c r="AC25" s="121">
        <f t="shared" si="4"/>
        <v>65.766637943701738</v>
      </c>
      <c r="AD25" s="121">
        <f t="shared" si="4"/>
        <v>67.508152007480049</v>
      </c>
      <c r="AE25" s="121">
        <f t="shared" si="4"/>
        <v>69.246393438916968</v>
      </c>
    </row>
    <row r="26" spans="1:35" ht="13.9" x14ac:dyDescent="0.4">
      <c r="B26" s="124" t="s">
        <v>110</v>
      </c>
      <c r="C26" s="124" t="s">
        <v>3130</v>
      </c>
      <c r="D26" s="124" t="s">
        <v>3176</v>
      </c>
      <c r="E26" s="124" t="s">
        <v>1852</v>
      </c>
      <c r="F26" s="124"/>
      <c r="G26" s="124"/>
      <c r="H26" s="145" t="str">
        <f>Settings!$B$3&amp;".mit.ghg.iprk.tot.1"</f>
        <v>egy.mit.ghg.iprk.tot.1</v>
      </c>
      <c r="I26" s="124" t="s">
        <v>3177</v>
      </c>
      <c r="J26" s="124"/>
      <c r="K26" s="124"/>
      <c r="L26" s="146">
        <f t="shared" ref="L26:AE26" si="5">L24+L25</f>
        <v>52.200349760476598</v>
      </c>
      <c r="M26" s="146">
        <f t="shared" si="5"/>
        <v>56.903431130804279</v>
      </c>
      <c r="N26" s="146">
        <f t="shared" si="5"/>
        <v>66.470418277289212</v>
      </c>
      <c r="O26" s="146">
        <f t="shared" si="5"/>
        <v>74.100987315984753</v>
      </c>
      <c r="P26" s="146">
        <f t="shared" si="5"/>
        <v>72.038053752362728</v>
      </c>
      <c r="Q26" s="146">
        <f t="shared" si="5"/>
        <v>78.565692063620887</v>
      </c>
      <c r="R26" s="146">
        <f t="shared" si="5"/>
        <v>81.719580240308588</v>
      </c>
      <c r="S26" s="146">
        <f t="shared" si="5"/>
        <v>84.774272565481596</v>
      </c>
      <c r="T26" s="146">
        <f t="shared" si="5"/>
        <v>87.665302582544385</v>
      </c>
      <c r="U26" s="146">
        <f t="shared" si="5"/>
        <v>90.60290244329093</v>
      </c>
      <c r="V26" s="146">
        <f t="shared" si="5"/>
        <v>93.558023330457104</v>
      </c>
      <c r="W26" s="146">
        <f t="shared" si="5"/>
        <v>96.569122424591995</v>
      </c>
      <c r="X26" s="146">
        <f t="shared" si="5"/>
        <v>99.635911835866054</v>
      </c>
      <c r="Y26" s="146">
        <f t="shared" si="5"/>
        <v>102.75806618967755</v>
      </c>
      <c r="Z26" s="146">
        <f t="shared" si="5"/>
        <v>105.93522192257653</v>
      </c>
      <c r="AA26" s="146">
        <f t="shared" si="5"/>
        <v>109.16697646621689</v>
      </c>
      <c r="AB26" s="146">
        <f t="shared" si="5"/>
        <v>112.45288731428481</v>
      </c>
      <c r="AC26" s="146">
        <f t="shared" si="5"/>
        <v>115.79247096756482</v>
      </c>
      <c r="AD26" s="146">
        <f t="shared" si="5"/>
        <v>119.18520175251334</v>
      </c>
      <c r="AE26" s="146">
        <f t="shared" si="5"/>
        <v>122.63051050889524</v>
      </c>
      <c r="AF26" s="124"/>
      <c r="AG26" s="124"/>
      <c r="AH26" s="124"/>
      <c r="AI26" s="124"/>
    </row>
    <row r="27" spans="1:35" x14ac:dyDescent="0.35">
      <c r="B27" s="115" t="s">
        <v>110</v>
      </c>
      <c r="C27" s="115" t="s">
        <v>3130</v>
      </c>
      <c r="D27" s="115" t="s">
        <v>3178</v>
      </c>
      <c r="E27" s="115" t="s">
        <v>1852</v>
      </c>
      <c r="H27" s="119" t="str">
        <f>Settings!$B$3&amp;".mit.ghg.iprdc.tot.1"</f>
        <v>egy.mit.ghg.iprdc.tot.1</v>
      </c>
      <c r="I27" s="115" t="s">
        <v>3179</v>
      </c>
      <c r="L27" s="121">
        <f t="shared" ref="L27:AE27" si="6">L26-L19</f>
        <v>0</v>
      </c>
      <c r="M27" s="121">
        <f t="shared" si="6"/>
        <v>0</v>
      </c>
      <c r="N27" s="121">
        <f t="shared" si="6"/>
        <v>0</v>
      </c>
      <c r="O27" s="121">
        <f t="shared" si="6"/>
        <v>0</v>
      </c>
      <c r="P27" s="121">
        <f t="shared" si="6"/>
        <v>0</v>
      </c>
      <c r="Q27" s="121">
        <f t="shared" si="6"/>
        <v>0</v>
      </c>
      <c r="R27" s="121">
        <f t="shared" si="6"/>
        <v>0</v>
      </c>
      <c r="S27" s="121">
        <f t="shared" si="6"/>
        <v>0</v>
      </c>
      <c r="T27" s="121">
        <f t="shared" si="6"/>
        <v>0</v>
      </c>
      <c r="U27" s="121">
        <f t="shared" si="6"/>
        <v>0</v>
      </c>
      <c r="V27" s="121">
        <f t="shared" si="6"/>
        <v>0</v>
      </c>
      <c r="W27" s="121">
        <f t="shared" si="6"/>
        <v>0</v>
      </c>
      <c r="X27" s="121">
        <f t="shared" si="6"/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</row>
    <row r="28" spans="1:35" x14ac:dyDescent="0.35">
      <c r="B28" s="115" t="s">
        <v>3180</v>
      </c>
      <c r="C28" s="115" t="s">
        <v>3130</v>
      </c>
      <c r="D28" s="115" t="s">
        <v>3181</v>
      </c>
      <c r="E28" s="115" t="s">
        <v>79</v>
      </c>
      <c r="H28" s="119" t="str">
        <f>Settings!$B$3&amp;".mit.ghg.iprshb.tot.1"</f>
        <v>egy.mit.ghg.iprshb.tot.1</v>
      </c>
      <c r="L28" s="147">
        <f t="shared" ref="L28:AE28" si="7">IF(L19=0,0,L24/L19)</f>
        <v>0.55380428570707418</v>
      </c>
      <c r="M28" s="147">
        <f t="shared" si="7"/>
        <v>0.52459143763859073</v>
      </c>
      <c r="N28" s="147">
        <f t="shared" si="7"/>
        <v>0.46373597733973954</v>
      </c>
      <c r="O28" s="147">
        <f t="shared" si="7"/>
        <v>0.42956060298756071</v>
      </c>
      <c r="P28" s="147">
        <f t="shared" si="7"/>
        <v>0.45629472901078322</v>
      </c>
      <c r="Q28" s="147">
        <f t="shared" si="7"/>
        <v>0.43205922549306863</v>
      </c>
      <c r="R28" s="147">
        <f t="shared" si="7"/>
        <v>0.42897183583169024</v>
      </c>
      <c r="S28" s="147">
        <f t="shared" si="7"/>
        <v>0.42705073286398215</v>
      </c>
      <c r="T28" s="147">
        <f t="shared" si="7"/>
        <v>0.42649551584360523</v>
      </c>
      <c r="U28" s="147">
        <f t="shared" si="7"/>
        <v>0.4261954972977125</v>
      </c>
      <c r="V28" s="147">
        <f t="shared" si="7"/>
        <v>0.42627402382076635</v>
      </c>
      <c r="W28" s="147">
        <f t="shared" si="7"/>
        <v>0.42654103184886683</v>
      </c>
      <c r="X28" s="147">
        <f t="shared" si="7"/>
        <v>0.42699494202297661</v>
      </c>
      <c r="Y28" s="147">
        <f t="shared" si="7"/>
        <v>0.42763442372267696</v>
      </c>
      <c r="Z28" s="147">
        <f t="shared" si="7"/>
        <v>0.42845839384267226</v>
      </c>
      <c r="AA28" s="147">
        <f t="shared" si="7"/>
        <v>0.4294660159586875</v>
      </c>
      <c r="AB28" s="147">
        <f t="shared" si="7"/>
        <v>0.43065669991122951</v>
      </c>
      <c r="AC28" s="147">
        <f t="shared" si="7"/>
        <v>0.43203010183517077</v>
      </c>
      <c r="AD28" s="147">
        <f t="shared" si="7"/>
        <v>0.43358612466285934</v>
      </c>
      <c r="AE28" s="147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5" t="s">
        <v>110</v>
      </c>
      <c r="C34" s="115" t="s">
        <v>3150</v>
      </c>
      <c r="D34" s="115" t="s">
        <v>3151</v>
      </c>
      <c r="E34" s="115" t="s">
        <v>2068</v>
      </c>
      <c r="F34" s="115" t="s">
        <v>3152</v>
      </c>
      <c r="H34" s="119" t="str">
        <f>Settings!$B$3&amp;".mit.eco2.kern.tot.e.2"</f>
        <v>egy.mit.eco2.kern.tot.e.2</v>
      </c>
      <c r="I34" s="115" t="s">
        <v>3153</v>
      </c>
      <c r="L34" s="121">
        <f>Emissions_Industry!L66+Emissions_Industry!L78+Emissions_Industry!L90+Emissions_Industry!L102</f>
        <v>14.019740964534272</v>
      </c>
      <c r="M34" s="121">
        <f>Emissions_Industry!M66+Emissions_Industry!M78+Emissions_Industry!M90+Emissions_Industry!M102</f>
        <v>11.739301230035998</v>
      </c>
      <c r="N34" s="121">
        <f>Emissions_Industry!N66+Emissions_Industry!N78+Emissions_Industry!N90+Emissions_Industry!N102</f>
        <v>13.303124518863104</v>
      </c>
      <c r="O34" s="121">
        <f>Emissions_Industry!O66+Emissions_Industry!O78+Emissions_Industry!O90+Emissions_Industry!O102</f>
        <v>14.156899598427017</v>
      </c>
      <c r="P34" s="121">
        <f>Emissions_Industry!P66+Emissions_Industry!P78+Emissions_Industry!P90+Emissions_Industry!P102</f>
        <v>14.286244741983563</v>
      </c>
      <c r="Q34" s="121">
        <f>Emissions_Industry!Q66+Emissions_Industry!Q78+Emissions_Industry!Q90+Emissions_Industry!Q102</f>
        <v>13.482479789369556</v>
      </c>
      <c r="R34" s="121">
        <f>Emissions_Industry!R66+Emissions_Industry!R78+Emissions_Industry!R90+Emissions_Industry!R102</f>
        <v>12.983250913859607</v>
      </c>
      <c r="S34" s="121">
        <f>Emissions_Industry!S66+Emissions_Industry!S78+Emissions_Industry!S90+Emissions_Industry!S102</f>
        <v>12.560793362152866</v>
      </c>
      <c r="T34" s="121">
        <f>Emissions_Industry!T66+Emissions_Industry!T78+Emissions_Industry!T90+Emissions_Industry!T102</f>
        <v>12.187957412625254</v>
      </c>
      <c r="U34" s="121">
        <f>Emissions_Industry!U66+Emissions_Industry!U78+Emissions_Industry!U90+Emissions_Industry!U102</f>
        <v>11.875632686552137</v>
      </c>
      <c r="V34" s="121">
        <f>Emissions_Industry!V66+Emissions_Industry!V78+Emissions_Industry!V90+Emissions_Industry!V102</f>
        <v>11.602689599741135</v>
      </c>
      <c r="W34" s="121">
        <f>Emissions_Industry!W66+Emissions_Industry!W78+Emissions_Industry!W90+Emissions_Industry!W102</f>
        <v>11.378519970656047</v>
      </c>
      <c r="X34" s="121">
        <f>Emissions_Industry!X66+Emissions_Industry!X78+Emissions_Industry!X90+Emissions_Industry!X102</f>
        <v>11.19706469003696</v>
      </c>
      <c r="Y34" s="121">
        <f>Emissions_Industry!Y66+Emissions_Industry!Y78+Emissions_Industry!Y90+Emissions_Industry!Y102</f>
        <v>11.054589877296367</v>
      </c>
      <c r="Z34" s="121">
        <f>Emissions_Industry!Z66+Emissions_Industry!Z78+Emissions_Industry!Z90+Emissions_Industry!Z102</f>
        <v>10.949977353134972</v>
      </c>
      <c r="AA34" s="121">
        <f>Emissions_Industry!AA66+Emissions_Industry!AA78+Emissions_Industry!AA90+Emissions_Industry!AA102</f>
        <v>10.880837147763879</v>
      </c>
      <c r="AB34" s="121">
        <f>Emissions_Industry!AB66+Emissions_Industry!AB78+Emissions_Industry!AB90+Emissions_Industry!AB102</f>
        <v>10.844737007963213</v>
      </c>
      <c r="AC34" s="121">
        <f>Emissions_Industry!AC66+Emissions_Industry!AC78+Emissions_Industry!AC90+Emissions_Industry!AC102</f>
        <v>10.837962619219041</v>
      </c>
      <c r="AD34" s="121">
        <f>Emissions_Industry!AD66+Emissions_Industry!AD78+Emissions_Industry!AD90+Emissions_Industry!AD102</f>
        <v>10.857412419871189</v>
      </c>
      <c r="AE34" s="121">
        <f>Emissions_Industry!AE66+Emissions_Industry!AE78+Emissions_Industry!AE90+Emissions_Industry!AE102</f>
        <v>10.900735380545399</v>
      </c>
    </row>
    <row r="35" spans="1:35" x14ac:dyDescent="0.35">
      <c r="B35" s="115" t="s">
        <v>110</v>
      </c>
      <c r="C35" s="115" t="s">
        <v>4</v>
      </c>
      <c r="D35" s="115" t="s">
        <v>3154</v>
      </c>
      <c r="E35" s="115" t="s">
        <v>2068</v>
      </c>
      <c r="F35" s="115" t="s">
        <v>3155</v>
      </c>
      <c r="H35" s="119" t="str">
        <f>Settings!$B$3&amp;".mit.co2.ind.k.2"</f>
        <v>egy.mit.co2.ind.k.2</v>
      </c>
      <c r="I35" s="115" t="s">
        <v>3156</v>
      </c>
      <c r="L35" s="121">
        <f t="shared" ref="L35:AE35" si="8">L11+L34-L17</f>
        <v>59.804205879849356</v>
      </c>
      <c r="M35" s="121">
        <f t="shared" si="8"/>
        <v>48.931828957170424</v>
      </c>
      <c r="N35" s="121">
        <f t="shared" si="8"/>
        <v>57.158576789144817</v>
      </c>
      <c r="O35" s="121">
        <f t="shared" si="8"/>
        <v>63.720179343286858</v>
      </c>
      <c r="P35" s="121">
        <f t="shared" si="8"/>
        <v>61.946242160955606</v>
      </c>
      <c r="Q35" s="121">
        <f t="shared" si="8"/>
        <v>66.347776102622248</v>
      </c>
      <c r="R35" s="121">
        <f t="shared" si="8"/>
        <v>67.977762596208194</v>
      </c>
      <c r="S35" s="121">
        <f t="shared" si="8"/>
        <v>69.614967451077348</v>
      </c>
      <c r="T35" s="121">
        <f t="shared" si="8"/>
        <v>71.188330561747961</v>
      </c>
      <c r="U35" s="121">
        <f t="shared" si="8"/>
        <v>72.8538824730432</v>
      </c>
      <c r="V35" s="121">
        <f t="shared" si="8"/>
        <v>74.597446711750393</v>
      </c>
      <c r="W35" s="121">
        <f t="shared" si="8"/>
        <v>76.428238541411474</v>
      </c>
      <c r="X35" s="121">
        <f t="shared" si="8"/>
        <v>78.339997174324651</v>
      </c>
      <c r="Y35" s="121">
        <f t="shared" si="8"/>
        <v>80.32876154931742</v>
      </c>
      <c r="Z35" s="121">
        <f t="shared" si="8"/>
        <v>82.393160352176864</v>
      </c>
      <c r="AA35" s="121">
        <f t="shared" si="8"/>
        <v>84.530523994561648</v>
      </c>
      <c r="AB35" s="121">
        <f t="shared" si="8"/>
        <v>86.738113511233266</v>
      </c>
      <c r="AC35" s="121">
        <f t="shared" si="8"/>
        <v>89.011880088607228</v>
      </c>
      <c r="AD35" s="121">
        <f t="shared" si="8"/>
        <v>91.348359098460875</v>
      </c>
      <c r="AE35" s="121">
        <f t="shared" si="8"/>
        <v>93.74480700710555</v>
      </c>
    </row>
    <row r="36" spans="1:35" x14ac:dyDescent="0.35">
      <c r="B36" s="115" t="s">
        <v>110</v>
      </c>
      <c r="C36" s="115" t="s">
        <v>3130</v>
      </c>
      <c r="D36" s="115" t="s">
        <v>3157</v>
      </c>
      <c r="E36" s="115" t="s">
        <v>1852</v>
      </c>
      <c r="F36" s="115" t="s">
        <v>3158</v>
      </c>
      <c r="H36" s="119" t="str">
        <f>Settings!$B$3&amp;".mit.ghg.iprc.tot.2"</f>
        <v>egy.mit.ghg.iprc.tot.2</v>
      </c>
      <c r="I36" s="115" t="s">
        <v>3159</v>
      </c>
      <c r="L36" s="121">
        <f>L10</f>
        <v>52.200349760476598</v>
      </c>
      <c r="M36" s="121">
        <f>M10</f>
        <v>56.903431130804279</v>
      </c>
      <c r="N36" s="121">
        <f t="shared" ref="N36:AE36" si="9">IF(M35=0,0,M36*N35/M35)</f>
        <v>66.470418277289212</v>
      </c>
      <c r="O36" s="121">
        <f t="shared" si="9"/>
        <v>74.100987315984753</v>
      </c>
      <c r="P36" s="121">
        <f t="shared" si="9"/>
        <v>72.038053752362728</v>
      </c>
      <c r="Q36" s="121">
        <f t="shared" si="9"/>
        <v>77.156652195489656</v>
      </c>
      <c r="R36" s="121">
        <f t="shared" si="9"/>
        <v>79.05218371676375</v>
      </c>
      <c r="S36" s="121">
        <f t="shared" si="9"/>
        <v>80.956109559952836</v>
      </c>
      <c r="T36" s="121">
        <f t="shared" si="9"/>
        <v>82.78579304654717</v>
      </c>
      <c r="U36" s="121">
        <f t="shared" si="9"/>
        <v>84.722684033436792</v>
      </c>
      <c r="V36" s="121">
        <f t="shared" si="9"/>
        <v>86.750296523994834</v>
      </c>
      <c r="W36" s="121">
        <f t="shared" si="9"/>
        <v>88.879347062554189</v>
      </c>
      <c r="X36" s="121">
        <f t="shared" si="9"/>
        <v>91.102554901401064</v>
      </c>
      <c r="Y36" s="121">
        <f t="shared" si="9"/>
        <v>93.415313673341771</v>
      </c>
      <c r="Z36" s="121">
        <f t="shared" si="9"/>
        <v>95.816028660060311</v>
      </c>
      <c r="AA36" s="121">
        <f t="shared" si="9"/>
        <v>98.301595364145371</v>
      </c>
      <c r="AB36" s="121">
        <f t="shared" si="9"/>
        <v>100.86882860893093</v>
      </c>
      <c r="AC36" s="121">
        <f t="shared" si="9"/>
        <v>103.51301997885444</v>
      </c>
      <c r="AD36" s="121">
        <f t="shared" si="9"/>
        <v>106.23014041476027</v>
      </c>
      <c r="AE36" s="121">
        <f t="shared" si="9"/>
        <v>109.01699942727505</v>
      </c>
    </row>
    <row r="37" spans="1:35" x14ac:dyDescent="0.35">
      <c r="B37" s="115" t="s">
        <v>2675</v>
      </c>
      <c r="C37" s="115" t="s">
        <v>3130</v>
      </c>
      <c r="D37" s="115" t="s">
        <v>3160</v>
      </c>
      <c r="E37" s="115" t="s">
        <v>1852</v>
      </c>
      <c r="F37" s="115" t="s">
        <v>3183</v>
      </c>
      <c r="H37" s="119" t="str">
        <f>Settings!$B$3&amp;".mit.ghg.ipr.blknp.2"</f>
        <v>egy.mit.ghg.ipr.blknp.2</v>
      </c>
      <c r="I37" s="115" t="s">
        <v>3184</v>
      </c>
      <c r="L37" s="121">
        <f>Mitigation_Industry!L659</f>
        <v>25.971762885046314</v>
      </c>
      <c r="M37" s="121">
        <f>Mitigation_Industry!M659</f>
        <v>26.842539414672931</v>
      </c>
      <c r="N37" s="121">
        <f>Mitigation_Industry!N659</f>
        <v>27.742760634</v>
      </c>
      <c r="O37" s="121">
        <f>Mitigation_Industry!O659</f>
        <v>28.673435240928001</v>
      </c>
      <c r="P37" s="121">
        <f>Mitigation_Industry!P659</f>
        <v>29.635607169743587</v>
      </c>
      <c r="Q37" s="121">
        <f>Mitigation_Industry!Q659</f>
        <v>30.630356857310563</v>
      </c>
      <c r="R37" s="121">
        <f>Mitigation_Industry!R659</f>
        <v>31.658802556563273</v>
      </c>
      <c r="S37" s="121">
        <f>Mitigation_Industry!S659</f>
        <v>32.722101699159616</v>
      </c>
      <c r="T37" s="121">
        <f>Mitigation_Industry!T659</f>
        <v>33.821452309227929</v>
      </c>
      <c r="U37" s="121">
        <f>Mitigation_Industry!U659</f>
        <v>34.958094470222733</v>
      </c>
      <c r="V37" s="121">
        <f>Mitigation_Industry!V659</f>
        <v>36.133311846988548</v>
      </c>
      <c r="W37" s="121">
        <f>Mitigation_Industry!W659</f>
        <v>37.348433265219015</v>
      </c>
      <c r="X37" s="121">
        <f>Mitigation_Industry!X659</f>
        <v>38.60483435059016</v>
      </c>
      <c r="Y37" s="121">
        <f>Mitigation_Industry!Y659</f>
        <v>39.903939229943205</v>
      </c>
      <c r="Z37" s="121">
        <f>Mitigation_Industry!Z659</f>
        <v>41.247222296991801</v>
      </c>
      <c r="AA37" s="121">
        <f>Mitigation_Industry!AA659</f>
        <v>42.636210045134121</v>
      </c>
      <c r="AB37" s="121">
        <f>Mitigation_Industry!AB659</f>
        <v>44.072482970059113</v>
      </c>
      <c r="AC37" s="121">
        <f>Mitigation_Industry!AC659</f>
        <v>45.557677544951083</v>
      </c>
      <c r="AD37" s="121">
        <f>Mitigation_Industry!AD659</f>
        <v>47.09348827121579</v>
      </c>
      <c r="AE37" s="121">
        <f>Mitigation_Industry!AE659</f>
        <v>48.681669807777041</v>
      </c>
    </row>
    <row r="38" spans="1:35" x14ac:dyDescent="0.35">
      <c r="B38" s="115" t="s">
        <v>2675</v>
      </c>
      <c r="C38" s="115" t="s">
        <v>3130</v>
      </c>
      <c r="D38" s="115" t="s">
        <v>3163</v>
      </c>
      <c r="E38" s="115" t="s">
        <v>1852</v>
      </c>
      <c r="F38" s="115" t="s">
        <v>3185</v>
      </c>
      <c r="H38" s="119" t="str">
        <f>Settings!$B$3&amp;".mit.ghg.ipr.blkno.2"</f>
        <v>egy.mit.ghg.ipr.blkno.2</v>
      </c>
      <c r="I38" s="115" t="s">
        <v>3186</v>
      </c>
      <c r="L38" s="121">
        <f>Mitigation_Industry!L660</f>
        <v>0.77985726154224555</v>
      </c>
      <c r="M38" s="121">
        <f>Mitigation_Industry!M660</f>
        <v>0.80389860277682457</v>
      </c>
      <c r="N38" s="121">
        <f>Mitigation_Industry!N660</f>
        <v>0.82884750000000007</v>
      </c>
      <c r="O38" s="121">
        <f>Mitigation_Industry!O660</f>
        <v>0.85474474500000008</v>
      </c>
      <c r="P38" s="121">
        <f>Mitigation_Industry!P660</f>
        <v>0.88163317238999994</v>
      </c>
      <c r="Q38" s="121">
        <f>Mitigation_Industry!Q660</f>
        <v>0.90955776754758011</v>
      </c>
      <c r="R38" s="121">
        <f>Mitigation_Industry!R660</f>
        <v>0.93856578039370175</v>
      </c>
      <c r="S38" s="121">
        <f>Mitigation_Industry!S660</f>
        <v>0.96870684533024232</v>
      </c>
      <c r="T38" s="121">
        <f>Mitigation_Industry!T660</f>
        <v>1.0000331076726199</v>
      </c>
      <c r="U38" s="121">
        <f>Mitigation_Industry!U660</f>
        <v>1.0325993569325114</v>
      </c>
      <c r="V38" s="121">
        <f>Mitigation_Industry!V660</f>
        <v>1.0664631673251306</v>
      </c>
      <c r="W38" s="121">
        <f>Mitigation_Industry!W660</f>
        <v>1.1016850458960927</v>
      </c>
      <c r="X38" s="121">
        <f>Mitigation_Industry!X660</f>
        <v>1.138328588684556</v>
      </c>
      <c r="Y38" s="121">
        <f>Mitigation_Industry!Y660</f>
        <v>1.1764606453621964</v>
      </c>
      <c r="Z38" s="121">
        <f>Mitigation_Industry!Z660</f>
        <v>1.216151492811707</v>
      </c>
      <c r="AA38" s="121">
        <f>Mitigation_Industry!AA660</f>
        <v>1.2574750181339414</v>
      </c>
      <c r="AB38" s="121">
        <f>Mitigation_Industry!AB660</f>
        <v>1.3005089115996857</v>
      </c>
      <c r="AC38" s="121">
        <f>Mitigation_Industry!AC660</f>
        <v>1.3453348700903502</v>
      </c>
      <c r="AD38" s="121">
        <f>Mitigation_Industry!AD660</f>
        <v>1.3920388116017608</v>
      </c>
      <c r="AE38" s="121">
        <f>Mitigation_Industry!AE660</f>
        <v>1.4407111014167402</v>
      </c>
    </row>
    <row r="39" spans="1:35" x14ac:dyDescent="0.35">
      <c r="B39" s="115" t="s">
        <v>2675</v>
      </c>
      <c r="C39" s="115" t="s">
        <v>3130</v>
      </c>
      <c r="D39" s="115" t="s">
        <v>3166</v>
      </c>
      <c r="E39" s="115" t="s">
        <v>1852</v>
      </c>
      <c r="F39" s="115" t="s">
        <v>3187</v>
      </c>
      <c r="H39" s="119" t="str">
        <f>Settings!$B$3&amp;".mit.ghg.ipr.blkproc.2"</f>
        <v>egy.mit.ghg.ipr.blkproc.2</v>
      </c>
      <c r="I39" s="115" t="s">
        <v>3188</v>
      </c>
      <c r="L39" s="121">
        <f>Mitigation_Industry!L789</f>
        <v>26.751620146588561</v>
      </c>
      <c r="M39" s="121">
        <f>Mitigation_Industry!M789</f>
        <v>27.646438017449757</v>
      </c>
      <c r="N39" s="121">
        <f>Mitigation_Industry!N789</f>
        <v>28.571608133999998</v>
      </c>
      <c r="O39" s="121">
        <f>Mitigation_Industry!O789</f>
        <v>29.528179985927999</v>
      </c>
      <c r="P39" s="121">
        <f>Mitigation_Industry!P789</f>
        <v>30.517240342133586</v>
      </c>
      <c r="Q39" s="121">
        <f>Mitigation_Industry!Q789</f>
        <v>31.539914624858142</v>
      </c>
      <c r="R39" s="121">
        <f>Mitigation_Industry!R789</f>
        <v>32.597368336956976</v>
      </c>
      <c r="S39" s="121">
        <f>Mitigation_Industry!S789</f>
        <v>33.690808544489862</v>
      </c>
      <c r="T39" s="121">
        <f>Mitigation_Industry!T789</f>
        <v>34.821485416900551</v>
      </c>
      <c r="U39" s="121">
        <f>Mitigation_Industry!U789</f>
        <v>35.990693827155248</v>
      </c>
      <c r="V39" s="121">
        <f>Mitigation_Industry!V789</f>
        <v>37.19977501431368</v>
      </c>
      <c r="W39" s="121">
        <f>Mitigation_Industry!W789</f>
        <v>38.450118311115105</v>
      </c>
      <c r="X39" s="121">
        <f>Mitigation_Industry!X789</f>
        <v>39.743162939274711</v>
      </c>
      <c r="Y39" s="121">
        <f>Mitigation_Industry!Y789</f>
        <v>41.08039987530541</v>
      </c>
      <c r="Z39" s="121">
        <f>Mitigation_Industry!Z789</f>
        <v>42.463373789803512</v>
      </c>
      <c r="AA39" s="121">
        <f>Mitigation_Industry!AA789</f>
        <v>43.893685063268059</v>
      </c>
      <c r="AB39" s="121">
        <f>Mitigation_Industry!AB789</f>
        <v>45.372991881658805</v>
      </c>
      <c r="AC39" s="121">
        <f>Mitigation_Industry!AC789</f>
        <v>46.903012415041424</v>
      </c>
      <c r="AD39" s="121">
        <f>Mitigation_Industry!AD789</f>
        <v>48.485527082817555</v>
      </c>
      <c r="AE39" s="121">
        <f>Mitigation_Industry!AE789</f>
        <v>50.122380909193787</v>
      </c>
    </row>
    <row r="40" spans="1:35" x14ac:dyDescent="0.35">
      <c r="B40" s="115" t="s">
        <v>2675</v>
      </c>
      <c r="C40" s="115" t="s">
        <v>3130</v>
      </c>
      <c r="D40" s="115" t="s">
        <v>3169</v>
      </c>
      <c r="E40" s="115" t="s">
        <v>1852</v>
      </c>
      <c r="F40" s="115" t="s">
        <v>3170</v>
      </c>
      <c r="H40" s="119" t="str">
        <f>Settings!$B$3&amp;".mit.ghg.ipr.blkfp.2"</f>
        <v>egy.mit.ghg.ipr.blkfp.2</v>
      </c>
      <c r="I40" s="115" t="s">
        <v>3171</v>
      </c>
      <c r="L40" s="121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21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21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21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21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21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21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21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21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21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21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21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21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21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21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21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21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21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21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21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5" t="s">
        <v>2675</v>
      </c>
      <c r="C41" s="115" t="s">
        <v>3130</v>
      </c>
      <c r="D41" s="115" t="s">
        <v>3172</v>
      </c>
      <c r="E41" s="115" t="s">
        <v>1852</v>
      </c>
      <c r="H41" s="119" t="str">
        <f>Settings!$B$3&amp;".mit.ghg.ipr.blk.2"</f>
        <v>egy.mit.ghg.ipr.blk.2</v>
      </c>
      <c r="L41" s="121">
        <f t="shared" ref="L41:AE41" si="10">L39+L40</f>
        <v>28.908777412760184</v>
      </c>
      <c r="M41" s="121">
        <f t="shared" si="10"/>
        <v>29.851052743477155</v>
      </c>
      <c r="N41" s="121">
        <f t="shared" si="10"/>
        <v>30.824724384</v>
      </c>
      <c r="O41" s="121">
        <f t="shared" si="10"/>
        <v>31.830864793427999</v>
      </c>
      <c r="P41" s="121">
        <f t="shared" si="10"/>
        <v>32.870584215398587</v>
      </c>
      <c r="Q41" s="121">
        <f t="shared" si="10"/>
        <v>33.94503206333497</v>
      </c>
      <c r="R41" s="121">
        <f t="shared" si="10"/>
        <v>35.055398359080293</v>
      </c>
      <c r="S41" s="121">
        <f t="shared" si="10"/>
        <v>36.202915227099894</v>
      </c>
      <c r="T41" s="121">
        <f t="shared" si="10"/>
        <v>37.388858446528005</v>
      </c>
      <c r="U41" s="121">
        <f t="shared" si="10"/>
        <v>38.614549063434509</v>
      </c>
      <c r="V41" s="121">
        <f t="shared" si="10"/>
        <v>39.881355065791084</v>
      </c>
      <c r="W41" s="121">
        <f t="shared" si="10"/>
        <v>41.190693123725012</v>
      </c>
      <c r="X41" s="121">
        <f t="shared" si="10"/>
        <v>42.544030397762036</v>
      </c>
      <c r="Y41" s="121">
        <f t="shared" si="10"/>
        <v>43.942886417879457</v>
      </c>
      <c r="Z41" s="121">
        <f t="shared" si="10"/>
        <v>45.388835036314184</v>
      </c>
      <c r="AA41" s="121">
        <f t="shared" si="10"/>
        <v>46.883506457201968</v>
      </c>
      <c r="AB41" s="121">
        <f t="shared" si="10"/>
        <v>48.428589346259258</v>
      </c>
      <c r="AC41" s="121">
        <f t="shared" si="10"/>
        <v>50.025833023863086</v>
      </c>
      <c r="AD41" s="121">
        <f t="shared" si="10"/>
        <v>51.677049745033294</v>
      </c>
      <c r="AE41" s="121">
        <f t="shared" si="10"/>
        <v>53.384117069978274</v>
      </c>
    </row>
    <row r="42" spans="1:35" x14ac:dyDescent="0.35">
      <c r="B42" s="115" t="s">
        <v>3173</v>
      </c>
      <c r="C42" s="115" t="s">
        <v>3130</v>
      </c>
      <c r="D42" s="115" t="s">
        <v>3174</v>
      </c>
      <c r="E42" s="115" t="s">
        <v>1852</v>
      </c>
      <c r="H42" s="119" t="str">
        <f>Settings!$B$3&amp;".mit.ghg.ipr.oth.2"</f>
        <v>egy.mit.ghg.ipr.oth.2</v>
      </c>
      <c r="I42" s="115" t="s">
        <v>3189</v>
      </c>
      <c r="L42" s="121">
        <f>IF('Manual inputs'!$E$85="CPAT",IF(L19=0,0,L25*L36/L19),L25)</f>
        <v>23.291572347716414</v>
      </c>
      <c r="M42" s="121">
        <f>IF('Manual inputs'!$E$85="CPAT",IF(M19=0,0,M25*M36/M19),M25)</f>
        <v>27.052378387327124</v>
      </c>
      <c r="N42" s="121">
        <f>IF('Manual inputs'!$E$85="CPAT",IF(N19=0,0,N25*N36/N19),N25)</f>
        <v>35.645693893289213</v>
      </c>
      <c r="O42" s="121">
        <f>IF('Manual inputs'!$E$85="CPAT",IF(O19=0,0,O25*O36/O19),O25)</f>
        <v>42.270122522556754</v>
      </c>
      <c r="P42" s="121">
        <f>IF('Manual inputs'!$E$85="CPAT",IF(P19=0,0,P25*P36/P19),P25)</f>
        <v>39.167469536964141</v>
      </c>
      <c r="Q42" s="121">
        <f>IF('Manual inputs'!$E$85="CPAT",IF(Q19=0,0,Q25*Q36/Q19),Q25)</f>
        <v>44.620660000285916</v>
      </c>
      <c r="R42" s="121">
        <f>IF('Manual inputs'!$E$85="CPAT",IF(R19=0,0,R25*R36/R19),R25)</f>
        <v>46.664181881228295</v>
      </c>
      <c r="S42" s="121">
        <f>IF('Manual inputs'!$E$85="CPAT",IF(S19=0,0,S25*S36/S19),S25)</f>
        <v>48.571357338381702</v>
      </c>
      <c r="T42" s="121">
        <f>IF('Manual inputs'!$E$85="CPAT",IF(T19=0,0,T25*T36/T19),T25)</f>
        <v>50.27644413601638</v>
      </c>
      <c r="U42" s="121">
        <f>IF('Manual inputs'!$E$85="CPAT",IF(U19=0,0,U25*U36/U19),U25)</f>
        <v>51.98835337985642</v>
      </c>
      <c r="V42" s="121">
        <f>IF('Manual inputs'!$E$85="CPAT",IF(V19=0,0,V25*V36/V19),V25)</f>
        <v>53.67666826466602</v>
      </c>
      <c r="W42" s="121">
        <f>IF('Manual inputs'!$E$85="CPAT",IF(W19=0,0,W25*W36/W19),W25)</f>
        <v>55.378429300866983</v>
      </c>
      <c r="X42" s="121">
        <f>IF('Manual inputs'!$E$85="CPAT",IF(X19=0,0,X25*X36/X19),X25)</f>
        <v>57.091881438104018</v>
      </c>
      <c r="Y42" s="121">
        <f>IF('Manual inputs'!$E$85="CPAT",IF(Y19=0,0,Y25*Y36/Y19),Y25)</f>
        <v>58.815179771798093</v>
      </c>
      <c r="Z42" s="121">
        <f>IF('Manual inputs'!$E$85="CPAT",IF(Z19=0,0,Z25*Z36/Z19),Z25)</f>
        <v>60.546386886262347</v>
      </c>
      <c r="AA42" s="121">
        <f>IF('Manual inputs'!$E$85="CPAT",IF(AA19=0,0,AA25*AA36/AA19),AA25)</f>
        <v>62.283470009014927</v>
      </c>
      <c r="AB42" s="121">
        <f>IF('Manual inputs'!$E$85="CPAT",IF(AB19=0,0,AB25*AB36/AB19),AB25)</f>
        <v>64.02429796802555</v>
      </c>
      <c r="AC42" s="121">
        <f>IF('Manual inputs'!$E$85="CPAT",IF(AC19=0,0,AC25*AC36/AC19),AC25)</f>
        <v>65.766637943701738</v>
      </c>
      <c r="AD42" s="121">
        <f>IF('Manual inputs'!$E$85="CPAT",IF(AD19=0,0,AD25*AD36/AD19),AD25)</f>
        <v>67.508152007480049</v>
      </c>
      <c r="AE42" s="121">
        <f>IF('Manual inputs'!$E$85="CPAT",IF(AE19=0,0,AE25*AE36/AE19),AE25)</f>
        <v>69.246393438916968</v>
      </c>
    </row>
    <row r="43" spans="1:35" ht="13.9" x14ac:dyDescent="0.4">
      <c r="B43" s="124" t="s">
        <v>110</v>
      </c>
      <c r="C43" s="124" t="s">
        <v>3130</v>
      </c>
      <c r="D43" s="124" t="s">
        <v>3176</v>
      </c>
      <c r="E43" s="124" t="s">
        <v>1852</v>
      </c>
      <c r="F43" s="124"/>
      <c r="G43" s="124"/>
      <c r="H43" s="145" t="str">
        <f>Settings!$B$3&amp;".mit.ghg.iprk.tot.2"</f>
        <v>egy.mit.ghg.iprk.tot.2</v>
      </c>
      <c r="I43" s="124" t="s">
        <v>3190</v>
      </c>
      <c r="J43" s="124"/>
      <c r="K43" s="124"/>
      <c r="L43" s="146">
        <f t="shared" ref="L43:AE43" si="11">L41+L42</f>
        <v>52.200349760476598</v>
      </c>
      <c r="M43" s="146">
        <f t="shared" si="11"/>
        <v>56.903431130804279</v>
      </c>
      <c r="N43" s="146">
        <f t="shared" si="11"/>
        <v>66.470418277289212</v>
      </c>
      <c r="O43" s="146">
        <f t="shared" si="11"/>
        <v>74.100987315984753</v>
      </c>
      <c r="P43" s="146">
        <f t="shared" si="11"/>
        <v>72.038053752362728</v>
      </c>
      <c r="Q43" s="146">
        <f t="shared" si="11"/>
        <v>78.565692063620887</v>
      </c>
      <c r="R43" s="146">
        <f t="shared" si="11"/>
        <v>81.719580240308588</v>
      </c>
      <c r="S43" s="146">
        <f t="shared" si="11"/>
        <v>84.774272565481596</v>
      </c>
      <c r="T43" s="146">
        <f t="shared" si="11"/>
        <v>87.665302582544385</v>
      </c>
      <c r="U43" s="146">
        <f t="shared" si="11"/>
        <v>90.60290244329093</v>
      </c>
      <c r="V43" s="146">
        <f t="shared" si="11"/>
        <v>93.558023330457104</v>
      </c>
      <c r="W43" s="146">
        <f t="shared" si="11"/>
        <v>96.569122424591995</v>
      </c>
      <c r="X43" s="146">
        <f t="shared" si="11"/>
        <v>99.635911835866054</v>
      </c>
      <c r="Y43" s="146">
        <f t="shared" si="11"/>
        <v>102.75806618967755</v>
      </c>
      <c r="Z43" s="146">
        <f t="shared" si="11"/>
        <v>105.93522192257653</v>
      </c>
      <c r="AA43" s="146">
        <f t="shared" si="11"/>
        <v>109.16697646621689</v>
      </c>
      <c r="AB43" s="146">
        <f t="shared" si="11"/>
        <v>112.45288731428481</v>
      </c>
      <c r="AC43" s="146">
        <f t="shared" si="11"/>
        <v>115.79247096756482</v>
      </c>
      <c r="AD43" s="146">
        <f t="shared" si="11"/>
        <v>119.18520175251334</v>
      </c>
      <c r="AE43" s="146">
        <f t="shared" si="11"/>
        <v>122.63051050889524</v>
      </c>
      <c r="AF43" s="124"/>
      <c r="AG43" s="124"/>
      <c r="AH43" s="124"/>
      <c r="AI43" s="124"/>
    </row>
    <row r="44" spans="1:35" x14ac:dyDescent="0.35">
      <c r="B44" s="115" t="s">
        <v>110</v>
      </c>
      <c r="C44" s="115" t="s">
        <v>3130</v>
      </c>
      <c r="D44" s="115" t="s">
        <v>3178</v>
      </c>
      <c r="E44" s="115" t="s">
        <v>1852</v>
      </c>
      <c r="H44" s="119" t="str">
        <f>Settings!$B$3&amp;".mit.ghg.iprdc.tot.2"</f>
        <v>egy.mit.ghg.iprdc.tot.2</v>
      </c>
      <c r="I44" s="115" t="s">
        <v>3179</v>
      </c>
      <c r="L44" s="121">
        <f t="shared" ref="L44:AE44" si="12">L43-L36</f>
        <v>0</v>
      </c>
      <c r="M44" s="121">
        <f t="shared" si="12"/>
        <v>0</v>
      </c>
      <c r="N44" s="121">
        <f t="shared" si="12"/>
        <v>0</v>
      </c>
      <c r="O44" s="121">
        <f t="shared" si="12"/>
        <v>0</v>
      </c>
      <c r="P44" s="121">
        <f t="shared" si="12"/>
        <v>0</v>
      </c>
      <c r="Q44" s="121">
        <f t="shared" si="12"/>
        <v>1.4090398681312308</v>
      </c>
      <c r="R44" s="121">
        <f t="shared" si="12"/>
        <v>2.6673965235448378</v>
      </c>
      <c r="S44" s="121">
        <f t="shared" si="12"/>
        <v>3.8181630055287599</v>
      </c>
      <c r="T44" s="121">
        <f t="shared" si="12"/>
        <v>4.8795095359972152</v>
      </c>
      <c r="U44" s="121">
        <f t="shared" si="12"/>
        <v>5.8802184098541375</v>
      </c>
      <c r="V44" s="121">
        <f t="shared" si="12"/>
        <v>6.80772680646227</v>
      </c>
      <c r="W44" s="121">
        <f t="shared" si="12"/>
        <v>7.6897753620378069</v>
      </c>
      <c r="X44" s="121">
        <f t="shared" si="12"/>
        <v>8.5333569344649902</v>
      </c>
      <c r="Y44" s="121">
        <f t="shared" si="12"/>
        <v>9.3427525163357785</v>
      </c>
      <c r="Z44" s="121">
        <f t="shared" si="12"/>
        <v>10.11919326251622</v>
      </c>
      <c r="AA44" s="121">
        <f t="shared" si="12"/>
        <v>10.865381102071524</v>
      </c>
      <c r="AB44" s="121">
        <f t="shared" si="12"/>
        <v>11.584058705353883</v>
      </c>
      <c r="AC44" s="121">
        <f t="shared" si="12"/>
        <v>12.27945098871038</v>
      </c>
      <c r="AD44" s="121">
        <f t="shared" si="12"/>
        <v>12.955061337753065</v>
      </c>
      <c r="AE44" s="121">
        <f t="shared" si="12"/>
        <v>13.613511081620189</v>
      </c>
    </row>
    <row r="45" spans="1:35" x14ac:dyDescent="0.35">
      <c r="B45" s="115" t="s">
        <v>3180</v>
      </c>
      <c r="C45" s="115" t="s">
        <v>3130</v>
      </c>
      <c r="D45" s="115" t="s">
        <v>3181</v>
      </c>
      <c r="E45" s="115" t="s">
        <v>79</v>
      </c>
      <c r="H45" s="119" t="str">
        <f>Settings!$B$3&amp;".mit.ghg.iprshb.tot.2"</f>
        <v>egy.mit.ghg.iprshb.tot.2</v>
      </c>
      <c r="L45" s="147">
        <f t="shared" ref="L45:AE45" si="13">IF(L36=0,0,L41/L36)</f>
        <v>0.55380428570707418</v>
      </c>
      <c r="M45" s="147">
        <f t="shared" si="13"/>
        <v>0.52459143763859073</v>
      </c>
      <c r="N45" s="147">
        <f t="shared" si="13"/>
        <v>0.46373597733973954</v>
      </c>
      <c r="O45" s="147">
        <f t="shared" si="13"/>
        <v>0.42956060298756071</v>
      </c>
      <c r="P45" s="147">
        <f t="shared" si="13"/>
        <v>0.45629472901078322</v>
      </c>
      <c r="Q45" s="147">
        <f t="shared" si="13"/>
        <v>0.43994951954796313</v>
      </c>
      <c r="R45" s="147">
        <f t="shared" si="13"/>
        <v>0.44344629978446087</v>
      </c>
      <c r="S45" s="147">
        <f t="shared" si="13"/>
        <v>0.44719188488534606</v>
      </c>
      <c r="T45" s="147">
        <f t="shared" si="13"/>
        <v>0.45163375345701806</v>
      </c>
      <c r="U45" s="147">
        <f t="shared" si="13"/>
        <v>0.45577579964528542</v>
      </c>
      <c r="V45" s="147">
        <f t="shared" si="13"/>
        <v>0.45972586450767966</v>
      </c>
      <c r="W45" s="147">
        <f t="shared" si="13"/>
        <v>0.46344504640357659</v>
      </c>
      <c r="X45" s="147">
        <f t="shared" si="13"/>
        <v>0.46699053000002916</v>
      </c>
      <c r="Y45" s="147">
        <f t="shared" si="13"/>
        <v>0.47040345624209556</v>
      </c>
      <c r="Z45" s="147">
        <f t="shared" si="13"/>
        <v>0.47370816418771006</v>
      </c>
      <c r="AA45" s="147">
        <f t="shared" si="13"/>
        <v>0.47693535678162868</v>
      </c>
      <c r="AB45" s="147">
        <f t="shared" si="13"/>
        <v>0.48011452114723369</v>
      </c>
      <c r="AC45" s="147">
        <f t="shared" si="13"/>
        <v>0.48328058667481949</v>
      </c>
      <c r="AD45" s="147">
        <f t="shared" si="13"/>
        <v>0.4864631595446236</v>
      </c>
      <c r="AE45" s="147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5" t="s">
        <v>3192</v>
      </c>
      <c r="C51" s="115" t="s">
        <v>43</v>
      </c>
      <c r="D51" s="115" t="s">
        <v>3193</v>
      </c>
      <c r="E51" s="115" t="s">
        <v>2068</v>
      </c>
      <c r="F51" s="115" t="s">
        <v>3194</v>
      </c>
      <c r="H51" s="119" t="str">
        <f>Settings!$B$3&amp;".mit.eco2.blk.irn.1"</f>
        <v>egy.mit.eco2.blk.irn.1</v>
      </c>
      <c r="I51" s="115" t="s">
        <v>2254</v>
      </c>
      <c r="L51" s="121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21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21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21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21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21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21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21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21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21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21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21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21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21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21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21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21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21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21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21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5" t="s">
        <v>110</v>
      </c>
      <c r="C52" s="115" t="s">
        <v>43</v>
      </c>
      <c r="D52" s="115" t="s">
        <v>3195</v>
      </c>
      <c r="E52" s="115" t="s">
        <v>2068</v>
      </c>
      <c r="F52" s="115" t="s">
        <v>3196</v>
      </c>
      <c r="I52" s="115" t="s">
        <v>2157</v>
      </c>
      <c r="L52" s="121">
        <f>Emissions_Industry!L15</f>
        <v>4.5303835184019645</v>
      </c>
      <c r="M52" s="121">
        <f>Emissions_Industry!M15</f>
        <v>3.8469033618625206</v>
      </c>
      <c r="N52" s="121">
        <f>Emissions_Industry!N15</f>
        <v>4.3290746208215198</v>
      </c>
      <c r="O52" s="121">
        <f>Emissions_Industry!O15</f>
        <v>4.5451606543512009</v>
      </c>
      <c r="P52" s="121">
        <f>Emissions_Industry!P15</f>
        <v>4.6606527233890995</v>
      </c>
      <c r="Q52" s="121">
        <f>Emissions_Industry!Q15</f>
        <v>4.8330795942744347</v>
      </c>
      <c r="R52" s="121">
        <f>Emissions_Industry!R15</f>
        <v>5.0529306123252606</v>
      </c>
      <c r="S52" s="121">
        <f>Emissions_Industry!S15</f>
        <v>5.2667916999615381</v>
      </c>
      <c r="T52" s="121">
        <f>Emissions_Industry!T15</f>
        <v>5.4699790897750464</v>
      </c>
      <c r="U52" s="121">
        <f>Emissions_Industry!U15</f>
        <v>5.6771103604276671</v>
      </c>
      <c r="V52" s="121">
        <f>Emissions_Industry!V15</f>
        <v>5.8842858461533165</v>
      </c>
      <c r="W52" s="121">
        <f>Emissions_Industry!W15</f>
        <v>6.0960674143926461</v>
      </c>
      <c r="X52" s="121">
        <f>Emissions_Industry!X15</f>
        <v>6.3124466882788575</v>
      </c>
      <c r="Y52" s="121">
        <f>Emissions_Industry!Y15</f>
        <v>6.5334118787127196</v>
      </c>
      <c r="Z52" s="121">
        <f>Emissions_Industry!Z15</f>
        <v>6.7589477212745512</v>
      </c>
      <c r="AA52" s="121">
        <f>Emissions_Industry!AA15</f>
        <v>6.9890354050403589</v>
      </c>
      <c r="AB52" s="121">
        <f>Emissions_Industry!AB15</f>
        <v>7.2236524927720804</v>
      </c>
      <c r="AC52" s="121">
        <f>Emissions_Industry!AC15</f>
        <v>7.4627728319721847</v>
      </c>
      <c r="AD52" s="121">
        <f>Emissions_Industry!AD15</f>
        <v>7.7063664563130869</v>
      </c>
      <c r="AE52" s="121">
        <f>Emissions_Industry!AE15</f>
        <v>7.9543994769708668</v>
      </c>
    </row>
    <row r="53" spans="1:35" x14ac:dyDescent="0.35">
      <c r="B53" s="115" t="s">
        <v>3197</v>
      </c>
      <c r="C53" s="115" t="s">
        <v>43</v>
      </c>
      <c r="D53" s="115" t="s">
        <v>3198</v>
      </c>
      <c r="E53" s="115" t="s">
        <v>2068</v>
      </c>
      <c r="H53" s="119" t="str">
        <f>Settings!$B$3&amp;".mit.eco2.gap.irn.1"</f>
        <v>egy.mit.eco2.gap.irn.1</v>
      </c>
      <c r="I53" s="115" t="s">
        <v>3199</v>
      </c>
      <c r="L53" s="121">
        <f t="shared" ref="L53:AE53" si="14">L52-L51</f>
        <v>1.6609701519290709</v>
      </c>
      <c r="M53" s="121">
        <f t="shared" si="14"/>
        <v>0.85123580726481984</v>
      </c>
      <c r="N53" s="121">
        <f t="shared" si="14"/>
        <v>1.2015976938215203</v>
      </c>
      <c r="O53" s="121">
        <f t="shared" si="14"/>
        <v>1.2800747425632006</v>
      </c>
      <c r="P53" s="121">
        <f t="shared" si="14"/>
        <v>1.2519030314824273</v>
      </c>
      <c r="Q53" s="121">
        <f t="shared" si="14"/>
        <v>1.2743449159238684</v>
      </c>
      <c r="R53" s="121">
        <f t="shared" si="14"/>
        <v>1.3376116081272702</v>
      </c>
      <c r="S53" s="121">
        <f t="shared" si="14"/>
        <v>1.3879986595788356</v>
      </c>
      <c r="T53" s="121">
        <f t="shared" si="14"/>
        <v>1.4205191556155041</v>
      </c>
      <c r="U53" s="121">
        <f t="shared" si="14"/>
        <v>1.4494741891651053</v>
      </c>
      <c r="V53" s="121">
        <f t="shared" si="14"/>
        <v>1.4706336833552021</v>
      </c>
      <c r="W53" s="121">
        <f t="shared" si="14"/>
        <v>1.4882145564314158</v>
      </c>
      <c r="X53" s="121">
        <f t="shared" si="14"/>
        <v>1.5018483045673321</v>
      </c>
      <c r="Y53" s="121">
        <f t="shared" si="14"/>
        <v>1.5111471661178859</v>
      </c>
      <c r="Z53" s="121">
        <f t="shared" si="14"/>
        <v>1.5157033613255466</v>
      </c>
      <c r="AA53" s="121">
        <f t="shared" si="14"/>
        <v>1.5150882932535978</v>
      </c>
      <c r="AB53" s="121">
        <f t="shared" si="14"/>
        <v>1.5088517080666994</v>
      </c>
      <c r="AC53" s="121">
        <f t="shared" si="14"/>
        <v>1.4965208127397682</v>
      </c>
      <c r="AD53" s="121">
        <f t="shared" si="14"/>
        <v>1.4775993482344445</v>
      </c>
      <c r="AE53" s="121">
        <f t="shared" si="14"/>
        <v>1.4515666161367653</v>
      </c>
    </row>
    <row r="54" spans="1:35" x14ac:dyDescent="0.35">
      <c r="B54" s="115" t="s">
        <v>3200</v>
      </c>
      <c r="C54" s="115" t="s">
        <v>43</v>
      </c>
      <c r="D54" s="115" t="s">
        <v>3201</v>
      </c>
      <c r="E54" s="115" t="s">
        <v>87</v>
      </c>
      <c r="H54" s="119" t="str">
        <f>Settings!$B$3&amp;".mit.eco2.rblk.irn.1"</f>
        <v>egy.mit.eco2.rblk.irn.1</v>
      </c>
      <c r="I54" s="115" t="s">
        <v>3202</v>
      </c>
      <c r="L54" s="147">
        <f t="shared" ref="L54:AE54" si="15">IF(L52=0,0,L51/L52)</f>
        <v>0.63337096182202313</v>
      </c>
      <c r="M54" s="147">
        <f t="shared" si="15"/>
        <v>0.77872181149549735</v>
      </c>
      <c r="N54" s="147">
        <f t="shared" si="15"/>
        <v>0.72243543965673307</v>
      </c>
      <c r="O54" s="147">
        <f t="shared" si="15"/>
        <v>0.71836534725395207</v>
      </c>
      <c r="P54" s="147">
        <f t="shared" si="15"/>
        <v>0.73138890499181464</v>
      </c>
      <c r="Q54" s="147">
        <f t="shared" si="15"/>
        <v>0.73632858903595622</v>
      </c>
      <c r="R54" s="147">
        <f t="shared" si="15"/>
        <v>0.73528003632891226</v>
      </c>
      <c r="S54" s="147">
        <f t="shared" si="15"/>
        <v>0.73646220723159195</v>
      </c>
      <c r="T54" s="147">
        <f t="shared" si="15"/>
        <v>0.74030629143155957</v>
      </c>
      <c r="U54" s="147">
        <f t="shared" si="15"/>
        <v>0.744680991359852</v>
      </c>
      <c r="V54" s="147">
        <f t="shared" si="15"/>
        <v>0.75007439784445773</v>
      </c>
      <c r="W54" s="147">
        <f t="shared" si="15"/>
        <v>0.75587301529543749</v>
      </c>
      <c r="X54" s="147">
        <f t="shared" si="15"/>
        <v>0.76208142757767605</v>
      </c>
      <c r="Y54" s="147">
        <f t="shared" si="15"/>
        <v>0.76870474505954034</v>
      </c>
      <c r="Z54" s="147">
        <f t="shared" si="15"/>
        <v>0.7757486188930417</v>
      </c>
      <c r="AA54" s="147">
        <f t="shared" si="15"/>
        <v>0.78321925624229272</v>
      </c>
      <c r="AB54" s="147">
        <f t="shared" si="15"/>
        <v>0.79112343657499551</v>
      </c>
      <c r="AC54" s="147">
        <f t="shared" si="15"/>
        <v>0.79946852913325472</v>
      </c>
      <c r="AD54" s="147">
        <f t="shared" si="15"/>
        <v>0.80826251170238739</v>
      </c>
      <c r="AE54" s="147">
        <f t="shared" si="15"/>
        <v>0.8175139907997756</v>
      </c>
    </row>
    <row r="56" spans="1:35" x14ac:dyDescent="0.35">
      <c r="B56" s="115" t="s">
        <v>3192</v>
      </c>
      <c r="C56" s="115" t="s">
        <v>113</v>
      </c>
      <c r="D56" s="115" t="s">
        <v>3203</v>
      </c>
      <c r="E56" s="115" t="s">
        <v>2068</v>
      </c>
      <c r="F56" s="115" t="s">
        <v>3204</v>
      </c>
      <c r="H56" s="119" t="str">
        <f>Settings!$B$3&amp;".mit.eco2.blk.cem.1"</f>
        <v>egy.mit.eco2.blk.cem.1</v>
      </c>
      <c r="I56" s="115" t="s">
        <v>2279</v>
      </c>
      <c r="L56" s="121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21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21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21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21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21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21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21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21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21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21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21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21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21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21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21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21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21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21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21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5" t="s">
        <v>110</v>
      </c>
      <c r="C57" s="115" t="s">
        <v>113</v>
      </c>
      <c r="D57" s="115" t="s">
        <v>3205</v>
      </c>
      <c r="E57" s="115" t="s">
        <v>2068</v>
      </c>
      <c r="F57" s="115" t="s">
        <v>3206</v>
      </c>
      <c r="I57" s="115" t="s">
        <v>2160</v>
      </c>
      <c r="L57" s="121">
        <f>Emissions_Industry!L27</f>
        <v>9.4893574461323063</v>
      </c>
      <c r="M57" s="121">
        <f>Emissions_Industry!M27</f>
        <v>7.892397868173477</v>
      </c>
      <c r="N57" s="121">
        <f>Emissions_Industry!N27</f>
        <v>8.974049898041585</v>
      </c>
      <c r="O57" s="121">
        <f>Emissions_Industry!O27</f>
        <v>9.6117389440758174</v>
      </c>
      <c r="P57" s="121">
        <f>Emissions_Industry!P27</f>
        <v>9.6255920185944621</v>
      </c>
      <c r="Q57" s="121">
        <f>Emissions_Industry!Q27</f>
        <v>9.8610476555574511</v>
      </c>
      <c r="R57" s="121">
        <f>Emissions_Industry!R27</f>
        <v>10.224041222352259</v>
      </c>
      <c r="S57" s="121">
        <f>Emissions_Industry!S27</f>
        <v>10.577278178288619</v>
      </c>
      <c r="T57" s="121">
        <f>Emissions_Industry!T27</f>
        <v>10.913917324515168</v>
      </c>
      <c r="U57" s="121">
        <f>Emissions_Industry!U27</f>
        <v>11.254980886600027</v>
      </c>
      <c r="V57" s="121">
        <f>Emissions_Industry!V27</f>
        <v>11.572436051134584</v>
      </c>
      <c r="W57" s="121">
        <f>Emissions_Industry!W27</f>
        <v>11.894967219383652</v>
      </c>
      <c r="X57" s="121">
        <f>Emissions_Industry!X27</f>
        <v>12.222536887315171</v>
      </c>
      <c r="Y57" s="121">
        <f>Emissions_Industry!Y27</f>
        <v>12.55510423174249</v>
      </c>
      <c r="Z57" s="121">
        <f>Emissions_Industry!Z27</f>
        <v>12.892625020155874</v>
      </c>
      <c r="AA57" s="121">
        <f>Emissions_Industry!AA27</f>
        <v>13.235051509488891</v>
      </c>
      <c r="AB57" s="121">
        <f>Emissions_Industry!AB27</f>
        <v>13.582332333397812</v>
      </c>
      <c r="AC57" s="121">
        <f>Emissions_Industry!AC27</f>
        <v>13.934412377644653</v>
      </c>
      <c r="AD57" s="121">
        <f>Emissions_Industry!AD27</f>
        <v>14.291232643187328</v>
      </c>
      <c r="AE57" s="121">
        <f>Emissions_Industry!AE27</f>
        <v>14.652730096591428</v>
      </c>
    </row>
    <row r="58" spans="1:35" x14ac:dyDescent="0.35">
      <c r="B58" s="115" t="s">
        <v>3197</v>
      </c>
      <c r="C58" s="115" t="s">
        <v>113</v>
      </c>
      <c r="D58" s="115" t="s">
        <v>3207</v>
      </c>
      <c r="E58" s="115" t="s">
        <v>2068</v>
      </c>
      <c r="H58" s="119" t="str">
        <f>Settings!$B$3&amp;".mit.eco2.gap.cem.1"</f>
        <v>egy.mit.eco2.gap.cem.1</v>
      </c>
      <c r="I58" s="115" t="s">
        <v>3199</v>
      </c>
      <c r="L58" s="121">
        <f t="shared" ref="L58:AE58" si="16">L57-L56</f>
        <v>-5.2033485980683221</v>
      </c>
      <c r="M58" s="121">
        <f t="shared" si="16"/>
        <v>-7.2851674754857694</v>
      </c>
      <c r="N58" s="121">
        <f t="shared" si="16"/>
        <v>-6.7043751019584139</v>
      </c>
      <c r="O58" s="121">
        <f t="shared" si="16"/>
        <v>-6.5840740809241787</v>
      </c>
      <c r="P58" s="121">
        <f t="shared" si="16"/>
        <v>-7.1046828362305323</v>
      </c>
      <c r="Q58" s="121">
        <f t="shared" si="16"/>
        <v>-7.4213262694767668</v>
      </c>
      <c r="R58" s="121">
        <f t="shared" si="16"/>
        <v>-7.6286510422080838</v>
      </c>
      <c r="S58" s="121">
        <f t="shared" si="16"/>
        <v>-7.8645529310022191</v>
      </c>
      <c r="T58" s="121">
        <f t="shared" si="16"/>
        <v>-8.1364942113822636</v>
      </c>
      <c r="U58" s="121">
        <f t="shared" si="16"/>
        <v>-8.4240942299820176</v>
      </c>
      <c r="V58" s="121">
        <f t="shared" si="16"/>
        <v>-8.7560485442946643</v>
      </c>
      <c r="W58" s="121">
        <f t="shared" si="16"/>
        <v>-9.1043573676947602</v>
      </c>
      <c r="X58" s="121">
        <f t="shared" si="16"/>
        <v>-9.4697654111368212</v>
      </c>
      <c r="Y58" s="121">
        <f t="shared" si="16"/>
        <v>-9.8530440425584196</v>
      </c>
      <c r="Z58" s="121">
        <f t="shared" si="16"/>
        <v>-10.254992147196964</v>
      </c>
      <c r="AA58" s="121">
        <f t="shared" si="16"/>
        <v>-10.67643702438659</v>
      </c>
      <c r="AB58" s="121">
        <f t="shared" si="16"/>
        <v>-11.118235322095551</v>
      </c>
      <c r="AC58" s="121">
        <f t="shared" si="16"/>
        <v>-11.581274010479989</v>
      </c>
      <c r="AD58" s="121">
        <f t="shared" si="16"/>
        <v>-12.066471395745427</v>
      </c>
      <c r="AE58" s="121">
        <f t="shared" si="16"/>
        <v>-12.574778175626099</v>
      </c>
    </row>
    <row r="59" spans="1:35" x14ac:dyDescent="0.35">
      <c r="B59" s="115" t="s">
        <v>3200</v>
      </c>
      <c r="C59" s="115" t="s">
        <v>113</v>
      </c>
      <c r="D59" s="115" t="s">
        <v>3208</v>
      </c>
      <c r="E59" s="115" t="s">
        <v>87</v>
      </c>
      <c r="H59" s="119" t="str">
        <f>Settings!$B$3&amp;".mit.eco2.rblk.cem.1"</f>
        <v>egy.mit.eco2.rblk.cem.1</v>
      </c>
      <c r="I59" s="115" t="s">
        <v>3202</v>
      </c>
      <c r="L59" s="147">
        <f t="shared" ref="L59:AE59" si="17">IF(L57=0,0,L56/L57)</f>
        <v>1.5483351878781966</v>
      </c>
      <c r="M59" s="147">
        <f t="shared" si="17"/>
        <v>1.9230613556449812</v>
      </c>
      <c r="N59" s="147">
        <f t="shared" si="17"/>
        <v>1.7470846694781044</v>
      </c>
      <c r="O59" s="147">
        <f t="shared" si="17"/>
        <v>1.6850034233381113</v>
      </c>
      <c r="P59" s="147">
        <f t="shared" si="17"/>
        <v>1.7381034665198665</v>
      </c>
      <c r="Q59" s="147">
        <f t="shared" si="17"/>
        <v>1.7525900420219838</v>
      </c>
      <c r="R59" s="147">
        <f t="shared" si="17"/>
        <v>1.7461483063595229</v>
      </c>
      <c r="S59" s="147">
        <f t="shared" si="17"/>
        <v>1.743532768869154</v>
      </c>
      <c r="T59" s="147">
        <f t="shared" si="17"/>
        <v>1.745515470701416</v>
      </c>
      <c r="U59" s="147">
        <f t="shared" si="17"/>
        <v>1.74847699119699</v>
      </c>
      <c r="V59" s="147">
        <f t="shared" si="17"/>
        <v>1.756629676379694</v>
      </c>
      <c r="W59" s="147">
        <f t="shared" si="17"/>
        <v>1.7653957509742939</v>
      </c>
      <c r="X59" s="147">
        <f t="shared" si="17"/>
        <v>1.7747790412450921</v>
      </c>
      <c r="Y59" s="147">
        <f t="shared" si="17"/>
        <v>1.7847839301602471</v>
      </c>
      <c r="Z59" s="147">
        <f t="shared" si="17"/>
        <v>1.795415373608142</v>
      </c>
      <c r="AA59" s="147">
        <f t="shared" si="17"/>
        <v>1.8066789174739595</v>
      </c>
      <c r="AB59" s="147">
        <f t="shared" si="17"/>
        <v>1.8185807156814111</v>
      </c>
      <c r="AC59" s="147">
        <f t="shared" si="17"/>
        <v>1.831127549308081</v>
      </c>
      <c r="AD59" s="147">
        <f t="shared" si="17"/>
        <v>1.8443268468866154</v>
      </c>
      <c r="AE59" s="147">
        <f t="shared" si="17"/>
        <v>1.8581867060085471</v>
      </c>
    </row>
    <row r="61" spans="1:35" x14ac:dyDescent="0.35">
      <c r="B61" s="115" t="s">
        <v>3192</v>
      </c>
      <c r="C61" s="115" t="s">
        <v>115</v>
      </c>
      <c r="D61" s="115" t="s">
        <v>3209</v>
      </c>
      <c r="E61" s="115" t="s">
        <v>2068</v>
      </c>
      <c r="F61" s="115" t="s">
        <v>3210</v>
      </c>
      <c r="H61" s="119" t="str">
        <f>Settings!$B$3&amp;".mit.eco2.blk.nfm.1"</f>
        <v>egy.mit.eco2.blk.nfm.1</v>
      </c>
      <c r="I61" s="115" t="s">
        <v>2289</v>
      </c>
      <c r="L61" s="121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21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21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21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21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21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21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21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21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21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21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21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21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21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21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21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21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21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21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21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5" t="s">
        <v>110</v>
      </c>
      <c r="C62" s="115" t="s">
        <v>115</v>
      </c>
      <c r="D62" s="115" t="s">
        <v>3211</v>
      </c>
      <c r="E62" s="115" t="s">
        <v>2068</v>
      </c>
      <c r="F62" s="115" t="s">
        <v>3212</v>
      </c>
      <c r="I62" s="115" t="s">
        <v>2163</v>
      </c>
      <c r="L62" s="121">
        <f>Emissions_Industry!L39</f>
        <v>0</v>
      </c>
      <c r="M62" s="121">
        <f>Emissions_Industry!M39</f>
        <v>0</v>
      </c>
      <c r="N62" s="121">
        <f>Emissions_Industry!N39</f>
        <v>0</v>
      </c>
      <c r="O62" s="121">
        <f>Emissions_Industry!O39</f>
        <v>0</v>
      </c>
      <c r="P62" s="121">
        <f>Emissions_Industry!P39</f>
        <v>0</v>
      </c>
      <c r="Q62" s="121">
        <f>Emissions_Industry!Q39</f>
        <v>0</v>
      </c>
      <c r="R62" s="121">
        <f>Emissions_Industry!R39</f>
        <v>0</v>
      </c>
      <c r="S62" s="121">
        <f>Emissions_Industry!S39</f>
        <v>0</v>
      </c>
      <c r="T62" s="121">
        <f>Emissions_Industry!T39</f>
        <v>0</v>
      </c>
      <c r="U62" s="121">
        <f>Emissions_Industry!U39</f>
        <v>0</v>
      </c>
      <c r="V62" s="121">
        <f>Emissions_Industry!V39</f>
        <v>0</v>
      </c>
      <c r="W62" s="121">
        <f>Emissions_Industry!W39</f>
        <v>0</v>
      </c>
      <c r="X62" s="121">
        <f>Emissions_Industry!X39</f>
        <v>0</v>
      </c>
      <c r="Y62" s="121">
        <f>Emissions_Industry!Y39</f>
        <v>0</v>
      </c>
      <c r="Z62" s="121">
        <f>Emissions_Industry!Z39</f>
        <v>0</v>
      </c>
      <c r="AA62" s="121">
        <f>Emissions_Industry!AA39</f>
        <v>0</v>
      </c>
      <c r="AB62" s="121">
        <f>Emissions_Industry!AB39</f>
        <v>0</v>
      </c>
      <c r="AC62" s="121">
        <f>Emissions_Industry!AC39</f>
        <v>0</v>
      </c>
      <c r="AD62" s="121">
        <f>Emissions_Industry!AD39</f>
        <v>0</v>
      </c>
      <c r="AE62" s="121">
        <f>Emissions_Industry!AE39</f>
        <v>0</v>
      </c>
    </row>
    <row r="63" spans="1:35" x14ac:dyDescent="0.35">
      <c r="B63" s="115" t="s">
        <v>3197</v>
      </c>
      <c r="C63" s="115" t="s">
        <v>115</v>
      </c>
      <c r="D63" s="115" t="s">
        <v>3213</v>
      </c>
      <c r="E63" s="115" t="s">
        <v>2068</v>
      </c>
      <c r="H63" s="119" t="str">
        <f>Settings!$B$3&amp;".mit.eco2.gap.nfm.1"</f>
        <v>egy.mit.eco2.gap.nfm.1</v>
      </c>
      <c r="I63" s="115" t="s">
        <v>3199</v>
      </c>
      <c r="L63" s="121">
        <f t="shared" ref="L63:AE63" si="18">L62-L61</f>
        <v>-3.3266099144224071E-2</v>
      </c>
      <c r="M63" s="121">
        <f t="shared" si="18"/>
        <v>-3.5095734597156404E-2</v>
      </c>
      <c r="N63" s="121">
        <f t="shared" si="18"/>
        <v>-3.7026000000000003E-2</v>
      </c>
      <c r="O63" s="121">
        <f t="shared" si="18"/>
        <v>-3.9062430000000002E-2</v>
      </c>
      <c r="P63" s="121">
        <f t="shared" si="18"/>
        <v>-4.1210863649999999E-2</v>
      </c>
      <c r="Q63" s="121">
        <f t="shared" si="18"/>
        <v>-4.3477461150749991E-2</v>
      </c>
      <c r="R63" s="121">
        <f t="shared" si="18"/>
        <v>-4.5868721514041248E-2</v>
      </c>
      <c r="S63" s="121">
        <f t="shared" si="18"/>
        <v>-4.8391501197313509E-2</v>
      </c>
      <c r="T63" s="121">
        <f t="shared" si="18"/>
        <v>-5.105303376316575E-2</v>
      </c>
      <c r="U63" s="121">
        <f t="shared" si="18"/>
        <v>-5.3860950620139861E-2</v>
      </c>
      <c r="V63" s="121">
        <f t="shared" si="18"/>
        <v>-5.6823302904247558E-2</v>
      </c>
      <c r="W63" s="121">
        <f t="shared" si="18"/>
        <v>-5.9948584563981173E-2</v>
      </c>
      <c r="X63" s="121">
        <f t="shared" si="18"/>
        <v>-6.3245756715000129E-2</v>
      </c>
      <c r="Y63" s="121">
        <f t="shared" si="18"/>
        <v>-6.6724273334325138E-2</v>
      </c>
      <c r="Z63" s="121">
        <f t="shared" si="18"/>
        <v>-7.039410836771301E-2</v>
      </c>
      <c r="AA63" s="121">
        <f t="shared" si="18"/>
        <v>-7.426578432793722E-2</v>
      </c>
      <c r="AB63" s="121">
        <f t="shared" si="18"/>
        <v>-7.8350402465973787E-2</v>
      </c>
      <c r="AC63" s="121">
        <f t="shared" si="18"/>
        <v>-8.2659674601602312E-2</v>
      </c>
      <c r="AD63" s="121">
        <f t="shared" si="18"/>
        <v>-8.7205956704690446E-2</v>
      </c>
      <c r="AE63" s="121">
        <f t="shared" si="18"/>
        <v>-9.2002284323448424E-2</v>
      </c>
    </row>
    <row r="64" spans="1:35" x14ac:dyDescent="0.35">
      <c r="B64" s="115" t="s">
        <v>3200</v>
      </c>
      <c r="C64" s="115" t="s">
        <v>115</v>
      </c>
      <c r="D64" s="115" t="s">
        <v>3214</v>
      </c>
      <c r="E64" s="115" t="s">
        <v>87</v>
      </c>
      <c r="H64" s="119" t="str">
        <f>Settings!$B$3&amp;".mit.eco2.rblk.nfm.1"</f>
        <v>egy.mit.eco2.rblk.nfm.1</v>
      </c>
      <c r="I64" s="115" t="s">
        <v>3202</v>
      </c>
      <c r="L64" s="147">
        <f t="shared" ref="L64:AE64" si="19">IF(L62=0,0,L61/L62)</f>
        <v>0</v>
      </c>
      <c r="M64" s="147">
        <f t="shared" si="19"/>
        <v>0</v>
      </c>
      <c r="N64" s="147">
        <f t="shared" si="19"/>
        <v>0</v>
      </c>
      <c r="O64" s="147">
        <f t="shared" si="19"/>
        <v>0</v>
      </c>
      <c r="P64" s="147">
        <f t="shared" si="19"/>
        <v>0</v>
      </c>
      <c r="Q64" s="147">
        <f t="shared" si="19"/>
        <v>0</v>
      </c>
      <c r="R64" s="147">
        <f t="shared" si="19"/>
        <v>0</v>
      </c>
      <c r="S64" s="147">
        <f t="shared" si="19"/>
        <v>0</v>
      </c>
      <c r="T64" s="147">
        <f t="shared" si="19"/>
        <v>0</v>
      </c>
      <c r="U64" s="147">
        <f t="shared" si="19"/>
        <v>0</v>
      </c>
      <c r="V64" s="147">
        <f t="shared" si="19"/>
        <v>0</v>
      </c>
      <c r="W64" s="147">
        <f t="shared" si="19"/>
        <v>0</v>
      </c>
      <c r="X64" s="147">
        <f t="shared" si="19"/>
        <v>0</v>
      </c>
      <c r="Y64" s="147">
        <f t="shared" si="19"/>
        <v>0</v>
      </c>
      <c r="Z64" s="147">
        <f t="shared" si="19"/>
        <v>0</v>
      </c>
      <c r="AA64" s="147">
        <f t="shared" si="19"/>
        <v>0</v>
      </c>
      <c r="AB64" s="147">
        <f t="shared" si="19"/>
        <v>0</v>
      </c>
      <c r="AC64" s="147">
        <f t="shared" si="19"/>
        <v>0</v>
      </c>
      <c r="AD64" s="147">
        <f t="shared" si="19"/>
        <v>0</v>
      </c>
      <c r="AE64" s="147">
        <f t="shared" si="19"/>
        <v>0</v>
      </c>
    </row>
    <row r="66" spans="1:35" x14ac:dyDescent="0.35">
      <c r="B66" s="115" t="s">
        <v>3192</v>
      </c>
      <c r="C66" s="115" t="s">
        <v>117</v>
      </c>
      <c r="D66" s="115" t="s">
        <v>3215</v>
      </c>
      <c r="E66" s="115" t="s">
        <v>2068</v>
      </c>
      <c r="F66" s="115" t="s">
        <v>3216</v>
      </c>
      <c r="H66" s="119" t="str">
        <f>Settings!$B$3&amp;".mit.eco2.blk.mch.1"</f>
        <v>egy.mit.eco2.blk.mch.1</v>
      </c>
      <c r="I66" s="115" t="s">
        <v>2299</v>
      </c>
      <c r="L66" s="121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21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21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21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21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21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21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21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21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21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21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21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21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21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21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21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21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21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21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21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5" t="s">
        <v>110</v>
      </c>
      <c r="C67" s="115" t="s">
        <v>117</v>
      </c>
      <c r="D67" s="115" t="s">
        <v>3217</v>
      </c>
      <c r="E67" s="115" t="s">
        <v>2068</v>
      </c>
      <c r="F67" s="115" t="s">
        <v>3218</v>
      </c>
      <c r="I67" s="115" t="s">
        <v>2166</v>
      </c>
      <c r="L67" s="121">
        <f>Emissions_Industry!L51</f>
        <v>0</v>
      </c>
      <c r="M67" s="121">
        <f>Emissions_Industry!M51</f>
        <v>0</v>
      </c>
      <c r="N67" s="121">
        <f>Emissions_Industry!N51</f>
        <v>0</v>
      </c>
      <c r="O67" s="121">
        <f>Emissions_Industry!O51</f>
        <v>0</v>
      </c>
      <c r="P67" s="121">
        <f>Emissions_Industry!P51</f>
        <v>0</v>
      </c>
      <c r="Q67" s="121">
        <f>Emissions_Industry!Q51</f>
        <v>0</v>
      </c>
      <c r="R67" s="121">
        <f>Emissions_Industry!R51</f>
        <v>0</v>
      </c>
      <c r="S67" s="121">
        <f>Emissions_Industry!S51</f>
        <v>0</v>
      </c>
      <c r="T67" s="121">
        <f>Emissions_Industry!T51</f>
        <v>0</v>
      </c>
      <c r="U67" s="121">
        <f>Emissions_Industry!U51</f>
        <v>0</v>
      </c>
      <c r="V67" s="121">
        <f>Emissions_Industry!V51</f>
        <v>0</v>
      </c>
      <c r="W67" s="121">
        <f>Emissions_Industry!W51</f>
        <v>0</v>
      </c>
      <c r="X67" s="121">
        <f>Emissions_Industry!X51</f>
        <v>0</v>
      </c>
      <c r="Y67" s="121">
        <f>Emissions_Industry!Y51</f>
        <v>0</v>
      </c>
      <c r="Z67" s="121">
        <f>Emissions_Industry!Z51</f>
        <v>0</v>
      </c>
      <c r="AA67" s="121">
        <f>Emissions_Industry!AA51</f>
        <v>0</v>
      </c>
      <c r="AB67" s="121">
        <f>Emissions_Industry!AB51</f>
        <v>0</v>
      </c>
      <c r="AC67" s="121">
        <f>Emissions_Industry!AC51</f>
        <v>0</v>
      </c>
      <c r="AD67" s="121">
        <f>Emissions_Industry!AD51</f>
        <v>0</v>
      </c>
      <c r="AE67" s="121">
        <f>Emissions_Industry!AE51</f>
        <v>0</v>
      </c>
    </row>
    <row r="68" spans="1:35" x14ac:dyDescent="0.35">
      <c r="B68" s="115" t="s">
        <v>3197</v>
      </c>
      <c r="C68" s="115" t="s">
        <v>117</v>
      </c>
      <c r="D68" s="115" t="s">
        <v>3219</v>
      </c>
      <c r="E68" s="115" t="s">
        <v>2068</v>
      </c>
      <c r="H68" s="119" t="str">
        <f>Settings!$B$3&amp;".mit.eco2.gap.mch.1"</f>
        <v>egy.mit.eco2.gap.mch.1</v>
      </c>
      <c r="I68" s="115" t="s">
        <v>3199</v>
      </c>
      <c r="L68" s="121">
        <f t="shared" ref="L68:AE68" si="20">L67-L66</f>
        <v>-1.5828284109665627</v>
      </c>
      <c r="M68" s="121">
        <f t="shared" si="20"/>
        <v>-1.6176506360078275</v>
      </c>
      <c r="N68" s="121">
        <f t="shared" si="20"/>
        <v>-1.6532389499999995</v>
      </c>
      <c r="O68" s="121">
        <f t="shared" si="20"/>
        <v>-1.6896102068999994</v>
      </c>
      <c r="P68" s="121">
        <f t="shared" si="20"/>
        <v>-1.7267816314518005</v>
      </c>
      <c r="Q68" s="121">
        <f t="shared" si="20"/>
        <v>-1.7647708273437392</v>
      </c>
      <c r="R68" s="121">
        <f t="shared" si="20"/>
        <v>-1.8035957855453022</v>
      </c>
      <c r="S68" s="121">
        <f t="shared" si="20"/>
        <v>-1.843274892827298</v>
      </c>
      <c r="T68" s="121">
        <f t="shared" si="20"/>
        <v>-1.8838269404694987</v>
      </c>
      <c r="U68" s="121">
        <f t="shared" si="20"/>
        <v>-1.9252711331598276</v>
      </c>
      <c r="V68" s="121">
        <f t="shared" si="20"/>
        <v>-1.9676270980893444</v>
      </c>
      <c r="W68" s="121">
        <f t="shared" si="20"/>
        <v>-2.0109148942473092</v>
      </c>
      <c r="X68" s="121">
        <f t="shared" si="20"/>
        <v>-2.0551550219207506</v>
      </c>
      <c r="Y68" s="121">
        <f t="shared" si="20"/>
        <v>-2.1003684324030072</v>
      </c>
      <c r="Z68" s="121">
        <f t="shared" si="20"/>
        <v>-2.1465765379158737</v>
      </c>
      <c r="AA68" s="121">
        <f t="shared" si="20"/>
        <v>-2.1938012217500225</v>
      </c>
      <c r="AB68" s="121">
        <f t="shared" si="20"/>
        <v>-2.2420648486285226</v>
      </c>
      <c r="AC68" s="121">
        <f t="shared" si="20"/>
        <v>-2.2913902752983502</v>
      </c>
      <c r="AD68" s="121">
        <f t="shared" si="20"/>
        <v>-2.3418008613549151</v>
      </c>
      <c r="AE68" s="121">
        <f t="shared" si="20"/>
        <v>-2.3933204803047228</v>
      </c>
    </row>
    <row r="69" spans="1:35" x14ac:dyDescent="0.35">
      <c r="B69" s="115" t="s">
        <v>3200</v>
      </c>
      <c r="C69" s="115" t="s">
        <v>117</v>
      </c>
      <c r="D69" s="115" t="s">
        <v>3220</v>
      </c>
      <c r="E69" s="115" t="s">
        <v>87</v>
      </c>
      <c r="H69" s="119" t="str">
        <f>Settings!$B$3&amp;".mit.eco2.rblk.mch.1"</f>
        <v>egy.mit.eco2.rblk.mch.1</v>
      </c>
      <c r="I69" s="115" t="s">
        <v>3202</v>
      </c>
      <c r="L69" s="147">
        <f t="shared" ref="L69:AE69" si="21">IF(L67=0,0,L66/L67)</f>
        <v>0</v>
      </c>
      <c r="M69" s="147">
        <f t="shared" si="21"/>
        <v>0</v>
      </c>
      <c r="N69" s="147">
        <f t="shared" si="21"/>
        <v>0</v>
      </c>
      <c r="O69" s="147">
        <f t="shared" si="21"/>
        <v>0</v>
      </c>
      <c r="P69" s="147">
        <f t="shared" si="21"/>
        <v>0</v>
      </c>
      <c r="Q69" s="147">
        <f t="shared" si="21"/>
        <v>0</v>
      </c>
      <c r="R69" s="147">
        <f t="shared" si="21"/>
        <v>0</v>
      </c>
      <c r="S69" s="147">
        <f t="shared" si="21"/>
        <v>0</v>
      </c>
      <c r="T69" s="147">
        <f t="shared" si="21"/>
        <v>0</v>
      </c>
      <c r="U69" s="147">
        <f t="shared" si="21"/>
        <v>0</v>
      </c>
      <c r="V69" s="147">
        <f t="shared" si="21"/>
        <v>0</v>
      </c>
      <c r="W69" s="147">
        <f t="shared" si="21"/>
        <v>0</v>
      </c>
      <c r="X69" s="147">
        <f t="shared" si="21"/>
        <v>0</v>
      </c>
      <c r="Y69" s="147">
        <f t="shared" si="21"/>
        <v>0</v>
      </c>
      <c r="Z69" s="147">
        <f t="shared" si="21"/>
        <v>0</v>
      </c>
      <c r="AA69" s="147">
        <f t="shared" si="21"/>
        <v>0</v>
      </c>
      <c r="AB69" s="147">
        <f t="shared" si="21"/>
        <v>0</v>
      </c>
      <c r="AC69" s="147">
        <f t="shared" si="21"/>
        <v>0</v>
      </c>
      <c r="AD69" s="147">
        <f t="shared" si="21"/>
        <v>0</v>
      </c>
      <c r="AE69" s="147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5" t="s">
        <v>3192</v>
      </c>
      <c r="C75" s="115" t="s">
        <v>43</v>
      </c>
      <c r="D75" s="115" t="s">
        <v>3193</v>
      </c>
      <c r="E75" s="115" t="s">
        <v>2068</v>
      </c>
      <c r="F75" s="115" t="s">
        <v>3222</v>
      </c>
      <c r="H75" s="119" t="str">
        <f>Settings!$B$3&amp;".mit.eco2.blk.irn.2"</f>
        <v>egy.mit.eco2.blk.irn.2</v>
      </c>
      <c r="I75" s="115" t="s">
        <v>2254</v>
      </c>
      <c r="L75" s="121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21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21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21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21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21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21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21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21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21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21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21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21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21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21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21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21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21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21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21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5" t="s">
        <v>110</v>
      </c>
      <c r="C76" s="115" t="s">
        <v>43</v>
      </c>
      <c r="D76" s="115" t="s">
        <v>3195</v>
      </c>
      <c r="E76" s="115" t="s">
        <v>2068</v>
      </c>
      <c r="F76" s="115" t="s">
        <v>3223</v>
      </c>
      <c r="I76" s="115" t="s">
        <v>3224</v>
      </c>
      <c r="L76" s="121">
        <f>Emissions_Industry!L66</f>
        <v>4.5303835184019645</v>
      </c>
      <c r="M76" s="121">
        <f>Emissions_Industry!M66</f>
        <v>3.8469033618625206</v>
      </c>
      <c r="N76" s="121">
        <f>Emissions_Industry!N66</f>
        <v>4.3290746208215198</v>
      </c>
      <c r="O76" s="121">
        <f>Emissions_Industry!O66</f>
        <v>4.5451606543512009</v>
      </c>
      <c r="P76" s="121">
        <f>Emissions_Industry!P66</f>
        <v>4.6606527233890995</v>
      </c>
      <c r="Q76" s="121">
        <f>Emissions_Industry!Q66</f>
        <v>4.4078296144020142</v>
      </c>
      <c r="R76" s="121">
        <f>Emissions_Industry!R66</f>
        <v>4.246993475594202</v>
      </c>
      <c r="S76" s="121">
        <f>Emissions_Industry!S66</f>
        <v>4.1117536252780678</v>
      </c>
      <c r="T76" s="121">
        <f>Emissions_Industry!T66</f>
        <v>3.9924395556502268</v>
      </c>
      <c r="U76" s="121">
        <f>Emissions_Industry!U66</f>
        <v>3.8941902155876629</v>
      </c>
      <c r="V76" s="121">
        <f>Emissions_Industry!V66</f>
        <v>3.8124028190221151</v>
      </c>
      <c r="W76" s="121">
        <f>Emissions_Industry!W66</f>
        <v>3.7471168511266315</v>
      </c>
      <c r="X76" s="121">
        <f>Emissions_Industry!X66</f>
        <v>3.6964075936068812</v>
      </c>
      <c r="Y76" s="121">
        <f>Emissions_Industry!Y66</f>
        <v>3.6591659054499268</v>
      </c>
      <c r="Z76" s="121">
        <f>Emissions_Industry!Z66</f>
        <v>3.6352380271397982</v>
      </c>
      <c r="AA76" s="121">
        <f>Emissions_Industry!AA66</f>
        <v>3.623938569338653</v>
      </c>
      <c r="AB76" s="121">
        <f>Emissions_Industry!AB66</f>
        <v>3.6245334840846737</v>
      </c>
      <c r="AC76" s="121">
        <f>Emissions_Industry!AC66</f>
        <v>3.6357614325971319</v>
      </c>
      <c r="AD76" s="121">
        <f>Emissions_Industry!AD66</f>
        <v>3.656572990259491</v>
      </c>
      <c r="AE76" s="121">
        <f>Emissions_Industry!AE66</f>
        <v>3.686189977104291</v>
      </c>
    </row>
    <row r="77" spans="1:35" x14ac:dyDescent="0.35">
      <c r="B77" s="115" t="s">
        <v>3197</v>
      </c>
      <c r="C77" s="115" t="s">
        <v>43</v>
      </c>
      <c r="D77" s="115" t="s">
        <v>3198</v>
      </c>
      <c r="E77" s="115" t="s">
        <v>2068</v>
      </c>
      <c r="H77" s="119" t="str">
        <f>Settings!$B$3&amp;".mit.eco2.gap.irn.2"</f>
        <v>egy.mit.eco2.gap.irn.2</v>
      </c>
      <c r="I77" s="115" t="s">
        <v>3199</v>
      </c>
      <c r="L77" s="121">
        <f t="shared" ref="L77:AE77" si="22">L76-L75</f>
        <v>1.6609701519290709</v>
      </c>
      <c r="M77" s="121">
        <f t="shared" si="22"/>
        <v>0.85123580726481984</v>
      </c>
      <c r="N77" s="121">
        <f t="shared" si="22"/>
        <v>1.2015976938215203</v>
      </c>
      <c r="O77" s="121">
        <f t="shared" si="22"/>
        <v>1.2800747425632006</v>
      </c>
      <c r="P77" s="121">
        <f t="shared" si="22"/>
        <v>1.2519030314824273</v>
      </c>
      <c r="Q77" s="121">
        <f t="shared" si="22"/>
        <v>0.84909493605144792</v>
      </c>
      <c r="R77" s="121">
        <f t="shared" si="22"/>
        <v>0.5316744713962116</v>
      </c>
      <c r="S77" s="121">
        <f t="shared" si="22"/>
        <v>0.23296058489536531</v>
      </c>
      <c r="T77" s="121">
        <f t="shared" si="22"/>
        <v>-5.7020378509315517E-2</v>
      </c>
      <c r="U77" s="121">
        <f t="shared" si="22"/>
        <v>-0.33344595567489899</v>
      </c>
      <c r="V77" s="121">
        <f t="shared" si="22"/>
        <v>-0.60124934377599937</v>
      </c>
      <c r="W77" s="121">
        <f t="shared" si="22"/>
        <v>-0.86073600683459883</v>
      </c>
      <c r="X77" s="121">
        <f t="shared" si="22"/>
        <v>-1.1141907901046442</v>
      </c>
      <c r="Y77" s="121">
        <f t="shared" si="22"/>
        <v>-1.3630988071449068</v>
      </c>
      <c r="Z77" s="121">
        <f t="shared" si="22"/>
        <v>-1.6080063328092065</v>
      </c>
      <c r="AA77" s="121">
        <f t="shared" si="22"/>
        <v>-1.8500085424481081</v>
      </c>
      <c r="AB77" s="121">
        <f t="shared" si="22"/>
        <v>-2.0902673006207073</v>
      </c>
      <c r="AC77" s="121">
        <f t="shared" si="22"/>
        <v>-2.3304905866352845</v>
      </c>
      <c r="AD77" s="121">
        <f t="shared" si="22"/>
        <v>-2.5721941178191514</v>
      </c>
      <c r="AE77" s="121">
        <f t="shared" si="22"/>
        <v>-2.8166428837298105</v>
      </c>
    </row>
    <row r="78" spans="1:35" x14ac:dyDescent="0.35">
      <c r="B78" s="115" t="s">
        <v>3200</v>
      </c>
      <c r="C78" s="115" t="s">
        <v>43</v>
      </c>
      <c r="D78" s="115" t="s">
        <v>3201</v>
      </c>
      <c r="E78" s="115" t="s">
        <v>87</v>
      </c>
      <c r="H78" s="119" t="str">
        <f>Settings!$B$3&amp;".mit.eco2.rblk.irn.2"</f>
        <v>egy.mit.eco2.rblk.irn.2</v>
      </c>
      <c r="I78" s="115" t="s">
        <v>3202</v>
      </c>
      <c r="L78" s="147">
        <f t="shared" ref="L78:AE78" si="23">IF(L76=0,0,L75/L76)</f>
        <v>0.63337096182202313</v>
      </c>
      <c r="M78" s="147">
        <f t="shared" si="23"/>
        <v>0.77872181149549735</v>
      </c>
      <c r="N78" s="147">
        <f t="shared" si="23"/>
        <v>0.72243543965673307</v>
      </c>
      <c r="O78" s="147">
        <f t="shared" si="23"/>
        <v>0.71836534725395207</v>
      </c>
      <c r="P78" s="147">
        <f t="shared" si="23"/>
        <v>0.73138890499181464</v>
      </c>
      <c r="Q78" s="147">
        <f t="shared" si="23"/>
        <v>0.80736666107121291</v>
      </c>
      <c r="R78" s="147">
        <f t="shared" si="23"/>
        <v>0.87481156388595005</v>
      </c>
      <c r="S78" s="147">
        <f t="shared" si="23"/>
        <v>0.94334276658426708</v>
      </c>
      <c r="T78" s="147">
        <f t="shared" si="23"/>
        <v>1.0142820893627853</v>
      </c>
      <c r="U78" s="147">
        <f t="shared" si="23"/>
        <v>1.0856265198192379</v>
      </c>
      <c r="V78" s="147">
        <f t="shared" si="23"/>
        <v>1.1577087659194996</v>
      </c>
      <c r="W78" s="147">
        <f t="shared" si="23"/>
        <v>1.2297062090753335</v>
      </c>
      <c r="X78" s="147">
        <f t="shared" si="23"/>
        <v>1.3014253060273147</v>
      </c>
      <c r="Y78" s="147">
        <f t="shared" si="23"/>
        <v>1.3725162625489926</v>
      </c>
      <c r="Z78" s="147">
        <f t="shared" si="23"/>
        <v>1.4423386641546507</v>
      </c>
      <c r="AA78" s="147">
        <f t="shared" si="23"/>
        <v>1.5104966618641451</v>
      </c>
      <c r="AB78" s="147">
        <f t="shared" si="23"/>
        <v>1.5766996800551218</v>
      </c>
      <c r="AC78" s="147">
        <f t="shared" si="23"/>
        <v>1.6409910633136746</v>
      </c>
      <c r="AD78" s="147">
        <f t="shared" si="23"/>
        <v>1.7034439418195817</v>
      </c>
      <c r="AE78" s="147">
        <f t="shared" si="23"/>
        <v>1.7641068152278037</v>
      </c>
    </row>
    <row r="80" spans="1:35" x14ac:dyDescent="0.35">
      <c r="B80" s="115" t="s">
        <v>3192</v>
      </c>
      <c r="C80" s="115" t="s">
        <v>113</v>
      </c>
      <c r="D80" s="115" t="s">
        <v>3203</v>
      </c>
      <c r="E80" s="115" t="s">
        <v>2068</v>
      </c>
      <c r="F80" s="115" t="s">
        <v>3225</v>
      </c>
      <c r="H80" s="119" t="str">
        <f>Settings!$B$3&amp;".mit.eco2.blk.cem.2"</f>
        <v>egy.mit.eco2.blk.cem.2</v>
      </c>
      <c r="I80" s="115" t="s">
        <v>2279</v>
      </c>
      <c r="L80" s="121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21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21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21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21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21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21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21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21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21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21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21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21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21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21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21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21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21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21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21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5" t="s">
        <v>110</v>
      </c>
      <c r="C81" s="115" t="s">
        <v>113</v>
      </c>
      <c r="D81" s="115" t="s">
        <v>3205</v>
      </c>
      <c r="E81" s="115" t="s">
        <v>2068</v>
      </c>
      <c r="F81" s="115" t="s">
        <v>3226</v>
      </c>
      <c r="I81" s="115" t="s">
        <v>3227</v>
      </c>
      <c r="L81" s="121">
        <f>Emissions_Industry!L78</f>
        <v>9.4893574461323063</v>
      </c>
      <c r="M81" s="121">
        <f>Emissions_Industry!M78</f>
        <v>7.892397868173477</v>
      </c>
      <c r="N81" s="121">
        <f>Emissions_Industry!N78</f>
        <v>8.974049898041585</v>
      </c>
      <c r="O81" s="121">
        <f>Emissions_Industry!O78</f>
        <v>9.6117389440758174</v>
      </c>
      <c r="P81" s="121">
        <f>Emissions_Industry!P78</f>
        <v>9.6255920185944621</v>
      </c>
      <c r="Q81" s="121">
        <f>Emissions_Industry!Q78</f>
        <v>9.0746501749675428</v>
      </c>
      <c r="R81" s="121">
        <f>Emissions_Industry!R78</f>
        <v>8.7362574382654046</v>
      </c>
      <c r="S81" s="121">
        <f>Emissions_Industry!S78</f>
        <v>8.4490397368747985</v>
      </c>
      <c r="T81" s="121">
        <f>Emissions_Industry!T78</f>
        <v>8.1955178569750267</v>
      </c>
      <c r="U81" s="121">
        <f>Emissions_Industry!U78</f>
        <v>7.9814424709644749</v>
      </c>
      <c r="V81" s="121">
        <f>Emissions_Industry!V78</f>
        <v>7.7902867807190201</v>
      </c>
      <c r="W81" s="121">
        <f>Emissions_Industry!W78</f>
        <v>7.6314031195294163</v>
      </c>
      <c r="X81" s="121">
        <f>Emissions_Industry!X78</f>
        <v>7.5006570964300785</v>
      </c>
      <c r="Y81" s="121">
        <f>Emissions_Industry!Y78</f>
        <v>7.3954239718464407</v>
      </c>
      <c r="Z81" s="121">
        <f>Emissions_Industry!Z78</f>
        <v>7.3147393259951752</v>
      </c>
      <c r="AA81" s="121">
        <f>Emissions_Industry!AA78</f>
        <v>7.2568985784252265</v>
      </c>
      <c r="AB81" s="121">
        <f>Emissions_Industry!AB78</f>
        <v>7.2202035238785385</v>
      </c>
      <c r="AC81" s="121">
        <f>Emissions_Industry!AC78</f>
        <v>7.2022011866219096</v>
      </c>
      <c r="AD81" s="121">
        <f>Emissions_Industry!AD78</f>
        <v>7.2008394296116975</v>
      </c>
      <c r="AE81" s="121">
        <f>Emissions_Industry!AE78</f>
        <v>7.2145454034411083</v>
      </c>
    </row>
    <row r="82" spans="2:31" x14ac:dyDescent="0.35">
      <c r="B82" s="115" t="s">
        <v>3197</v>
      </c>
      <c r="C82" s="115" t="s">
        <v>113</v>
      </c>
      <c r="D82" s="115" t="s">
        <v>3207</v>
      </c>
      <c r="E82" s="115" t="s">
        <v>2068</v>
      </c>
      <c r="H82" s="119" t="str">
        <f>Settings!$B$3&amp;".mit.eco2.gap.cem.2"</f>
        <v>egy.mit.eco2.gap.cem.2</v>
      </c>
      <c r="I82" s="115" t="s">
        <v>3199</v>
      </c>
      <c r="L82" s="121">
        <f t="shared" ref="L82:AE82" si="24">L81-L80</f>
        <v>-5.2033485980683221</v>
      </c>
      <c r="M82" s="121">
        <f t="shared" si="24"/>
        <v>-7.2851674754857694</v>
      </c>
      <c r="N82" s="121">
        <f t="shared" si="24"/>
        <v>-6.7043751019584139</v>
      </c>
      <c r="O82" s="121">
        <f t="shared" si="24"/>
        <v>-6.5840740809241787</v>
      </c>
      <c r="P82" s="121">
        <f t="shared" si="24"/>
        <v>-7.1046828362305323</v>
      </c>
      <c r="Q82" s="121">
        <f t="shared" si="24"/>
        <v>-8.2077237500666751</v>
      </c>
      <c r="R82" s="121">
        <f t="shared" si="24"/>
        <v>-9.1164348262949382</v>
      </c>
      <c r="S82" s="121">
        <f t="shared" si="24"/>
        <v>-9.9927913724160398</v>
      </c>
      <c r="T82" s="121">
        <f t="shared" si="24"/>
        <v>-10.854893678922405</v>
      </c>
      <c r="U82" s="121">
        <f t="shared" si="24"/>
        <v>-11.697632645617571</v>
      </c>
      <c r="V82" s="121">
        <f t="shared" si="24"/>
        <v>-12.538197814710228</v>
      </c>
      <c r="W82" s="121">
        <f t="shared" si="24"/>
        <v>-13.367921467548996</v>
      </c>
      <c r="X82" s="121">
        <f t="shared" si="24"/>
        <v>-14.191645202021913</v>
      </c>
      <c r="Y82" s="121">
        <f t="shared" si="24"/>
        <v>-15.012724302454469</v>
      </c>
      <c r="Z82" s="121">
        <f t="shared" si="24"/>
        <v>-15.832877841357663</v>
      </c>
      <c r="AA82" s="121">
        <f t="shared" si="24"/>
        <v>-16.654589955450255</v>
      </c>
      <c r="AB82" s="121">
        <f t="shared" si="24"/>
        <v>-17.480364131614824</v>
      </c>
      <c r="AC82" s="121">
        <f t="shared" si="24"/>
        <v>-18.313485201502733</v>
      </c>
      <c r="AD82" s="121">
        <f t="shared" si="24"/>
        <v>-19.156864609321058</v>
      </c>
      <c r="AE82" s="121">
        <f t="shared" si="24"/>
        <v>-20.01296286877642</v>
      </c>
    </row>
    <row r="83" spans="2:31" x14ac:dyDescent="0.35">
      <c r="B83" s="115" t="s">
        <v>3200</v>
      </c>
      <c r="C83" s="115" t="s">
        <v>113</v>
      </c>
      <c r="D83" s="115" t="s">
        <v>3208</v>
      </c>
      <c r="E83" s="115" t="s">
        <v>87</v>
      </c>
      <c r="H83" s="119" t="str">
        <f>Settings!$B$3&amp;".mit.eco2.rblk.cem.2"</f>
        <v>egy.mit.eco2.rblk.cem.2</v>
      </c>
      <c r="I83" s="115" t="s">
        <v>3202</v>
      </c>
      <c r="L83" s="147">
        <f t="shared" ref="L83:AE83" si="25">IF(L81=0,0,L80/L81)</f>
        <v>1.5483351878781966</v>
      </c>
      <c r="M83" s="147">
        <f t="shared" si="25"/>
        <v>1.9230613556449812</v>
      </c>
      <c r="N83" s="147">
        <f t="shared" si="25"/>
        <v>1.7470846694781044</v>
      </c>
      <c r="O83" s="147">
        <f t="shared" si="25"/>
        <v>1.6850034233381113</v>
      </c>
      <c r="P83" s="147">
        <f t="shared" si="25"/>
        <v>1.7381034665198665</v>
      </c>
      <c r="Q83" s="147">
        <f t="shared" si="25"/>
        <v>1.9044672347489175</v>
      </c>
      <c r="R83" s="147">
        <f t="shared" si="25"/>
        <v>2.0435171915109014</v>
      </c>
      <c r="S83" s="147">
        <f t="shared" si="25"/>
        <v>2.1827132648937284</v>
      </c>
      <c r="T83" s="147">
        <f t="shared" si="25"/>
        <v>2.3244914925887254</v>
      </c>
      <c r="U83" s="147">
        <f t="shared" si="25"/>
        <v>2.4656038289033777</v>
      </c>
      <c r="V83" s="147">
        <f t="shared" si="25"/>
        <v>2.6094655007749266</v>
      </c>
      <c r="W83" s="147">
        <f t="shared" si="25"/>
        <v>2.7516990333454325</v>
      </c>
      <c r="X83" s="147">
        <f t="shared" si="25"/>
        <v>2.8920535920481414</v>
      </c>
      <c r="Y83" s="147">
        <f t="shared" si="25"/>
        <v>3.0300018443305272</v>
      </c>
      <c r="Z83" s="147">
        <f t="shared" si="25"/>
        <v>3.164517030031496</v>
      </c>
      <c r="AA83" s="147">
        <f t="shared" si="25"/>
        <v>3.295001063534825</v>
      </c>
      <c r="AB83" s="147">
        <f t="shared" si="25"/>
        <v>3.4210348190053161</v>
      </c>
      <c r="AC83" s="147">
        <f t="shared" si="25"/>
        <v>3.5427622371227336</v>
      </c>
      <c r="AD83" s="147">
        <f t="shared" si="25"/>
        <v>3.6603654749671435</v>
      </c>
      <c r="AE83" s="147">
        <f t="shared" si="25"/>
        <v>3.773974207609931</v>
      </c>
    </row>
    <row r="85" spans="2:31" x14ac:dyDescent="0.35">
      <c r="B85" s="115" t="s">
        <v>3192</v>
      </c>
      <c r="C85" s="115" t="s">
        <v>115</v>
      </c>
      <c r="D85" s="115" t="s">
        <v>3209</v>
      </c>
      <c r="E85" s="115" t="s">
        <v>2068</v>
      </c>
      <c r="F85" s="115" t="s">
        <v>3228</v>
      </c>
      <c r="H85" s="119" t="str">
        <f>Settings!$B$3&amp;".mit.eco2.blk.nfm.2"</f>
        <v>egy.mit.eco2.blk.nfm.2</v>
      </c>
      <c r="I85" s="115" t="s">
        <v>2289</v>
      </c>
      <c r="L85" s="121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21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21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21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21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21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21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21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21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21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21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21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21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21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21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21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21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21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21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21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5" t="s">
        <v>110</v>
      </c>
      <c r="C86" s="115" t="s">
        <v>115</v>
      </c>
      <c r="D86" s="115" t="s">
        <v>3211</v>
      </c>
      <c r="E86" s="115" t="s">
        <v>2068</v>
      </c>
      <c r="F86" s="115" t="s">
        <v>3229</v>
      </c>
      <c r="I86" s="115" t="s">
        <v>3230</v>
      </c>
      <c r="L86" s="121">
        <f>Emissions_Industry!L90</f>
        <v>0</v>
      </c>
      <c r="M86" s="121">
        <f>Emissions_Industry!M90</f>
        <v>0</v>
      </c>
      <c r="N86" s="121">
        <f>Emissions_Industry!N90</f>
        <v>0</v>
      </c>
      <c r="O86" s="121">
        <f>Emissions_Industry!O90</f>
        <v>0</v>
      </c>
      <c r="P86" s="121">
        <f>Emissions_Industry!P90</f>
        <v>0</v>
      </c>
      <c r="Q86" s="121">
        <f>Emissions_Industry!Q90</f>
        <v>0</v>
      </c>
      <c r="R86" s="121">
        <f>Emissions_Industry!R90</f>
        <v>0</v>
      </c>
      <c r="S86" s="121">
        <f>Emissions_Industry!S90</f>
        <v>0</v>
      </c>
      <c r="T86" s="121">
        <f>Emissions_Industry!T90</f>
        <v>0</v>
      </c>
      <c r="U86" s="121">
        <f>Emissions_Industry!U90</f>
        <v>0</v>
      </c>
      <c r="V86" s="121">
        <f>Emissions_Industry!V90</f>
        <v>0</v>
      </c>
      <c r="W86" s="121">
        <f>Emissions_Industry!W90</f>
        <v>0</v>
      </c>
      <c r="X86" s="121">
        <f>Emissions_Industry!X90</f>
        <v>0</v>
      </c>
      <c r="Y86" s="121">
        <f>Emissions_Industry!Y90</f>
        <v>0</v>
      </c>
      <c r="Z86" s="121">
        <f>Emissions_Industry!Z90</f>
        <v>0</v>
      </c>
      <c r="AA86" s="121">
        <f>Emissions_Industry!AA90</f>
        <v>0</v>
      </c>
      <c r="AB86" s="121">
        <f>Emissions_Industry!AB90</f>
        <v>0</v>
      </c>
      <c r="AC86" s="121">
        <f>Emissions_Industry!AC90</f>
        <v>0</v>
      </c>
      <c r="AD86" s="121">
        <f>Emissions_Industry!AD90</f>
        <v>0</v>
      </c>
      <c r="AE86" s="121">
        <f>Emissions_Industry!AE90</f>
        <v>0</v>
      </c>
    </row>
    <row r="87" spans="2:31" x14ac:dyDescent="0.35">
      <c r="B87" s="115" t="s">
        <v>3197</v>
      </c>
      <c r="C87" s="115" t="s">
        <v>115</v>
      </c>
      <c r="D87" s="115" t="s">
        <v>3213</v>
      </c>
      <c r="E87" s="115" t="s">
        <v>2068</v>
      </c>
      <c r="H87" s="119" t="str">
        <f>Settings!$B$3&amp;".mit.eco2.gap.nfm.2"</f>
        <v>egy.mit.eco2.gap.nfm.2</v>
      </c>
      <c r="I87" s="115" t="s">
        <v>3199</v>
      </c>
      <c r="L87" s="121">
        <f t="shared" ref="L87:AE87" si="26">L86-L85</f>
        <v>-3.3266099144224071E-2</v>
      </c>
      <c r="M87" s="121">
        <f t="shared" si="26"/>
        <v>-3.5095734597156404E-2</v>
      </c>
      <c r="N87" s="121">
        <f t="shared" si="26"/>
        <v>-3.7026000000000003E-2</v>
      </c>
      <c r="O87" s="121">
        <f t="shared" si="26"/>
        <v>-3.9062430000000002E-2</v>
      </c>
      <c r="P87" s="121">
        <f t="shared" si="26"/>
        <v>-4.1210863649999999E-2</v>
      </c>
      <c r="Q87" s="121">
        <f t="shared" si="26"/>
        <v>-4.3477461150749991E-2</v>
      </c>
      <c r="R87" s="121">
        <f t="shared" si="26"/>
        <v>-4.5868721514041248E-2</v>
      </c>
      <c r="S87" s="121">
        <f t="shared" si="26"/>
        <v>-4.8391501197313509E-2</v>
      </c>
      <c r="T87" s="121">
        <f t="shared" si="26"/>
        <v>-5.105303376316575E-2</v>
      </c>
      <c r="U87" s="121">
        <f t="shared" si="26"/>
        <v>-5.3860950620139861E-2</v>
      </c>
      <c r="V87" s="121">
        <f t="shared" si="26"/>
        <v>-5.6823302904247558E-2</v>
      </c>
      <c r="W87" s="121">
        <f t="shared" si="26"/>
        <v>-5.9948584563981173E-2</v>
      </c>
      <c r="X87" s="121">
        <f t="shared" si="26"/>
        <v>-6.3245756715000129E-2</v>
      </c>
      <c r="Y87" s="121">
        <f t="shared" si="26"/>
        <v>-6.6724273334325138E-2</v>
      </c>
      <c r="Z87" s="121">
        <f t="shared" si="26"/>
        <v>-7.039410836771301E-2</v>
      </c>
      <c r="AA87" s="121">
        <f t="shared" si="26"/>
        <v>-7.426578432793722E-2</v>
      </c>
      <c r="AB87" s="121">
        <f t="shared" si="26"/>
        <v>-7.8350402465973787E-2</v>
      </c>
      <c r="AC87" s="121">
        <f t="shared" si="26"/>
        <v>-8.2659674601602312E-2</v>
      </c>
      <c r="AD87" s="121">
        <f t="shared" si="26"/>
        <v>-8.7205956704690446E-2</v>
      </c>
      <c r="AE87" s="121">
        <f t="shared" si="26"/>
        <v>-9.2002284323448424E-2</v>
      </c>
    </row>
    <row r="88" spans="2:31" x14ac:dyDescent="0.35">
      <c r="B88" s="115" t="s">
        <v>3200</v>
      </c>
      <c r="C88" s="115" t="s">
        <v>115</v>
      </c>
      <c r="D88" s="115" t="s">
        <v>3214</v>
      </c>
      <c r="E88" s="115" t="s">
        <v>87</v>
      </c>
      <c r="H88" s="119" t="str">
        <f>Settings!$B$3&amp;".mit.eco2.rblk.nfm.2"</f>
        <v>egy.mit.eco2.rblk.nfm.2</v>
      </c>
      <c r="I88" s="115" t="s">
        <v>3202</v>
      </c>
      <c r="L88" s="147">
        <f t="shared" ref="L88:AE88" si="27">IF(L86=0,0,L85/L86)</f>
        <v>0</v>
      </c>
      <c r="M88" s="147">
        <f t="shared" si="27"/>
        <v>0</v>
      </c>
      <c r="N88" s="147">
        <f t="shared" si="27"/>
        <v>0</v>
      </c>
      <c r="O88" s="147">
        <f t="shared" si="27"/>
        <v>0</v>
      </c>
      <c r="P88" s="147">
        <f t="shared" si="27"/>
        <v>0</v>
      </c>
      <c r="Q88" s="147">
        <f t="shared" si="27"/>
        <v>0</v>
      </c>
      <c r="R88" s="147">
        <f t="shared" si="27"/>
        <v>0</v>
      </c>
      <c r="S88" s="147">
        <f t="shared" si="27"/>
        <v>0</v>
      </c>
      <c r="T88" s="147">
        <f t="shared" si="27"/>
        <v>0</v>
      </c>
      <c r="U88" s="147">
        <f t="shared" si="27"/>
        <v>0</v>
      </c>
      <c r="V88" s="147">
        <f t="shared" si="27"/>
        <v>0</v>
      </c>
      <c r="W88" s="147">
        <f t="shared" si="27"/>
        <v>0</v>
      </c>
      <c r="X88" s="147">
        <f t="shared" si="27"/>
        <v>0</v>
      </c>
      <c r="Y88" s="147">
        <f t="shared" si="27"/>
        <v>0</v>
      </c>
      <c r="Z88" s="147">
        <f t="shared" si="27"/>
        <v>0</v>
      </c>
      <c r="AA88" s="147">
        <f t="shared" si="27"/>
        <v>0</v>
      </c>
      <c r="AB88" s="147">
        <f t="shared" si="27"/>
        <v>0</v>
      </c>
      <c r="AC88" s="147">
        <f t="shared" si="27"/>
        <v>0</v>
      </c>
      <c r="AD88" s="147">
        <f t="shared" si="27"/>
        <v>0</v>
      </c>
      <c r="AE88" s="147">
        <f t="shared" si="27"/>
        <v>0</v>
      </c>
    </row>
    <row r="90" spans="2:31" x14ac:dyDescent="0.35">
      <c r="B90" s="115" t="s">
        <v>3192</v>
      </c>
      <c r="C90" s="115" t="s">
        <v>117</v>
      </c>
      <c r="D90" s="115" t="s">
        <v>3215</v>
      </c>
      <c r="E90" s="115" t="s">
        <v>2068</v>
      </c>
      <c r="F90" s="115" t="s">
        <v>3231</v>
      </c>
      <c r="H90" s="119" t="str">
        <f>Settings!$B$3&amp;".mit.eco2.blk.mch.2"</f>
        <v>egy.mit.eco2.blk.mch.2</v>
      </c>
      <c r="I90" s="115" t="s">
        <v>2299</v>
      </c>
      <c r="L90" s="121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21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21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21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21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21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21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21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21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21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21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21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21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21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21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21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21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21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21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21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5" t="s">
        <v>110</v>
      </c>
      <c r="C91" s="115" t="s">
        <v>117</v>
      </c>
      <c r="D91" s="115" t="s">
        <v>3217</v>
      </c>
      <c r="E91" s="115" t="s">
        <v>2068</v>
      </c>
      <c r="F91" s="115" t="s">
        <v>3232</v>
      </c>
      <c r="I91" s="115" t="s">
        <v>3233</v>
      </c>
      <c r="L91" s="121">
        <f>Emissions_Industry!L102</f>
        <v>0</v>
      </c>
      <c r="M91" s="121">
        <f>Emissions_Industry!M102</f>
        <v>0</v>
      </c>
      <c r="N91" s="121">
        <f>Emissions_Industry!N102</f>
        <v>0</v>
      </c>
      <c r="O91" s="121">
        <f>Emissions_Industry!O102</f>
        <v>0</v>
      </c>
      <c r="P91" s="121">
        <f>Emissions_Industry!P102</f>
        <v>0</v>
      </c>
      <c r="Q91" s="121">
        <f>Emissions_Industry!Q102</f>
        <v>0</v>
      </c>
      <c r="R91" s="121">
        <f>Emissions_Industry!R102</f>
        <v>0</v>
      </c>
      <c r="S91" s="121">
        <f>Emissions_Industry!S102</f>
        <v>0</v>
      </c>
      <c r="T91" s="121">
        <f>Emissions_Industry!T102</f>
        <v>0</v>
      </c>
      <c r="U91" s="121">
        <f>Emissions_Industry!U102</f>
        <v>0</v>
      </c>
      <c r="V91" s="121">
        <f>Emissions_Industry!V102</f>
        <v>0</v>
      </c>
      <c r="W91" s="121">
        <f>Emissions_Industry!W102</f>
        <v>0</v>
      </c>
      <c r="X91" s="121">
        <f>Emissions_Industry!X102</f>
        <v>0</v>
      </c>
      <c r="Y91" s="121">
        <f>Emissions_Industry!Y102</f>
        <v>0</v>
      </c>
      <c r="Z91" s="121">
        <f>Emissions_Industry!Z102</f>
        <v>0</v>
      </c>
      <c r="AA91" s="121">
        <f>Emissions_Industry!AA102</f>
        <v>0</v>
      </c>
      <c r="AB91" s="121">
        <f>Emissions_Industry!AB102</f>
        <v>0</v>
      </c>
      <c r="AC91" s="121">
        <f>Emissions_Industry!AC102</f>
        <v>0</v>
      </c>
      <c r="AD91" s="121">
        <f>Emissions_Industry!AD102</f>
        <v>0</v>
      </c>
      <c r="AE91" s="121">
        <f>Emissions_Industry!AE102</f>
        <v>0</v>
      </c>
    </row>
    <row r="92" spans="2:31" x14ac:dyDescent="0.35">
      <c r="B92" s="115" t="s">
        <v>3197</v>
      </c>
      <c r="C92" s="115" t="s">
        <v>117</v>
      </c>
      <c r="D92" s="115" t="s">
        <v>3219</v>
      </c>
      <c r="E92" s="115" t="s">
        <v>2068</v>
      </c>
      <c r="H92" s="119" t="str">
        <f>Settings!$B$3&amp;".mit.eco2.gap.mch.2"</f>
        <v>egy.mit.eco2.gap.mch.2</v>
      </c>
      <c r="I92" s="115" t="s">
        <v>3199</v>
      </c>
      <c r="L92" s="121">
        <f t="shared" ref="L92:AE92" si="28">L91-L90</f>
        <v>-1.5828284109665627</v>
      </c>
      <c r="M92" s="121">
        <f t="shared" si="28"/>
        <v>-1.6176506360078275</v>
      </c>
      <c r="N92" s="121">
        <f t="shared" si="28"/>
        <v>-1.6532389499999995</v>
      </c>
      <c r="O92" s="121">
        <f t="shared" si="28"/>
        <v>-1.6896102068999994</v>
      </c>
      <c r="P92" s="121">
        <f t="shared" si="28"/>
        <v>-1.7267816314518005</v>
      </c>
      <c r="Q92" s="121">
        <f t="shared" si="28"/>
        <v>-1.7647708273437392</v>
      </c>
      <c r="R92" s="121">
        <f t="shared" si="28"/>
        <v>-1.8035957855453022</v>
      </c>
      <c r="S92" s="121">
        <f t="shared" si="28"/>
        <v>-1.843274892827298</v>
      </c>
      <c r="T92" s="121">
        <f t="shared" si="28"/>
        <v>-1.8838269404694987</v>
      </c>
      <c r="U92" s="121">
        <f t="shared" si="28"/>
        <v>-1.9252711331598276</v>
      </c>
      <c r="V92" s="121">
        <f t="shared" si="28"/>
        <v>-1.9676270980893444</v>
      </c>
      <c r="W92" s="121">
        <f t="shared" si="28"/>
        <v>-2.0109148942473092</v>
      </c>
      <c r="X92" s="121">
        <f t="shared" si="28"/>
        <v>-2.0551550219207506</v>
      </c>
      <c r="Y92" s="121">
        <f t="shared" si="28"/>
        <v>-2.1003684324030072</v>
      </c>
      <c r="Z92" s="121">
        <f t="shared" si="28"/>
        <v>-2.1465765379158737</v>
      </c>
      <c r="AA92" s="121">
        <f t="shared" si="28"/>
        <v>-2.1938012217500225</v>
      </c>
      <c r="AB92" s="121">
        <f t="shared" si="28"/>
        <v>-2.2420648486285226</v>
      </c>
      <c r="AC92" s="121">
        <f t="shared" si="28"/>
        <v>-2.2913902752983502</v>
      </c>
      <c r="AD92" s="121">
        <f t="shared" si="28"/>
        <v>-2.3418008613549151</v>
      </c>
      <c r="AE92" s="121">
        <f t="shared" si="28"/>
        <v>-2.3933204803047228</v>
      </c>
    </row>
    <row r="93" spans="2:31" x14ac:dyDescent="0.35">
      <c r="B93" s="115" t="s">
        <v>3200</v>
      </c>
      <c r="C93" s="115" t="s">
        <v>117</v>
      </c>
      <c r="D93" s="115" t="s">
        <v>3220</v>
      </c>
      <c r="E93" s="115" t="s">
        <v>87</v>
      </c>
      <c r="H93" s="119" t="str">
        <f>Settings!$B$3&amp;".mit.eco2.rblk.mch.2"</f>
        <v>egy.mit.eco2.rblk.mch.2</v>
      </c>
      <c r="I93" s="115" t="s">
        <v>3202</v>
      </c>
      <c r="L93" s="147">
        <f t="shared" ref="L93:AE93" si="29">IF(L91=0,0,L90/L91)</f>
        <v>0</v>
      </c>
      <c r="M93" s="147">
        <f t="shared" si="29"/>
        <v>0</v>
      </c>
      <c r="N93" s="147">
        <f t="shared" si="29"/>
        <v>0</v>
      </c>
      <c r="O93" s="147">
        <f t="shared" si="29"/>
        <v>0</v>
      </c>
      <c r="P93" s="147">
        <f t="shared" si="29"/>
        <v>0</v>
      </c>
      <c r="Q93" s="147">
        <f t="shared" si="29"/>
        <v>0</v>
      </c>
      <c r="R93" s="147">
        <f t="shared" si="29"/>
        <v>0</v>
      </c>
      <c r="S93" s="147">
        <f t="shared" si="29"/>
        <v>0</v>
      </c>
      <c r="T93" s="147">
        <f t="shared" si="29"/>
        <v>0</v>
      </c>
      <c r="U93" s="147">
        <f t="shared" si="29"/>
        <v>0</v>
      </c>
      <c r="V93" s="147">
        <f t="shared" si="29"/>
        <v>0</v>
      </c>
      <c r="W93" s="147">
        <f t="shared" si="29"/>
        <v>0</v>
      </c>
      <c r="X93" s="147">
        <f t="shared" si="29"/>
        <v>0</v>
      </c>
      <c r="Y93" s="147">
        <f t="shared" si="29"/>
        <v>0</v>
      </c>
      <c r="Z93" s="147">
        <f t="shared" si="29"/>
        <v>0</v>
      </c>
      <c r="AA93" s="147">
        <f t="shared" si="29"/>
        <v>0</v>
      </c>
      <c r="AB93" s="147">
        <f t="shared" si="29"/>
        <v>0</v>
      </c>
      <c r="AC93" s="147">
        <f t="shared" si="29"/>
        <v>0</v>
      </c>
      <c r="AD93" s="147">
        <f t="shared" si="29"/>
        <v>0</v>
      </c>
      <c r="AE93" s="147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3259</v>
      </c>
      <c r="C6" s="115" t="s">
        <v>3260</v>
      </c>
      <c r="D6" s="115" t="s">
        <v>3261</v>
      </c>
      <c r="E6" s="115" t="s">
        <v>3262</v>
      </c>
      <c r="F6" s="115" t="s">
        <v>3263</v>
      </c>
      <c r="H6" s="119" t="s">
        <v>3264</v>
      </c>
      <c r="L6" s="149">
        <v>0</v>
      </c>
      <c r="M6" s="149">
        <v>-1</v>
      </c>
      <c r="N6" s="149">
        <v>-1</v>
      </c>
      <c r="O6" s="149">
        <v>-1</v>
      </c>
      <c r="P6" s="149">
        <v>0</v>
      </c>
      <c r="Q6" s="149">
        <v>-6</v>
      </c>
      <c r="R6" s="149">
        <v>490</v>
      </c>
      <c r="S6" s="149">
        <v>520</v>
      </c>
      <c r="T6" s="149">
        <v>525</v>
      </c>
      <c r="U6" s="149">
        <v>486</v>
      </c>
      <c r="V6" s="149">
        <v>510</v>
      </c>
      <c r="W6" s="149">
        <v>599</v>
      </c>
      <c r="X6" s="149">
        <v>496</v>
      </c>
      <c r="Y6" s="149">
        <v>546</v>
      </c>
      <c r="Z6" s="149">
        <v>415</v>
      </c>
      <c r="AA6" s="149">
        <v>424</v>
      </c>
      <c r="AB6" s="149">
        <v>395</v>
      </c>
      <c r="AC6" s="149">
        <v>367</v>
      </c>
      <c r="AD6" s="149">
        <v>311</v>
      </c>
      <c r="AE6" s="149">
        <v>0</v>
      </c>
    </row>
    <row r="7" spans="1:35" x14ac:dyDescent="0.35">
      <c r="B7" s="115" t="s">
        <v>3265</v>
      </c>
      <c r="C7" s="115" t="s">
        <v>3266</v>
      </c>
      <c r="D7" s="115" t="s">
        <v>3261</v>
      </c>
      <c r="E7" s="115" t="s">
        <v>3262</v>
      </c>
      <c r="F7" s="115" t="s">
        <v>3267</v>
      </c>
      <c r="H7" s="119" t="s">
        <v>3264</v>
      </c>
      <c r="L7" s="149">
        <v>0</v>
      </c>
      <c r="M7" s="149">
        <v>-1</v>
      </c>
      <c r="N7" s="149">
        <v>-1</v>
      </c>
      <c r="O7" s="149">
        <v>-1</v>
      </c>
      <c r="P7" s="149">
        <v>0</v>
      </c>
      <c r="Q7" s="149">
        <v>-6</v>
      </c>
      <c r="R7" s="149">
        <v>490</v>
      </c>
      <c r="S7" s="149">
        <v>531</v>
      </c>
      <c r="T7" s="149">
        <v>547</v>
      </c>
      <c r="U7" s="149">
        <v>579</v>
      </c>
      <c r="V7" s="149">
        <v>616</v>
      </c>
      <c r="W7" s="149">
        <v>714</v>
      </c>
      <c r="X7" s="149">
        <v>589</v>
      </c>
      <c r="Y7" s="149">
        <v>654</v>
      </c>
      <c r="Z7" s="149">
        <v>541</v>
      </c>
      <c r="AA7" s="149">
        <v>519</v>
      </c>
      <c r="AB7" s="149">
        <v>509</v>
      </c>
      <c r="AC7" s="149">
        <v>465</v>
      </c>
      <c r="AD7" s="149">
        <v>411</v>
      </c>
      <c r="AE7" s="149">
        <v>0</v>
      </c>
    </row>
    <row r="8" spans="1:35" x14ac:dyDescent="0.35">
      <c r="B8" s="115" t="s">
        <v>3268</v>
      </c>
      <c r="C8" s="115" t="s">
        <v>3269</v>
      </c>
      <c r="D8" s="115" t="s">
        <v>3261</v>
      </c>
      <c r="E8" s="115" t="s">
        <v>3262</v>
      </c>
      <c r="F8" s="115" t="s">
        <v>3270</v>
      </c>
      <c r="H8" s="119" t="s">
        <v>3264</v>
      </c>
      <c r="L8" s="149">
        <v>0</v>
      </c>
      <c r="M8" s="149">
        <v>1</v>
      </c>
      <c r="N8" s="149">
        <v>1</v>
      </c>
      <c r="O8" s="149">
        <v>1</v>
      </c>
      <c r="P8" s="149">
        <v>1</v>
      </c>
      <c r="Q8" s="149">
        <v>4</v>
      </c>
      <c r="R8" s="149">
        <v>43</v>
      </c>
      <c r="S8" s="149">
        <v>108</v>
      </c>
      <c r="T8" s="149">
        <v>182</v>
      </c>
      <c r="U8" s="149">
        <v>373</v>
      </c>
      <c r="V8" s="149">
        <v>560</v>
      </c>
      <c r="W8" s="149">
        <v>806</v>
      </c>
      <c r="X8" s="149">
        <v>755</v>
      </c>
      <c r="Y8" s="149">
        <v>921</v>
      </c>
      <c r="Z8" s="149">
        <v>911</v>
      </c>
      <c r="AA8" s="149">
        <v>845</v>
      </c>
      <c r="AB8" s="149">
        <v>913</v>
      </c>
      <c r="AC8" s="149">
        <v>844</v>
      </c>
      <c r="AD8" s="149">
        <v>858</v>
      </c>
      <c r="AE8" s="149">
        <v>0</v>
      </c>
    </row>
    <row r="9" spans="1:35" x14ac:dyDescent="0.35">
      <c r="B9" s="115" t="s">
        <v>3271</v>
      </c>
      <c r="C9" s="115" t="s">
        <v>3272</v>
      </c>
      <c r="D9" s="115" t="s">
        <v>3261</v>
      </c>
      <c r="E9" s="115" t="s">
        <v>3262</v>
      </c>
      <c r="F9" s="115" t="s">
        <v>3273</v>
      </c>
      <c r="H9" s="119" t="s">
        <v>3264</v>
      </c>
      <c r="L9" s="149">
        <v>0</v>
      </c>
      <c r="M9" s="149">
        <v>0</v>
      </c>
      <c r="N9" s="149">
        <v>0</v>
      </c>
      <c r="O9" s="149">
        <v>0</v>
      </c>
      <c r="P9" s="149">
        <v>0</v>
      </c>
      <c r="Q9" s="149">
        <v>0</v>
      </c>
      <c r="R9" s="149">
        <v>0</v>
      </c>
      <c r="S9" s="149">
        <v>37</v>
      </c>
      <c r="T9" s="149">
        <v>71</v>
      </c>
      <c r="U9" s="149">
        <v>113</v>
      </c>
      <c r="V9" s="149">
        <v>766</v>
      </c>
      <c r="W9" s="149">
        <v>812</v>
      </c>
      <c r="X9" s="149">
        <v>695</v>
      </c>
      <c r="Y9" s="149">
        <v>817</v>
      </c>
      <c r="Z9" s="149">
        <v>781</v>
      </c>
      <c r="AA9" s="149">
        <v>736</v>
      </c>
      <c r="AB9" s="149">
        <v>799</v>
      </c>
      <c r="AC9" s="149">
        <v>748</v>
      </c>
      <c r="AD9" s="149">
        <v>763</v>
      </c>
      <c r="AE9" s="149">
        <v>0</v>
      </c>
    </row>
    <row r="10" spans="1:35" x14ac:dyDescent="0.35">
      <c r="B10" s="115" t="s">
        <v>3274</v>
      </c>
      <c r="C10" s="115" t="s">
        <v>3260</v>
      </c>
      <c r="D10" s="115" t="s">
        <v>3275</v>
      </c>
      <c r="E10" s="115" t="s">
        <v>3262</v>
      </c>
      <c r="F10" s="115" t="s">
        <v>3263</v>
      </c>
      <c r="H10" s="119" t="s">
        <v>3276</v>
      </c>
      <c r="L10" s="149">
        <v>0</v>
      </c>
      <c r="M10" s="149">
        <v>-1</v>
      </c>
      <c r="N10" s="149">
        <v>-1</v>
      </c>
      <c r="O10" s="149">
        <v>-1</v>
      </c>
      <c r="P10" s="149">
        <v>-1</v>
      </c>
      <c r="Q10" s="149">
        <v>-10</v>
      </c>
      <c r="R10" s="149">
        <v>894</v>
      </c>
      <c r="S10" s="149">
        <v>951</v>
      </c>
      <c r="T10" s="149">
        <v>960</v>
      </c>
      <c r="U10" s="149">
        <v>893</v>
      </c>
      <c r="V10" s="149">
        <v>937</v>
      </c>
      <c r="W10" s="149">
        <v>1109</v>
      </c>
      <c r="X10" s="149">
        <v>956</v>
      </c>
      <c r="Y10" s="149">
        <v>1053</v>
      </c>
      <c r="Z10" s="149">
        <v>838</v>
      </c>
      <c r="AA10" s="149">
        <v>863</v>
      </c>
      <c r="AB10" s="149">
        <v>821</v>
      </c>
      <c r="AC10" s="149">
        <v>777</v>
      </c>
      <c r="AD10" s="149">
        <v>670</v>
      </c>
      <c r="AE10" s="149">
        <v>0</v>
      </c>
    </row>
    <row r="11" spans="1:35" x14ac:dyDescent="0.35">
      <c r="B11" s="115" t="s">
        <v>3277</v>
      </c>
      <c r="C11" s="115" t="s">
        <v>3266</v>
      </c>
      <c r="D11" s="115" t="s">
        <v>3275</v>
      </c>
      <c r="E11" s="115" t="s">
        <v>3262</v>
      </c>
      <c r="F11" s="115" t="s">
        <v>3267</v>
      </c>
      <c r="H11" s="119" t="s">
        <v>3276</v>
      </c>
      <c r="L11" s="149">
        <v>0</v>
      </c>
      <c r="M11" s="149">
        <v>-1</v>
      </c>
      <c r="N11" s="149">
        <v>-1</v>
      </c>
      <c r="O11" s="149">
        <v>-1</v>
      </c>
      <c r="P11" s="149">
        <v>-1</v>
      </c>
      <c r="Q11" s="149">
        <v>-10</v>
      </c>
      <c r="R11" s="149">
        <v>894</v>
      </c>
      <c r="S11" s="149">
        <v>972</v>
      </c>
      <c r="T11" s="149">
        <v>1002</v>
      </c>
      <c r="U11" s="149">
        <v>1061</v>
      </c>
      <c r="V11" s="149">
        <v>1129</v>
      </c>
      <c r="W11" s="149">
        <v>1318</v>
      </c>
      <c r="X11" s="149">
        <v>1132</v>
      </c>
      <c r="Y11" s="149">
        <v>1258</v>
      </c>
      <c r="Z11" s="149">
        <v>1077</v>
      </c>
      <c r="AA11" s="149">
        <v>1054</v>
      </c>
      <c r="AB11" s="149">
        <v>1047</v>
      </c>
      <c r="AC11" s="149">
        <v>980</v>
      </c>
      <c r="AD11" s="149">
        <v>878</v>
      </c>
      <c r="AE11" s="149">
        <v>0</v>
      </c>
    </row>
    <row r="12" spans="1:35" x14ac:dyDescent="0.35">
      <c r="B12" s="115" t="s">
        <v>3278</v>
      </c>
      <c r="C12" s="115" t="s">
        <v>3269</v>
      </c>
      <c r="D12" s="115" t="s">
        <v>3275</v>
      </c>
      <c r="E12" s="115" t="s">
        <v>3262</v>
      </c>
      <c r="F12" s="115" t="s">
        <v>3270</v>
      </c>
      <c r="H12" s="119" t="s">
        <v>3276</v>
      </c>
      <c r="L12" s="149">
        <v>0</v>
      </c>
      <c r="M12" s="149">
        <v>1</v>
      </c>
      <c r="N12" s="149">
        <v>2</v>
      </c>
      <c r="O12" s="149">
        <v>2</v>
      </c>
      <c r="P12" s="149">
        <v>1</v>
      </c>
      <c r="Q12" s="149">
        <v>8</v>
      </c>
      <c r="R12" s="149">
        <v>80</v>
      </c>
      <c r="S12" s="149">
        <v>201</v>
      </c>
      <c r="T12" s="149">
        <v>338</v>
      </c>
      <c r="U12" s="149">
        <v>689</v>
      </c>
      <c r="V12" s="149">
        <v>1031</v>
      </c>
      <c r="W12" s="149">
        <v>1493</v>
      </c>
      <c r="X12" s="149">
        <v>1458</v>
      </c>
      <c r="Y12" s="149">
        <v>1780</v>
      </c>
      <c r="Z12" s="149">
        <v>1801</v>
      </c>
      <c r="AA12" s="149">
        <v>1729</v>
      </c>
      <c r="AB12" s="149">
        <v>1884</v>
      </c>
      <c r="AC12" s="149">
        <v>1796</v>
      </c>
      <c r="AD12" s="149">
        <v>1844</v>
      </c>
      <c r="AE12" s="149">
        <v>0</v>
      </c>
    </row>
    <row r="13" spans="1:35" x14ac:dyDescent="0.35">
      <c r="B13" s="115" t="s">
        <v>3279</v>
      </c>
      <c r="C13" s="115" t="s">
        <v>3272</v>
      </c>
      <c r="D13" s="115" t="s">
        <v>3275</v>
      </c>
      <c r="E13" s="115" t="s">
        <v>3262</v>
      </c>
      <c r="F13" s="115" t="s">
        <v>3273</v>
      </c>
      <c r="H13" s="119" t="s">
        <v>3276</v>
      </c>
      <c r="L13" s="149">
        <v>0</v>
      </c>
      <c r="M13" s="149">
        <v>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69</v>
      </c>
      <c r="T13" s="149">
        <v>132</v>
      </c>
      <c r="U13" s="149">
        <v>208</v>
      </c>
      <c r="V13" s="149">
        <v>1393</v>
      </c>
      <c r="W13" s="149">
        <v>1485</v>
      </c>
      <c r="X13" s="149">
        <v>1327</v>
      </c>
      <c r="Y13" s="149">
        <v>1564</v>
      </c>
      <c r="Z13" s="149">
        <v>1533</v>
      </c>
      <c r="AA13" s="149">
        <v>1491</v>
      </c>
      <c r="AB13" s="149">
        <v>1636</v>
      </c>
      <c r="AC13" s="149">
        <v>1581</v>
      </c>
      <c r="AD13" s="149">
        <v>1630</v>
      </c>
      <c r="AE13" s="149">
        <v>0</v>
      </c>
    </row>
    <row r="14" spans="1:35" x14ac:dyDescent="0.35">
      <c r="B14" s="115" t="s">
        <v>3280</v>
      </c>
      <c r="C14" s="115" t="s">
        <v>3260</v>
      </c>
      <c r="D14" s="115" t="s">
        <v>3281</v>
      </c>
      <c r="E14" s="115" t="s">
        <v>3262</v>
      </c>
      <c r="F14" s="115" t="s">
        <v>3263</v>
      </c>
      <c r="H14" s="119" t="s">
        <v>3282</v>
      </c>
      <c r="L14" s="149">
        <v>0</v>
      </c>
      <c r="M14" s="149">
        <v>0</v>
      </c>
      <c r="N14" s="149">
        <v>0</v>
      </c>
      <c r="O14" s="149">
        <v>0</v>
      </c>
      <c r="P14" s="149">
        <v>0</v>
      </c>
      <c r="Q14" s="149">
        <v>-1</v>
      </c>
      <c r="R14" s="149">
        <v>74</v>
      </c>
      <c r="S14" s="149">
        <v>78</v>
      </c>
      <c r="T14" s="149">
        <v>79</v>
      </c>
      <c r="U14" s="149">
        <v>72</v>
      </c>
      <c r="V14" s="149">
        <v>76</v>
      </c>
      <c r="W14" s="149">
        <v>88</v>
      </c>
      <c r="X14" s="149">
        <v>70</v>
      </c>
      <c r="Y14" s="149">
        <v>77</v>
      </c>
      <c r="Z14" s="149">
        <v>56</v>
      </c>
      <c r="AA14" s="149">
        <v>56</v>
      </c>
      <c r="AB14" s="149">
        <v>52</v>
      </c>
      <c r="AC14" s="149">
        <v>48</v>
      </c>
      <c r="AD14" s="149">
        <v>49</v>
      </c>
      <c r="AE14" s="149">
        <v>0</v>
      </c>
    </row>
    <row r="15" spans="1:35" x14ac:dyDescent="0.35">
      <c r="B15" s="115" t="s">
        <v>3283</v>
      </c>
      <c r="C15" s="115" t="s">
        <v>3266</v>
      </c>
      <c r="D15" s="115" t="s">
        <v>3281</v>
      </c>
      <c r="E15" s="115" t="s">
        <v>3262</v>
      </c>
      <c r="F15" s="115" t="s">
        <v>3267</v>
      </c>
      <c r="H15" s="119" t="s">
        <v>3282</v>
      </c>
      <c r="L15" s="149">
        <v>0</v>
      </c>
      <c r="M15" s="149">
        <v>0</v>
      </c>
      <c r="N15" s="149">
        <v>0</v>
      </c>
      <c r="O15" s="149">
        <v>0</v>
      </c>
      <c r="P15" s="149">
        <v>0</v>
      </c>
      <c r="Q15" s="149">
        <v>-1</v>
      </c>
      <c r="R15" s="149">
        <v>74</v>
      </c>
      <c r="S15" s="149">
        <v>80</v>
      </c>
      <c r="T15" s="149">
        <v>82</v>
      </c>
      <c r="U15" s="149">
        <v>87</v>
      </c>
      <c r="V15" s="149">
        <v>92</v>
      </c>
      <c r="W15" s="149">
        <v>106</v>
      </c>
      <c r="X15" s="149">
        <v>84</v>
      </c>
      <c r="Y15" s="149">
        <v>93</v>
      </c>
      <c r="Z15" s="149">
        <v>75</v>
      </c>
      <c r="AA15" s="149">
        <v>70</v>
      </c>
      <c r="AB15" s="149">
        <v>69</v>
      </c>
      <c r="AC15" s="149">
        <v>63</v>
      </c>
      <c r="AD15" s="149">
        <v>66</v>
      </c>
      <c r="AE15" s="149">
        <v>0</v>
      </c>
    </row>
    <row r="16" spans="1:35" x14ac:dyDescent="0.35">
      <c r="B16" s="115" t="s">
        <v>3284</v>
      </c>
      <c r="C16" s="115" t="s">
        <v>3269</v>
      </c>
      <c r="D16" s="115" t="s">
        <v>3281</v>
      </c>
      <c r="E16" s="115" t="s">
        <v>3262</v>
      </c>
      <c r="F16" s="115" t="s">
        <v>3270</v>
      </c>
      <c r="H16" s="119" t="s">
        <v>3282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1</v>
      </c>
      <c r="R16" s="149">
        <v>6</v>
      </c>
      <c r="S16" s="149">
        <v>16</v>
      </c>
      <c r="T16" s="149">
        <v>26</v>
      </c>
      <c r="U16" s="149">
        <v>55</v>
      </c>
      <c r="V16" s="149">
        <v>83</v>
      </c>
      <c r="W16" s="149">
        <v>118</v>
      </c>
      <c r="X16" s="149">
        <v>106</v>
      </c>
      <c r="Y16" s="149">
        <v>129</v>
      </c>
      <c r="Z16" s="149">
        <v>124</v>
      </c>
      <c r="AA16" s="149">
        <v>111</v>
      </c>
      <c r="AB16" s="149">
        <v>118</v>
      </c>
      <c r="AC16" s="149">
        <v>108</v>
      </c>
      <c r="AD16" s="149">
        <v>118</v>
      </c>
      <c r="AE16" s="149">
        <v>0</v>
      </c>
    </row>
    <row r="17" spans="2:31" x14ac:dyDescent="0.35">
      <c r="B17" s="115" t="s">
        <v>3285</v>
      </c>
      <c r="C17" s="115" t="s">
        <v>3272</v>
      </c>
      <c r="D17" s="115" t="s">
        <v>3281</v>
      </c>
      <c r="E17" s="115" t="s">
        <v>3262</v>
      </c>
      <c r="F17" s="115" t="s">
        <v>3273</v>
      </c>
      <c r="H17" s="119" t="s">
        <v>3282</v>
      </c>
      <c r="L17" s="149">
        <v>0</v>
      </c>
      <c r="M17" s="149">
        <v>0</v>
      </c>
      <c r="N17" s="149">
        <v>0</v>
      </c>
      <c r="O17" s="149">
        <v>0</v>
      </c>
      <c r="P17" s="149">
        <v>0</v>
      </c>
      <c r="Q17" s="149">
        <v>0</v>
      </c>
      <c r="R17" s="149">
        <v>0</v>
      </c>
      <c r="S17" s="149">
        <v>5</v>
      </c>
      <c r="T17" s="149">
        <v>10</v>
      </c>
      <c r="U17" s="149">
        <v>16</v>
      </c>
      <c r="V17" s="149">
        <v>117</v>
      </c>
      <c r="W17" s="149">
        <v>123</v>
      </c>
      <c r="X17" s="149">
        <v>102</v>
      </c>
      <c r="Y17" s="149">
        <v>119</v>
      </c>
      <c r="Z17" s="149">
        <v>111</v>
      </c>
      <c r="AA17" s="149">
        <v>101</v>
      </c>
      <c r="AB17" s="149">
        <v>108</v>
      </c>
      <c r="AC17" s="149">
        <v>100</v>
      </c>
      <c r="AD17" s="149">
        <v>110</v>
      </c>
      <c r="AE17" s="149">
        <v>0</v>
      </c>
    </row>
    <row r="18" spans="2:31" x14ac:dyDescent="0.35">
      <c r="B18" s="115" t="s">
        <v>3286</v>
      </c>
      <c r="C18" s="115" t="s">
        <v>3260</v>
      </c>
      <c r="D18" s="115" t="s">
        <v>3287</v>
      </c>
      <c r="E18" s="115" t="s">
        <v>3288</v>
      </c>
      <c r="F18" s="115" t="s">
        <v>3263</v>
      </c>
      <c r="H18" s="119" t="s">
        <v>3289</v>
      </c>
      <c r="L18" s="149">
        <v>0</v>
      </c>
      <c r="M18" s="149">
        <v>-2</v>
      </c>
      <c r="N18" s="149">
        <v>-4</v>
      </c>
      <c r="O18" s="149">
        <v>-5</v>
      </c>
      <c r="P18" s="149">
        <v>-6</v>
      </c>
      <c r="Q18" s="149">
        <v>-23</v>
      </c>
      <c r="R18" s="149">
        <v>1435</v>
      </c>
      <c r="S18" s="149">
        <v>2985</v>
      </c>
      <c r="T18" s="149">
        <v>4549</v>
      </c>
      <c r="U18" s="149">
        <v>6001</v>
      </c>
      <c r="V18" s="149">
        <v>7524</v>
      </c>
      <c r="W18" s="149">
        <v>9319</v>
      </c>
      <c r="X18" s="149">
        <v>10842</v>
      </c>
      <c r="Y18" s="149">
        <v>12518</v>
      </c>
      <c r="Z18" s="149">
        <v>13827</v>
      </c>
      <c r="AA18" s="149">
        <v>15170</v>
      </c>
      <c r="AB18" s="149">
        <v>16438</v>
      </c>
      <c r="AC18" s="149">
        <v>17630</v>
      </c>
      <c r="AD18" s="149">
        <v>18660</v>
      </c>
      <c r="AE18" s="149">
        <v>0</v>
      </c>
    </row>
    <row r="19" spans="2:31" x14ac:dyDescent="0.35">
      <c r="B19" s="115" t="s">
        <v>3290</v>
      </c>
      <c r="C19" s="115" t="s">
        <v>3266</v>
      </c>
      <c r="D19" s="115" t="s">
        <v>3287</v>
      </c>
      <c r="E19" s="115" t="s">
        <v>3288</v>
      </c>
      <c r="F19" s="115" t="s">
        <v>3267</v>
      </c>
      <c r="H19" s="119" t="s">
        <v>3289</v>
      </c>
      <c r="L19" s="149">
        <v>0</v>
      </c>
      <c r="M19" s="149">
        <v>-2</v>
      </c>
      <c r="N19" s="149">
        <v>-4</v>
      </c>
      <c r="O19" s="149">
        <v>-5</v>
      </c>
      <c r="P19" s="149">
        <v>-6</v>
      </c>
      <c r="Q19" s="149">
        <v>-23</v>
      </c>
      <c r="R19" s="149">
        <v>1435</v>
      </c>
      <c r="S19" s="149">
        <v>3018</v>
      </c>
      <c r="T19" s="149">
        <v>4650</v>
      </c>
      <c r="U19" s="149">
        <v>6375</v>
      </c>
      <c r="V19" s="149">
        <v>8212</v>
      </c>
      <c r="W19" s="149">
        <v>10350</v>
      </c>
      <c r="X19" s="149">
        <v>12156</v>
      </c>
      <c r="Y19" s="149">
        <v>14162</v>
      </c>
      <c r="Z19" s="149">
        <v>15856</v>
      </c>
      <c r="AA19" s="149">
        <v>17499</v>
      </c>
      <c r="AB19" s="149">
        <v>19123</v>
      </c>
      <c r="AC19" s="149">
        <v>20631</v>
      </c>
      <c r="AD19" s="149">
        <v>21986</v>
      </c>
      <c r="AE19" s="149">
        <v>0</v>
      </c>
    </row>
    <row r="20" spans="2:31" x14ac:dyDescent="0.35">
      <c r="B20" s="115" t="s">
        <v>3291</v>
      </c>
      <c r="C20" s="115" t="s">
        <v>3269</v>
      </c>
      <c r="D20" s="115" t="s">
        <v>3287</v>
      </c>
      <c r="E20" s="115" t="s">
        <v>3288</v>
      </c>
      <c r="F20" s="115" t="s">
        <v>3270</v>
      </c>
      <c r="H20" s="119" t="s">
        <v>3289</v>
      </c>
      <c r="L20" s="149">
        <v>0</v>
      </c>
      <c r="M20" s="149">
        <v>2</v>
      </c>
      <c r="N20" s="149">
        <v>5</v>
      </c>
      <c r="O20" s="149">
        <v>7</v>
      </c>
      <c r="P20" s="149">
        <v>9</v>
      </c>
      <c r="Q20" s="149">
        <v>22</v>
      </c>
      <c r="R20" s="149">
        <v>152</v>
      </c>
      <c r="S20" s="149">
        <v>477</v>
      </c>
      <c r="T20" s="149">
        <v>1023</v>
      </c>
      <c r="U20" s="149">
        <v>2140</v>
      </c>
      <c r="V20" s="149">
        <v>3814</v>
      </c>
      <c r="W20" s="149">
        <v>6231</v>
      </c>
      <c r="X20" s="149">
        <v>8551</v>
      </c>
      <c r="Y20" s="149">
        <v>11381</v>
      </c>
      <c r="Z20" s="149">
        <v>14218</v>
      </c>
      <c r="AA20" s="149">
        <v>16902</v>
      </c>
      <c r="AB20" s="149">
        <v>19818</v>
      </c>
      <c r="AC20" s="149">
        <v>22565</v>
      </c>
      <c r="AD20" s="149">
        <v>25384</v>
      </c>
      <c r="AE20" s="149">
        <v>0</v>
      </c>
    </row>
    <row r="21" spans="2:31" x14ac:dyDescent="0.35">
      <c r="B21" s="115" t="s">
        <v>3292</v>
      </c>
      <c r="C21" s="115" t="s">
        <v>3272</v>
      </c>
      <c r="D21" s="115" t="s">
        <v>3287</v>
      </c>
      <c r="E21" s="115" t="s">
        <v>3288</v>
      </c>
      <c r="F21" s="115" t="s">
        <v>3273</v>
      </c>
      <c r="H21" s="119" t="s">
        <v>3289</v>
      </c>
      <c r="L21" s="149">
        <v>0</v>
      </c>
      <c r="M21" s="149">
        <v>0</v>
      </c>
      <c r="N21" s="149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112</v>
      </c>
      <c r="T21" s="149">
        <v>326</v>
      </c>
      <c r="U21" s="149">
        <v>663</v>
      </c>
      <c r="V21" s="149">
        <v>2939</v>
      </c>
      <c r="W21" s="149">
        <v>5359</v>
      </c>
      <c r="X21" s="149">
        <v>7484</v>
      </c>
      <c r="Y21" s="149">
        <v>9984</v>
      </c>
      <c r="Z21" s="149">
        <v>12409</v>
      </c>
      <c r="AA21" s="149">
        <v>14737</v>
      </c>
      <c r="AB21" s="149">
        <v>17281</v>
      </c>
      <c r="AC21" s="149">
        <v>19710</v>
      </c>
      <c r="AD21" s="149">
        <v>22213</v>
      </c>
      <c r="AE21" s="149">
        <v>0</v>
      </c>
    </row>
    <row r="22" spans="2:31" x14ac:dyDescent="0.35">
      <c r="B22" s="115" t="s">
        <v>3293</v>
      </c>
      <c r="C22" s="115" t="s">
        <v>3260</v>
      </c>
      <c r="D22" s="115" t="s">
        <v>3294</v>
      </c>
      <c r="E22" s="115" t="s">
        <v>3262</v>
      </c>
      <c r="F22" s="115" t="s">
        <v>3263</v>
      </c>
      <c r="H22" s="119" t="s">
        <v>3295</v>
      </c>
      <c r="L22" s="149">
        <v>64271.06</v>
      </c>
      <c r="M22" s="149">
        <v>65359.22</v>
      </c>
      <c r="N22" s="149">
        <v>68207.960000000006</v>
      </c>
      <c r="O22" s="149">
        <v>72071.63</v>
      </c>
      <c r="P22" s="149">
        <v>74237.56</v>
      </c>
      <c r="Q22" s="149">
        <v>76020.81</v>
      </c>
      <c r="R22" s="149">
        <v>78006.45</v>
      </c>
      <c r="S22" s="149">
        <v>80189.13</v>
      </c>
      <c r="T22" s="149">
        <v>82651</v>
      </c>
      <c r="U22" s="149">
        <v>85545.69</v>
      </c>
      <c r="V22" s="149">
        <v>90724.49</v>
      </c>
      <c r="W22" s="149">
        <v>96340.32</v>
      </c>
      <c r="X22" s="149">
        <v>101167.06</v>
      </c>
      <c r="Y22" s="149">
        <v>106485.14</v>
      </c>
      <c r="Z22" s="149">
        <v>111793.99</v>
      </c>
      <c r="AA22" s="149">
        <v>116629.68</v>
      </c>
      <c r="AB22" s="149">
        <v>121707.95</v>
      </c>
      <c r="AC22" s="149">
        <v>126478.09</v>
      </c>
      <c r="AD22" s="149">
        <v>131348.4</v>
      </c>
      <c r="AE22" s="149">
        <v>0</v>
      </c>
    </row>
    <row r="23" spans="2:31" x14ac:dyDescent="0.35">
      <c r="B23" s="115" t="s">
        <v>3296</v>
      </c>
      <c r="C23" s="115" t="s">
        <v>3266</v>
      </c>
      <c r="D23" s="115" t="s">
        <v>3294</v>
      </c>
      <c r="E23" s="115" t="s">
        <v>3262</v>
      </c>
      <c r="F23" s="115" t="s">
        <v>3267</v>
      </c>
      <c r="H23" s="119" t="s">
        <v>3295</v>
      </c>
      <c r="L23" s="149">
        <v>64271.06</v>
      </c>
      <c r="M23" s="149">
        <v>65359.22</v>
      </c>
      <c r="N23" s="149">
        <v>68207.960000000006</v>
      </c>
      <c r="O23" s="149">
        <v>72071.63</v>
      </c>
      <c r="P23" s="149">
        <v>74237.56</v>
      </c>
      <c r="Q23" s="149">
        <v>76020.81</v>
      </c>
      <c r="R23" s="149">
        <v>78006.45</v>
      </c>
      <c r="S23" s="149">
        <v>80189.13</v>
      </c>
      <c r="T23" s="149">
        <v>82651</v>
      </c>
      <c r="U23" s="149">
        <v>85545.69</v>
      </c>
      <c r="V23" s="149">
        <v>90724.49</v>
      </c>
      <c r="W23" s="149">
        <v>96340.32</v>
      </c>
      <c r="X23" s="149">
        <v>101167.06</v>
      </c>
      <c r="Y23" s="149">
        <v>106485.14</v>
      </c>
      <c r="Z23" s="149">
        <v>111793.99</v>
      </c>
      <c r="AA23" s="149">
        <v>116629.68</v>
      </c>
      <c r="AB23" s="149">
        <v>121707.95</v>
      </c>
      <c r="AC23" s="149">
        <v>126478.09</v>
      </c>
      <c r="AD23" s="149">
        <v>131348.4</v>
      </c>
      <c r="AE23" s="149">
        <v>0</v>
      </c>
    </row>
    <row r="24" spans="2:31" x14ac:dyDescent="0.35">
      <c r="B24" s="115" t="s">
        <v>3297</v>
      </c>
      <c r="C24" s="115" t="s">
        <v>3269</v>
      </c>
      <c r="D24" s="115" t="s">
        <v>3294</v>
      </c>
      <c r="E24" s="115" t="s">
        <v>3262</v>
      </c>
      <c r="F24" s="115" t="s">
        <v>3270</v>
      </c>
      <c r="H24" s="119" t="s">
        <v>3295</v>
      </c>
      <c r="L24" s="149">
        <v>64271.06</v>
      </c>
      <c r="M24" s="149">
        <v>65359.22</v>
      </c>
      <c r="N24" s="149">
        <v>68207.960000000006</v>
      </c>
      <c r="O24" s="149">
        <v>72071.63</v>
      </c>
      <c r="P24" s="149">
        <v>74237.56</v>
      </c>
      <c r="Q24" s="149">
        <v>76020.81</v>
      </c>
      <c r="R24" s="149">
        <v>78006.45</v>
      </c>
      <c r="S24" s="149">
        <v>80189.13</v>
      </c>
      <c r="T24" s="149">
        <v>82651</v>
      </c>
      <c r="U24" s="149">
        <v>85545.69</v>
      </c>
      <c r="V24" s="149">
        <v>90724.49</v>
      </c>
      <c r="W24" s="149">
        <v>96340.32</v>
      </c>
      <c r="X24" s="149">
        <v>101167.06</v>
      </c>
      <c r="Y24" s="149">
        <v>106485.14</v>
      </c>
      <c r="Z24" s="149">
        <v>111793.99</v>
      </c>
      <c r="AA24" s="149">
        <v>116629.68</v>
      </c>
      <c r="AB24" s="149">
        <v>121707.95</v>
      </c>
      <c r="AC24" s="149">
        <v>126478.09</v>
      </c>
      <c r="AD24" s="149">
        <v>131348.4</v>
      </c>
      <c r="AE24" s="149">
        <v>0</v>
      </c>
    </row>
    <row r="25" spans="2:31" x14ac:dyDescent="0.35">
      <c r="B25" s="115" t="s">
        <v>3298</v>
      </c>
      <c r="C25" s="115" t="s">
        <v>3272</v>
      </c>
      <c r="D25" s="115" t="s">
        <v>3294</v>
      </c>
      <c r="E25" s="115" t="s">
        <v>3262</v>
      </c>
      <c r="F25" s="115" t="s">
        <v>3273</v>
      </c>
      <c r="H25" s="119" t="s">
        <v>3295</v>
      </c>
      <c r="L25" s="149">
        <v>64271.06</v>
      </c>
      <c r="M25" s="149">
        <v>65359.22</v>
      </c>
      <c r="N25" s="149">
        <v>68207.960000000006</v>
      </c>
      <c r="O25" s="149">
        <v>72071.63</v>
      </c>
      <c r="P25" s="149">
        <v>74237.56</v>
      </c>
      <c r="Q25" s="149">
        <v>76020.81</v>
      </c>
      <c r="R25" s="149">
        <v>78006.45</v>
      </c>
      <c r="S25" s="149">
        <v>80189.13</v>
      </c>
      <c r="T25" s="149">
        <v>82651</v>
      </c>
      <c r="U25" s="149">
        <v>85545.69</v>
      </c>
      <c r="V25" s="149">
        <v>90724.49</v>
      </c>
      <c r="W25" s="149">
        <v>96340.32</v>
      </c>
      <c r="X25" s="149">
        <v>101167.06</v>
      </c>
      <c r="Y25" s="149">
        <v>106485.14</v>
      </c>
      <c r="Z25" s="149">
        <v>111793.99</v>
      </c>
      <c r="AA25" s="149">
        <v>116629.68</v>
      </c>
      <c r="AB25" s="149">
        <v>121707.95</v>
      </c>
      <c r="AC25" s="149">
        <v>126478.09</v>
      </c>
      <c r="AD25" s="149">
        <v>131348.4</v>
      </c>
      <c r="AE25" s="149">
        <v>0</v>
      </c>
    </row>
    <row r="26" spans="2:31" x14ac:dyDescent="0.35">
      <c r="B26" s="115" t="s">
        <v>3299</v>
      </c>
      <c r="C26" s="115" t="s">
        <v>3260</v>
      </c>
      <c r="D26" s="115" t="s">
        <v>3300</v>
      </c>
      <c r="E26" s="115" t="s">
        <v>2068</v>
      </c>
      <c r="F26" s="115" t="s">
        <v>3263</v>
      </c>
      <c r="H26" s="119" t="s">
        <v>3301</v>
      </c>
      <c r="L26" s="149">
        <v>210.916</v>
      </c>
      <c r="M26" s="149">
        <v>212.84399999999999</v>
      </c>
      <c r="N26" s="149">
        <v>232.29599999999999</v>
      </c>
      <c r="O26" s="149">
        <v>248.97399999999999</v>
      </c>
      <c r="P26" s="149">
        <v>258.928</v>
      </c>
      <c r="Q26" s="149">
        <v>272.54899999999998</v>
      </c>
      <c r="R26" s="149">
        <v>290.72500000000002</v>
      </c>
      <c r="S26" s="149">
        <v>313.33499999999998</v>
      </c>
      <c r="T26" s="149">
        <v>340.66</v>
      </c>
      <c r="U26" s="149">
        <v>377.47399999999999</v>
      </c>
      <c r="V26" s="149">
        <v>432.851</v>
      </c>
      <c r="W26" s="149">
        <v>493.45400000000001</v>
      </c>
      <c r="X26" s="149">
        <v>546.70600000000002</v>
      </c>
      <c r="Y26" s="149">
        <v>606.58500000000004</v>
      </c>
      <c r="Z26" s="149">
        <v>672.81</v>
      </c>
      <c r="AA26" s="149">
        <v>745.99599999999998</v>
      </c>
      <c r="AB26" s="149">
        <v>826.61500000000001</v>
      </c>
      <c r="AC26" s="149">
        <v>915.12199999999996</v>
      </c>
      <c r="AD26" s="149">
        <v>1012.028</v>
      </c>
      <c r="AE26" s="149">
        <v>1116.913</v>
      </c>
    </row>
    <row r="27" spans="2:31" x14ac:dyDescent="0.35">
      <c r="B27" s="115" t="s">
        <v>3302</v>
      </c>
      <c r="C27" s="115" t="s">
        <v>3266</v>
      </c>
      <c r="D27" s="115" t="s">
        <v>3300</v>
      </c>
      <c r="E27" s="115" t="s">
        <v>2068</v>
      </c>
      <c r="F27" s="115" t="s">
        <v>3267</v>
      </c>
      <c r="H27" s="119" t="s">
        <v>3301</v>
      </c>
      <c r="L27" s="149">
        <v>210.916</v>
      </c>
      <c r="M27" s="149">
        <v>212.84399999999999</v>
      </c>
      <c r="N27" s="149">
        <v>232.29599999999999</v>
      </c>
      <c r="O27" s="149">
        <v>248.97399999999999</v>
      </c>
      <c r="P27" s="149">
        <v>258.928</v>
      </c>
      <c r="Q27" s="149">
        <v>272.54899999999998</v>
      </c>
      <c r="R27" s="149">
        <v>290.72500000000002</v>
      </c>
      <c r="S27" s="149">
        <v>313.33499999999998</v>
      </c>
      <c r="T27" s="149">
        <v>340.66</v>
      </c>
      <c r="U27" s="149">
        <v>377.47399999999999</v>
      </c>
      <c r="V27" s="149">
        <v>432.851</v>
      </c>
      <c r="W27" s="149">
        <v>493.45400000000001</v>
      </c>
      <c r="X27" s="149">
        <v>546.70600000000002</v>
      </c>
      <c r="Y27" s="149">
        <v>606.58500000000004</v>
      </c>
      <c r="Z27" s="149">
        <v>672.81</v>
      </c>
      <c r="AA27" s="149">
        <v>745.99599999999998</v>
      </c>
      <c r="AB27" s="149">
        <v>826.61500000000001</v>
      </c>
      <c r="AC27" s="149">
        <v>915.12199999999996</v>
      </c>
      <c r="AD27" s="149">
        <v>1012.028</v>
      </c>
      <c r="AE27" s="149">
        <v>1116.913</v>
      </c>
    </row>
    <row r="28" spans="2:31" x14ac:dyDescent="0.35">
      <c r="B28" s="115" t="s">
        <v>3303</v>
      </c>
      <c r="C28" s="115" t="s">
        <v>3269</v>
      </c>
      <c r="D28" s="115" t="s">
        <v>3300</v>
      </c>
      <c r="E28" s="115" t="s">
        <v>2068</v>
      </c>
      <c r="F28" s="115" t="s">
        <v>3270</v>
      </c>
      <c r="H28" s="119" t="s">
        <v>3301</v>
      </c>
      <c r="L28" s="149">
        <v>210.916</v>
      </c>
      <c r="M28" s="149">
        <v>212.84399999999999</v>
      </c>
      <c r="N28" s="149">
        <v>232.29599999999999</v>
      </c>
      <c r="O28" s="149">
        <v>248.97399999999999</v>
      </c>
      <c r="P28" s="149">
        <v>258.928</v>
      </c>
      <c r="Q28" s="149">
        <v>272.54899999999998</v>
      </c>
      <c r="R28" s="149">
        <v>290.72500000000002</v>
      </c>
      <c r="S28" s="149">
        <v>313.33499999999998</v>
      </c>
      <c r="T28" s="149">
        <v>340.66</v>
      </c>
      <c r="U28" s="149">
        <v>377.47399999999999</v>
      </c>
      <c r="V28" s="149">
        <v>432.851</v>
      </c>
      <c r="W28" s="149">
        <v>493.45400000000001</v>
      </c>
      <c r="X28" s="149">
        <v>546.70600000000002</v>
      </c>
      <c r="Y28" s="149">
        <v>606.58500000000004</v>
      </c>
      <c r="Z28" s="149">
        <v>672.81</v>
      </c>
      <c r="AA28" s="149">
        <v>745.99599999999998</v>
      </c>
      <c r="AB28" s="149">
        <v>826.61500000000001</v>
      </c>
      <c r="AC28" s="149">
        <v>915.12199999999996</v>
      </c>
      <c r="AD28" s="149">
        <v>1012.028</v>
      </c>
      <c r="AE28" s="149">
        <v>1116.913</v>
      </c>
    </row>
    <row r="29" spans="2:31" x14ac:dyDescent="0.35">
      <c r="B29" s="115" t="s">
        <v>3304</v>
      </c>
      <c r="C29" s="115" t="s">
        <v>3272</v>
      </c>
      <c r="D29" s="115" t="s">
        <v>3300</v>
      </c>
      <c r="E29" s="115" t="s">
        <v>2068</v>
      </c>
      <c r="F29" s="115" t="s">
        <v>3273</v>
      </c>
      <c r="H29" s="119" t="s">
        <v>3301</v>
      </c>
      <c r="L29" s="149">
        <v>210.916</v>
      </c>
      <c r="M29" s="149">
        <v>212.84399999999999</v>
      </c>
      <c r="N29" s="149">
        <v>232.29599999999999</v>
      </c>
      <c r="O29" s="149">
        <v>248.97399999999999</v>
      </c>
      <c r="P29" s="149">
        <v>258.928</v>
      </c>
      <c r="Q29" s="149">
        <v>272.54899999999998</v>
      </c>
      <c r="R29" s="149">
        <v>290.72500000000002</v>
      </c>
      <c r="S29" s="149">
        <v>313.33499999999998</v>
      </c>
      <c r="T29" s="149">
        <v>340.66</v>
      </c>
      <c r="U29" s="149">
        <v>377.47399999999999</v>
      </c>
      <c r="V29" s="149">
        <v>432.851</v>
      </c>
      <c r="W29" s="149">
        <v>493.45400000000001</v>
      </c>
      <c r="X29" s="149">
        <v>546.70600000000002</v>
      </c>
      <c r="Y29" s="149">
        <v>606.58500000000004</v>
      </c>
      <c r="Z29" s="149">
        <v>672.81</v>
      </c>
      <c r="AA29" s="149">
        <v>745.99599999999998</v>
      </c>
      <c r="AB29" s="149">
        <v>826.61500000000001</v>
      </c>
      <c r="AC29" s="149">
        <v>915.12199999999996</v>
      </c>
      <c r="AD29" s="149">
        <v>1012.028</v>
      </c>
      <c r="AE29" s="149">
        <v>1116.913</v>
      </c>
    </row>
    <row r="30" spans="2:31" x14ac:dyDescent="0.35">
      <c r="B30" s="115" t="s">
        <v>3305</v>
      </c>
      <c r="C30" s="115" t="s">
        <v>3260</v>
      </c>
      <c r="D30" s="115" t="s">
        <v>3306</v>
      </c>
      <c r="E30" s="115" t="s">
        <v>2068</v>
      </c>
      <c r="F30" s="115" t="s">
        <v>3263</v>
      </c>
      <c r="H30" s="119" t="s">
        <v>3307</v>
      </c>
      <c r="L30" s="149">
        <v>210.916</v>
      </c>
      <c r="M30" s="149">
        <v>212.745</v>
      </c>
      <c r="N30" s="149">
        <v>232.18199999999999</v>
      </c>
      <c r="O30" s="149">
        <v>248.863</v>
      </c>
      <c r="P30" s="149">
        <v>258.81900000000002</v>
      </c>
      <c r="Q30" s="149">
        <v>272.37200000000001</v>
      </c>
      <c r="R30" s="149">
        <v>268.24799999999999</v>
      </c>
      <c r="S30" s="149">
        <v>282.64400000000001</v>
      </c>
      <c r="T30" s="149">
        <v>313.86500000000001</v>
      </c>
      <c r="U30" s="149">
        <v>350.29700000000003</v>
      </c>
      <c r="V30" s="149">
        <v>411.05</v>
      </c>
      <c r="W30" s="149">
        <v>457.202</v>
      </c>
      <c r="X30" s="149">
        <v>508.70600000000002</v>
      </c>
      <c r="Y30" s="149">
        <v>566.58399999999995</v>
      </c>
      <c r="Z30" s="149">
        <v>631.125</v>
      </c>
      <c r="AA30" s="149">
        <v>702.74900000000002</v>
      </c>
      <c r="AB30" s="149">
        <v>781.96699999999998</v>
      </c>
      <c r="AC30" s="149">
        <v>869.24</v>
      </c>
      <c r="AD30" s="149">
        <v>965.01</v>
      </c>
      <c r="AE30" s="149">
        <v>1068.8430000000001</v>
      </c>
    </row>
    <row r="31" spans="2:31" x14ac:dyDescent="0.35">
      <c r="B31" s="115" t="s">
        <v>3308</v>
      </c>
      <c r="C31" s="115" t="s">
        <v>3266</v>
      </c>
      <c r="D31" s="115" t="s">
        <v>3306</v>
      </c>
      <c r="E31" s="115" t="s">
        <v>2068</v>
      </c>
      <c r="F31" s="115" t="s">
        <v>3267</v>
      </c>
      <c r="H31" s="119" t="s">
        <v>3307</v>
      </c>
      <c r="L31" s="149">
        <v>210.916</v>
      </c>
      <c r="M31" s="149">
        <v>212.745</v>
      </c>
      <c r="N31" s="149">
        <v>232.18199999999999</v>
      </c>
      <c r="O31" s="149">
        <v>248.863</v>
      </c>
      <c r="P31" s="149">
        <v>258.81900000000002</v>
      </c>
      <c r="Q31" s="149">
        <v>272.37200000000001</v>
      </c>
      <c r="R31" s="149">
        <v>268.24799999999999</v>
      </c>
      <c r="S31" s="149">
        <v>281.81299999999999</v>
      </c>
      <c r="T31" s="149">
        <v>312.39600000000002</v>
      </c>
      <c r="U31" s="149">
        <v>347.87400000000002</v>
      </c>
      <c r="V31" s="149">
        <v>407.839</v>
      </c>
      <c r="W31" s="149">
        <v>454.24799999999999</v>
      </c>
      <c r="X31" s="149">
        <v>505.08100000000002</v>
      </c>
      <c r="Y31" s="149">
        <v>562.17100000000005</v>
      </c>
      <c r="Z31" s="149">
        <v>625.77700000000004</v>
      </c>
      <c r="AA31" s="149">
        <v>696.22400000000005</v>
      </c>
      <c r="AB31" s="149">
        <v>774.00599999999997</v>
      </c>
      <c r="AC31" s="149">
        <v>859.59199999999998</v>
      </c>
      <c r="AD31" s="149">
        <v>953.47299999999996</v>
      </c>
      <c r="AE31" s="149">
        <v>1055.258</v>
      </c>
    </row>
    <row r="32" spans="2:31" x14ac:dyDescent="0.35">
      <c r="B32" s="115" t="s">
        <v>3309</v>
      </c>
      <c r="C32" s="115" t="s">
        <v>3269</v>
      </c>
      <c r="D32" s="115" t="s">
        <v>3306</v>
      </c>
      <c r="E32" s="115" t="s">
        <v>2068</v>
      </c>
      <c r="F32" s="115" t="s">
        <v>3270</v>
      </c>
      <c r="H32" s="119" t="s">
        <v>3307</v>
      </c>
      <c r="L32" s="149">
        <v>210.916</v>
      </c>
      <c r="M32" s="149">
        <v>212.84</v>
      </c>
      <c r="N32" s="149">
        <v>232.291</v>
      </c>
      <c r="O32" s="149">
        <v>248.97</v>
      </c>
      <c r="P32" s="149">
        <v>258.92399999999998</v>
      </c>
      <c r="Q32" s="149">
        <v>272.51</v>
      </c>
      <c r="R32" s="149">
        <v>287.22500000000002</v>
      </c>
      <c r="S32" s="149">
        <v>304.67500000000001</v>
      </c>
      <c r="T32" s="149">
        <v>327.45299999999997</v>
      </c>
      <c r="U32" s="149">
        <v>359.86900000000003</v>
      </c>
      <c r="V32" s="149">
        <v>415.78300000000002</v>
      </c>
      <c r="W32" s="149">
        <v>455.00599999999997</v>
      </c>
      <c r="X32" s="149">
        <v>499.99299999999999</v>
      </c>
      <c r="Y32" s="149">
        <v>550.89800000000002</v>
      </c>
      <c r="Z32" s="149">
        <v>608.03700000000003</v>
      </c>
      <c r="AA32" s="149">
        <v>671.65599999999995</v>
      </c>
      <c r="AB32" s="149">
        <v>742.31700000000001</v>
      </c>
      <c r="AC32" s="149">
        <v>820.52099999999996</v>
      </c>
      <c r="AD32" s="149">
        <v>906.79499999999996</v>
      </c>
      <c r="AE32" s="149">
        <v>1000.808</v>
      </c>
    </row>
    <row r="33" spans="2:31" x14ac:dyDescent="0.35">
      <c r="B33" s="115" t="s">
        <v>3310</v>
      </c>
      <c r="C33" s="115" t="s">
        <v>3272</v>
      </c>
      <c r="D33" s="115" t="s">
        <v>3306</v>
      </c>
      <c r="E33" s="115" t="s">
        <v>2068</v>
      </c>
      <c r="F33" s="115" t="s">
        <v>3273</v>
      </c>
      <c r="H33" s="119" t="s">
        <v>3307</v>
      </c>
      <c r="L33" s="149">
        <v>210.916</v>
      </c>
      <c r="M33" s="149">
        <v>212.84399999999999</v>
      </c>
      <c r="N33" s="149">
        <v>232.29599999999999</v>
      </c>
      <c r="O33" s="149">
        <v>248.97399999999999</v>
      </c>
      <c r="P33" s="149">
        <v>258.928</v>
      </c>
      <c r="Q33" s="149">
        <v>272.54899999999998</v>
      </c>
      <c r="R33" s="149">
        <v>290.72500000000002</v>
      </c>
      <c r="S33" s="149">
        <v>306.86500000000001</v>
      </c>
      <c r="T33" s="149">
        <v>330.99</v>
      </c>
      <c r="U33" s="149">
        <v>364.77699999999999</v>
      </c>
      <c r="V33" s="149">
        <v>410.34800000000001</v>
      </c>
      <c r="W33" s="149">
        <v>473.58</v>
      </c>
      <c r="X33" s="149">
        <v>522.28200000000004</v>
      </c>
      <c r="Y33" s="149">
        <v>576.55700000000002</v>
      </c>
      <c r="Z33" s="149">
        <v>636.44600000000003</v>
      </c>
      <c r="AA33" s="149">
        <v>702.58100000000002</v>
      </c>
      <c r="AB33" s="149">
        <v>775.63699999999994</v>
      </c>
      <c r="AC33" s="149">
        <v>856.42899999999997</v>
      </c>
      <c r="AD33" s="149">
        <v>946.00400000000002</v>
      </c>
      <c r="AE33" s="149">
        <v>1041.741</v>
      </c>
    </row>
    <row r="34" spans="2:31" x14ac:dyDescent="0.35">
      <c r="B34" s="115" t="s">
        <v>3311</v>
      </c>
      <c r="C34" s="115" t="s">
        <v>3260</v>
      </c>
      <c r="D34" s="115" t="s">
        <v>3312</v>
      </c>
      <c r="E34" s="115" t="s">
        <v>2068</v>
      </c>
      <c r="F34" s="115" t="s">
        <v>3263</v>
      </c>
      <c r="H34" s="119" t="s">
        <v>3313</v>
      </c>
      <c r="L34" s="149">
        <v>59.633000000000003</v>
      </c>
      <c r="M34" s="149">
        <v>58.890999999999998</v>
      </c>
      <c r="N34" s="149">
        <v>69.841999999999999</v>
      </c>
      <c r="O34" s="149">
        <v>75.484999999999999</v>
      </c>
      <c r="P34" s="149">
        <v>77.64</v>
      </c>
      <c r="Q34" s="149">
        <v>80.161000000000001</v>
      </c>
      <c r="R34" s="149">
        <v>83.221000000000004</v>
      </c>
      <c r="S34" s="149">
        <v>86.179000000000002</v>
      </c>
      <c r="T34" s="149">
        <v>88.972999999999999</v>
      </c>
      <c r="U34" s="149">
        <v>91.808000000000007</v>
      </c>
      <c r="V34" s="149">
        <v>94.674000000000007</v>
      </c>
      <c r="W34" s="149">
        <v>97.59</v>
      </c>
      <c r="X34" s="149">
        <v>100.55800000000001</v>
      </c>
      <c r="Y34" s="149">
        <v>103.575</v>
      </c>
      <c r="Z34" s="149">
        <v>106.643</v>
      </c>
      <c r="AA34" s="149">
        <v>109.76</v>
      </c>
      <c r="AB34" s="149">
        <v>112.926</v>
      </c>
      <c r="AC34" s="149">
        <v>116.14100000000001</v>
      </c>
      <c r="AD34" s="149">
        <v>119.404</v>
      </c>
      <c r="AE34" s="149">
        <v>122.714</v>
      </c>
    </row>
    <row r="35" spans="2:31" x14ac:dyDescent="0.35">
      <c r="B35" s="115" t="s">
        <v>3314</v>
      </c>
      <c r="C35" s="115" t="s">
        <v>3266</v>
      </c>
      <c r="D35" s="115" t="s">
        <v>3312</v>
      </c>
      <c r="E35" s="115" t="s">
        <v>2068</v>
      </c>
      <c r="F35" s="115" t="s">
        <v>3267</v>
      </c>
      <c r="H35" s="119" t="s">
        <v>3313</v>
      </c>
      <c r="L35" s="149">
        <v>59.633000000000003</v>
      </c>
      <c r="M35" s="149">
        <v>58.890999999999998</v>
      </c>
      <c r="N35" s="149">
        <v>69.841999999999999</v>
      </c>
      <c r="O35" s="149">
        <v>75.484999999999999</v>
      </c>
      <c r="P35" s="149">
        <v>77.64</v>
      </c>
      <c r="Q35" s="149">
        <v>80.161000000000001</v>
      </c>
      <c r="R35" s="149">
        <v>83.221000000000004</v>
      </c>
      <c r="S35" s="149">
        <v>86.179000000000002</v>
      </c>
      <c r="T35" s="149">
        <v>88.972999999999999</v>
      </c>
      <c r="U35" s="149">
        <v>91.808000000000007</v>
      </c>
      <c r="V35" s="149">
        <v>94.674000000000007</v>
      </c>
      <c r="W35" s="149">
        <v>97.59</v>
      </c>
      <c r="X35" s="149">
        <v>100.55800000000001</v>
      </c>
      <c r="Y35" s="149">
        <v>103.575</v>
      </c>
      <c r="Z35" s="149">
        <v>106.643</v>
      </c>
      <c r="AA35" s="149">
        <v>109.76</v>
      </c>
      <c r="AB35" s="149">
        <v>112.926</v>
      </c>
      <c r="AC35" s="149">
        <v>116.14100000000001</v>
      </c>
      <c r="AD35" s="149">
        <v>119.404</v>
      </c>
      <c r="AE35" s="149">
        <v>122.714</v>
      </c>
    </row>
    <row r="36" spans="2:31" x14ac:dyDescent="0.35">
      <c r="B36" s="115" t="s">
        <v>3315</v>
      </c>
      <c r="C36" s="115" t="s">
        <v>3269</v>
      </c>
      <c r="D36" s="115" t="s">
        <v>3312</v>
      </c>
      <c r="E36" s="115" t="s">
        <v>2068</v>
      </c>
      <c r="F36" s="115" t="s">
        <v>3270</v>
      </c>
      <c r="H36" s="119" t="s">
        <v>3313</v>
      </c>
      <c r="L36" s="149">
        <v>59.633000000000003</v>
      </c>
      <c r="M36" s="149">
        <v>58.890999999999998</v>
      </c>
      <c r="N36" s="149">
        <v>69.841999999999999</v>
      </c>
      <c r="O36" s="149">
        <v>75.484999999999999</v>
      </c>
      <c r="P36" s="149">
        <v>77.64</v>
      </c>
      <c r="Q36" s="149">
        <v>80.161000000000001</v>
      </c>
      <c r="R36" s="149">
        <v>83.221000000000004</v>
      </c>
      <c r="S36" s="149">
        <v>86.179000000000002</v>
      </c>
      <c r="T36" s="149">
        <v>88.972999999999999</v>
      </c>
      <c r="U36" s="149">
        <v>91.808000000000007</v>
      </c>
      <c r="V36" s="149">
        <v>94.674000000000007</v>
      </c>
      <c r="W36" s="149">
        <v>97.59</v>
      </c>
      <c r="X36" s="149">
        <v>100.55800000000001</v>
      </c>
      <c r="Y36" s="149">
        <v>103.575</v>
      </c>
      <c r="Z36" s="149">
        <v>106.643</v>
      </c>
      <c r="AA36" s="149">
        <v>109.76</v>
      </c>
      <c r="AB36" s="149">
        <v>112.926</v>
      </c>
      <c r="AC36" s="149">
        <v>116.14100000000001</v>
      </c>
      <c r="AD36" s="149">
        <v>119.404</v>
      </c>
      <c r="AE36" s="149">
        <v>122.714</v>
      </c>
    </row>
    <row r="37" spans="2:31" x14ac:dyDescent="0.35">
      <c r="B37" s="115" t="s">
        <v>3316</v>
      </c>
      <c r="C37" s="115" t="s">
        <v>3272</v>
      </c>
      <c r="D37" s="115" t="s">
        <v>3312</v>
      </c>
      <c r="E37" s="115" t="s">
        <v>2068</v>
      </c>
      <c r="F37" s="115" t="s">
        <v>3273</v>
      </c>
      <c r="H37" s="119" t="s">
        <v>3313</v>
      </c>
      <c r="L37" s="149">
        <v>59.633000000000003</v>
      </c>
      <c r="M37" s="149">
        <v>58.890999999999998</v>
      </c>
      <c r="N37" s="149">
        <v>69.841999999999999</v>
      </c>
      <c r="O37" s="149">
        <v>75.484999999999999</v>
      </c>
      <c r="P37" s="149">
        <v>77.64</v>
      </c>
      <c r="Q37" s="149">
        <v>80.161000000000001</v>
      </c>
      <c r="R37" s="149">
        <v>83.221000000000004</v>
      </c>
      <c r="S37" s="149">
        <v>86.179000000000002</v>
      </c>
      <c r="T37" s="149">
        <v>88.972999999999999</v>
      </c>
      <c r="U37" s="149">
        <v>91.808000000000007</v>
      </c>
      <c r="V37" s="149">
        <v>94.674000000000007</v>
      </c>
      <c r="W37" s="149">
        <v>97.59</v>
      </c>
      <c r="X37" s="149">
        <v>100.55800000000001</v>
      </c>
      <c r="Y37" s="149">
        <v>103.575</v>
      </c>
      <c r="Z37" s="149">
        <v>106.643</v>
      </c>
      <c r="AA37" s="149">
        <v>109.76</v>
      </c>
      <c r="AB37" s="149">
        <v>112.926</v>
      </c>
      <c r="AC37" s="149">
        <v>116.14100000000001</v>
      </c>
      <c r="AD37" s="149">
        <v>119.404</v>
      </c>
      <c r="AE37" s="149">
        <v>122.714</v>
      </c>
    </row>
    <row r="38" spans="2:31" x14ac:dyDescent="0.35">
      <c r="B38" s="115" t="s">
        <v>3317</v>
      </c>
      <c r="C38" s="115" t="s">
        <v>3260</v>
      </c>
      <c r="D38" s="115" t="s">
        <v>3318</v>
      </c>
      <c r="E38" s="115" t="s">
        <v>2068</v>
      </c>
      <c r="F38" s="115" t="s">
        <v>3263</v>
      </c>
      <c r="H38" s="119" t="s">
        <v>3319</v>
      </c>
      <c r="L38" s="149">
        <v>59.633000000000003</v>
      </c>
      <c r="M38" s="149">
        <v>58.890999999999998</v>
      </c>
      <c r="N38" s="149">
        <v>69.841999999999999</v>
      </c>
      <c r="O38" s="149">
        <v>75.484999999999999</v>
      </c>
      <c r="P38" s="149">
        <v>77.64</v>
      </c>
      <c r="Q38" s="149">
        <v>80.161000000000001</v>
      </c>
      <c r="R38" s="149">
        <v>70.804000000000002</v>
      </c>
      <c r="S38" s="149">
        <v>73.956000000000003</v>
      </c>
      <c r="T38" s="149">
        <v>76.599999999999994</v>
      </c>
      <c r="U38" s="149">
        <v>79.183000000000007</v>
      </c>
      <c r="V38" s="149">
        <v>81.760999999999996</v>
      </c>
      <c r="W38" s="149">
        <v>84.451999999999998</v>
      </c>
      <c r="X38" s="149">
        <v>87.32</v>
      </c>
      <c r="Y38" s="149">
        <v>90.337000000000003</v>
      </c>
      <c r="Z38" s="149">
        <v>93.534000000000006</v>
      </c>
      <c r="AA38" s="149">
        <v>96.991</v>
      </c>
      <c r="AB38" s="149">
        <v>100.696</v>
      </c>
      <c r="AC38" s="149">
        <v>104.649</v>
      </c>
      <c r="AD38" s="149">
        <v>108.792</v>
      </c>
      <c r="AE38" s="149">
        <v>113.107</v>
      </c>
    </row>
    <row r="39" spans="2:31" x14ac:dyDescent="0.35">
      <c r="B39" s="115" t="s">
        <v>3320</v>
      </c>
      <c r="C39" s="115" t="s">
        <v>3266</v>
      </c>
      <c r="D39" s="115" t="s">
        <v>3318</v>
      </c>
      <c r="E39" s="115" t="s">
        <v>2068</v>
      </c>
      <c r="F39" s="115" t="s">
        <v>3267</v>
      </c>
      <c r="H39" s="119" t="s">
        <v>3319</v>
      </c>
      <c r="L39" s="149">
        <v>59.633000000000003</v>
      </c>
      <c r="M39" s="149">
        <v>58.890999999999998</v>
      </c>
      <c r="N39" s="149">
        <v>69.841999999999999</v>
      </c>
      <c r="O39" s="149">
        <v>75.484999999999999</v>
      </c>
      <c r="P39" s="149">
        <v>77.64</v>
      </c>
      <c r="Q39" s="149">
        <v>80.161000000000001</v>
      </c>
      <c r="R39" s="149">
        <v>70.804000000000002</v>
      </c>
      <c r="S39" s="149">
        <v>73.650999999999996</v>
      </c>
      <c r="T39" s="149">
        <v>75.971000000000004</v>
      </c>
      <c r="U39" s="149">
        <v>78.260999999999996</v>
      </c>
      <c r="V39" s="149">
        <v>80.557000000000002</v>
      </c>
      <c r="W39" s="149">
        <v>82.918999999999997</v>
      </c>
      <c r="X39" s="149">
        <v>85.331999999999994</v>
      </c>
      <c r="Y39" s="149">
        <v>87.792000000000002</v>
      </c>
      <c r="Z39" s="149">
        <v>90.325999999999993</v>
      </c>
      <c r="AA39" s="149">
        <v>92.942999999999998</v>
      </c>
      <c r="AB39" s="149">
        <v>95.608999999999995</v>
      </c>
      <c r="AC39" s="149">
        <v>98.332999999999998</v>
      </c>
      <c r="AD39" s="149">
        <v>101.10299999999999</v>
      </c>
      <c r="AE39" s="149">
        <v>103.938</v>
      </c>
    </row>
    <row r="40" spans="2:31" x14ac:dyDescent="0.35">
      <c r="B40" s="115" t="s">
        <v>3321</v>
      </c>
      <c r="C40" s="115" t="s">
        <v>3269</v>
      </c>
      <c r="D40" s="115" t="s">
        <v>3318</v>
      </c>
      <c r="E40" s="115" t="s">
        <v>2068</v>
      </c>
      <c r="F40" s="115" t="s">
        <v>3270</v>
      </c>
      <c r="H40" s="119" t="s">
        <v>3319</v>
      </c>
      <c r="L40" s="149">
        <v>59.633000000000003</v>
      </c>
      <c r="M40" s="149">
        <v>58.890999999999998</v>
      </c>
      <c r="N40" s="149">
        <v>69.841999999999999</v>
      </c>
      <c r="O40" s="149">
        <v>75.484999999999999</v>
      </c>
      <c r="P40" s="149">
        <v>77.64</v>
      </c>
      <c r="Q40" s="149">
        <v>80.161000000000001</v>
      </c>
      <c r="R40" s="149">
        <v>80.869</v>
      </c>
      <c r="S40" s="149">
        <v>80.591999999999999</v>
      </c>
      <c r="T40" s="149">
        <v>80.421999999999997</v>
      </c>
      <c r="U40" s="149">
        <v>79.105999999999995</v>
      </c>
      <c r="V40" s="149">
        <v>77.641000000000005</v>
      </c>
      <c r="W40" s="149">
        <v>76.646000000000001</v>
      </c>
      <c r="X40" s="149">
        <v>76</v>
      </c>
      <c r="Y40" s="149">
        <v>75.599999999999994</v>
      </c>
      <c r="Z40" s="149">
        <v>75.415000000000006</v>
      </c>
      <c r="AA40" s="149">
        <v>75.397999999999996</v>
      </c>
      <c r="AB40" s="149">
        <v>75.537000000000006</v>
      </c>
      <c r="AC40" s="149">
        <v>75.813999999999993</v>
      </c>
      <c r="AD40" s="149">
        <v>76.204999999999998</v>
      </c>
      <c r="AE40" s="149">
        <v>76.695999999999998</v>
      </c>
    </row>
    <row r="41" spans="2:31" x14ac:dyDescent="0.35">
      <c r="B41" s="115" t="s">
        <v>3322</v>
      </c>
      <c r="C41" s="115" t="s">
        <v>3272</v>
      </c>
      <c r="D41" s="115" t="s">
        <v>3318</v>
      </c>
      <c r="E41" s="115" t="s">
        <v>2068</v>
      </c>
      <c r="F41" s="115" t="s">
        <v>3273</v>
      </c>
      <c r="H41" s="119" t="s">
        <v>3319</v>
      </c>
      <c r="L41" s="149">
        <v>59.633000000000003</v>
      </c>
      <c r="M41" s="149">
        <v>58.890999999999998</v>
      </c>
      <c r="N41" s="149">
        <v>69.841999999999999</v>
      </c>
      <c r="O41" s="149">
        <v>75.484999999999999</v>
      </c>
      <c r="P41" s="149">
        <v>77.64</v>
      </c>
      <c r="Q41" s="149">
        <v>80.161000000000001</v>
      </c>
      <c r="R41" s="149">
        <v>83.221000000000004</v>
      </c>
      <c r="S41" s="149">
        <v>86.213999999999999</v>
      </c>
      <c r="T41" s="149">
        <v>89.084000000000003</v>
      </c>
      <c r="U41" s="149">
        <v>92.027000000000001</v>
      </c>
      <c r="V41" s="149">
        <v>95.037999999999997</v>
      </c>
      <c r="W41" s="149">
        <v>98.183999999999997</v>
      </c>
      <c r="X41" s="149">
        <v>101.495</v>
      </c>
      <c r="Y41" s="149">
        <v>105.11</v>
      </c>
      <c r="Z41" s="149">
        <v>109.17100000000001</v>
      </c>
      <c r="AA41" s="149">
        <v>113.929</v>
      </c>
      <c r="AB41" s="149">
        <v>119.69499999999999</v>
      </c>
      <c r="AC41" s="149">
        <v>126.896</v>
      </c>
      <c r="AD41" s="149">
        <v>136.14500000000001</v>
      </c>
      <c r="AE41" s="149">
        <v>145.66</v>
      </c>
    </row>
    <row r="42" spans="2:31" x14ac:dyDescent="0.35">
      <c r="B42" s="115" t="s">
        <v>3323</v>
      </c>
      <c r="C42" s="115" t="s">
        <v>3260</v>
      </c>
      <c r="D42" s="115" t="s">
        <v>3324</v>
      </c>
      <c r="E42" s="115" t="s">
        <v>2068</v>
      </c>
      <c r="F42" s="115" t="s">
        <v>3263</v>
      </c>
      <c r="H42" s="119" t="s">
        <v>3325</v>
      </c>
      <c r="L42" s="149">
        <v>82.215000000000003</v>
      </c>
      <c r="M42" s="149">
        <v>78.986000000000004</v>
      </c>
      <c r="N42" s="149">
        <v>91.822999999999993</v>
      </c>
      <c r="O42" s="149">
        <v>97.046000000000006</v>
      </c>
      <c r="P42" s="149">
        <v>95.462000000000003</v>
      </c>
      <c r="Q42" s="149">
        <v>95.796999999999997</v>
      </c>
      <c r="R42" s="149">
        <v>98.438999999999993</v>
      </c>
      <c r="S42" s="149">
        <v>103.59699999999999</v>
      </c>
      <c r="T42" s="149">
        <v>110.247</v>
      </c>
      <c r="U42" s="149">
        <v>121.81699999999999</v>
      </c>
      <c r="V42" s="149">
        <v>147.38800000000001</v>
      </c>
      <c r="W42" s="149">
        <v>174.428</v>
      </c>
      <c r="X42" s="149">
        <v>190.286</v>
      </c>
      <c r="Y42" s="149">
        <v>208.51400000000001</v>
      </c>
      <c r="Z42" s="149">
        <v>229.43600000000001</v>
      </c>
      <c r="AA42" s="149">
        <v>253.41900000000001</v>
      </c>
      <c r="AB42" s="149">
        <v>280.88400000000001</v>
      </c>
      <c r="AC42" s="149">
        <v>312.30799999999999</v>
      </c>
      <c r="AD42" s="149">
        <v>348.23500000000001</v>
      </c>
      <c r="AE42" s="149">
        <v>389.28500000000003</v>
      </c>
    </row>
    <row r="43" spans="2:31" x14ac:dyDescent="0.35">
      <c r="B43" s="115" t="s">
        <v>3326</v>
      </c>
      <c r="C43" s="115" t="s">
        <v>3266</v>
      </c>
      <c r="D43" s="115" t="s">
        <v>3324</v>
      </c>
      <c r="E43" s="115" t="s">
        <v>2068</v>
      </c>
      <c r="F43" s="115" t="s">
        <v>3267</v>
      </c>
      <c r="H43" s="119" t="s">
        <v>3325</v>
      </c>
      <c r="L43" s="149">
        <v>82.215000000000003</v>
      </c>
      <c r="M43" s="149">
        <v>78.986000000000004</v>
      </c>
      <c r="N43" s="149">
        <v>91.822999999999993</v>
      </c>
      <c r="O43" s="149">
        <v>97.046000000000006</v>
      </c>
      <c r="P43" s="149">
        <v>95.462000000000003</v>
      </c>
      <c r="Q43" s="149">
        <v>95.796999999999997</v>
      </c>
      <c r="R43" s="149">
        <v>98.438999999999993</v>
      </c>
      <c r="S43" s="149">
        <v>103.59699999999999</v>
      </c>
      <c r="T43" s="149">
        <v>110.247</v>
      </c>
      <c r="U43" s="149">
        <v>121.81699999999999</v>
      </c>
      <c r="V43" s="149">
        <v>147.38800000000001</v>
      </c>
      <c r="W43" s="149">
        <v>174.428</v>
      </c>
      <c r="X43" s="149">
        <v>190.286</v>
      </c>
      <c r="Y43" s="149">
        <v>208.51400000000001</v>
      </c>
      <c r="Z43" s="149">
        <v>229.43600000000001</v>
      </c>
      <c r="AA43" s="149">
        <v>253.41900000000001</v>
      </c>
      <c r="AB43" s="149">
        <v>280.88400000000001</v>
      </c>
      <c r="AC43" s="149">
        <v>312.30799999999999</v>
      </c>
      <c r="AD43" s="149">
        <v>348.23500000000001</v>
      </c>
      <c r="AE43" s="149">
        <v>389.28500000000003</v>
      </c>
    </row>
    <row r="44" spans="2:31" x14ac:dyDescent="0.35">
      <c r="B44" s="115" t="s">
        <v>3327</v>
      </c>
      <c r="C44" s="115" t="s">
        <v>3269</v>
      </c>
      <c r="D44" s="115" t="s">
        <v>3324</v>
      </c>
      <c r="E44" s="115" t="s">
        <v>2068</v>
      </c>
      <c r="F44" s="115" t="s">
        <v>3270</v>
      </c>
      <c r="H44" s="119" t="s">
        <v>3325</v>
      </c>
      <c r="L44" s="149">
        <v>82.215000000000003</v>
      </c>
      <c r="M44" s="149">
        <v>78.986000000000004</v>
      </c>
      <c r="N44" s="149">
        <v>91.822999999999993</v>
      </c>
      <c r="O44" s="149">
        <v>97.046000000000006</v>
      </c>
      <c r="P44" s="149">
        <v>95.462000000000003</v>
      </c>
      <c r="Q44" s="149">
        <v>95.796999999999997</v>
      </c>
      <c r="R44" s="149">
        <v>98.438999999999993</v>
      </c>
      <c r="S44" s="149">
        <v>103.59699999999999</v>
      </c>
      <c r="T44" s="149">
        <v>110.247</v>
      </c>
      <c r="U44" s="149">
        <v>121.81699999999999</v>
      </c>
      <c r="V44" s="149">
        <v>147.38800000000001</v>
      </c>
      <c r="W44" s="149">
        <v>174.428</v>
      </c>
      <c r="X44" s="149">
        <v>190.286</v>
      </c>
      <c r="Y44" s="149">
        <v>208.51400000000001</v>
      </c>
      <c r="Z44" s="149">
        <v>229.43600000000001</v>
      </c>
      <c r="AA44" s="149">
        <v>253.41900000000001</v>
      </c>
      <c r="AB44" s="149">
        <v>280.88400000000001</v>
      </c>
      <c r="AC44" s="149">
        <v>312.30799999999999</v>
      </c>
      <c r="AD44" s="149">
        <v>348.23500000000001</v>
      </c>
      <c r="AE44" s="149">
        <v>389.28500000000003</v>
      </c>
    </row>
    <row r="45" spans="2:31" x14ac:dyDescent="0.35">
      <c r="B45" s="115" t="s">
        <v>3328</v>
      </c>
      <c r="C45" s="115" t="s">
        <v>3272</v>
      </c>
      <c r="D45" s="115" t="s">
        <v>3324</v>
      </c>
      <c r="E45" s="115" t="s">
        <v>2068</v>
      </c>
      <c r="F45" s="115" t="s">
        <v>3273</v>
      </c>
      <c r="H45" s="119" t="s">
        <v>3325</v>
      </c>
      <c r="L45" s="149">
        <v>82.215000000000003</v>
      </c>
      <c r="M45" s="149">
        <v>78.986000000000004</v>
      </c>
      <c r="N45" s="149">
        <v>91.822999999999993</v>
      </c>
      <c r="O45" s="149">
        <v>97.046000000000006</v>
      </c>
      <c r="P45" s="149">
        <v>95.462000000000003</v>
      </c>
      <c r="Q45" s="149">
        <v>95.796999999999997</v>
      </c>
      <c r="R45" s="149">
        <v>98.438999999999993</v>
      </c>
      <c r="S45" s="149">
        <v>103.59699999999999</v>
      </c>
      <c r="T45" s="149">
        <v>110.247</v>
      </c>
      <c r="U45" s="149">
        <v>121.81699999999999</v>
      </c>
      <c r="V45" s="149">
        <v>147.38800000000001</v>
      </c>
      <c r="W45" s="149">
        <v>174.428</v>
      </c>
      <c r="X45" s="149">
        <v>190.286</v>
      </c>
      <c r="Y45" s="149">
        <v>208.51400000000001</v>
      </c>
      <c r="Z45" s="149">
        <v>229.43600000000001</v>
      </c>
      <c r="AA45" s="149">
        <v>253.41900000000001</v>
      </c>
      <c r="AB45" s="149">
        <v>280.88400000000001</v>
      </c>
      <c r="AC45" s="149">
        <v>312.30799999999999</v>
      </c>
      <c r="AD45" s="149">
        <v>348.23500000000001</v>
      </c>
      <c r="AE45" s="149">
        <v>389.28500000000003</v>
      </c>
    </row>
    <row r="46" spans="2:31" x14ac:dyDescent="0.35">
      <c r="B46" s="115" t="s">
        <v>3329</v>
      </c>
      <c r="C46" s="115" t="s">
        <v>3260</v>
      </c>
      <c r="D46" s="115" t="s">
        <v>3330</v>
      </c>
      <c r="E46" s="115" t="s">
        <v>2068</v>
      </c>
      <c r="F46" s="115" t="s">
        <v>3263</v>
      </c>
      <c r="H46" s="119" t="s">
        <v>3331</v>
      </c>
      <c r="L46" s="149">
        <v>82.215000000000003</v>
      </c>
      <c r="M46" s="149">
        <v>78.887</v>
      </c>
      <c r="N46" s="149">
        <v>91.709000000000003</v>
      </c>
      <c r="O46" s="149">
        <v>96.935000000000002</v>
      </c>
      <c r="P46" s="149">
        <v>95.352000000000004</v>
      </c>
      <c r="Q46" s="149">
        <v>95.62</v>
      </c>
      <c r="R46" s="149">
        <v>98.668999999999997</v>
      </c>
      <c r="S46" s="149">
        <v>96.745000000000005</v>
      </c>
      <c r="T46" s="149">
        <v>108.517</v>
      </c>
      <c r="U46" s="149">
        <v>121.313</v>
      </c>
      <c r="V46" s="149">
        <v>153.834</v>
      </c>
      <c r="W46" s="149">
        <v>168.22</v>
      </c>
      <c r="X46" s="149">
        <v>183.80699999999999</v>
      </c>
      <c r="Y46" s="149">
        <v>201.71700000000001</v>
      </c>
      <c r="Z46" s="149">
        <v>222.27</v>
      </c>
      <c r="AA46" s="149">
        <v>245.82599999999999</v>
      </c>
      <c r="AB46" s="149">
        <v>272.79700000000003</v>
      </c>
      <c r="AC46" s="149">
        <v>303.65100000000001</v>
      </c>
      <c r="AD46" s="149">
        <v>338.92200000000003</v>
      </c>
      <c r="AE46" s="149">
        <v>379.21800000000002</v>
      </c>
    </row>
    <row r="47" spans="2:31" x14ac:dyDescent="0.35">
      <c r="B47" s="115" t="s">
        <v>3332</v>
      </c>
      <c r="C47" s="115" t="s">
        <v>3266</v>
      </c>
      <c r="D47" s="115" t="s">
        <v>3330</v>
      </c>
      <c r="E47" s="115" t="s">
        <v>2068</v>
      </c>
      <c r="F47" s="115" t="s">
        <v>3267</v>
      </c>
      <c r="H47" s="119" t="s">
        <v>3331</v>
      </c>
      <c r="L47" s="149">
        <v>82.215000000000003</v>
      </c>
      <c r="M47" s="149">
        <v>78.887</v>
      </c>
      <c r="N47" s="149">
        <v>91.709000000000003</v>
      </c>
      <c r="O47" s="149">
        <v>96.935000000000002</v>
      </c>
      <c r="P47" s="149">
        <v>95.352000000000004</v>
      </c>
      <c r="Q47" s="149">
        <v>95.62</v>
      </c>
      <c r="R47" s="149">
        <v>98.668999999999997</v>
      </c>
      <c r="S47" s="149">
        <v>96.284000000000006</v>
      </c>
      <c r="T47" s="149">
        <v>107.81100000000001</v>
      </c>
      <c r="U47" s="149">
        <v>120.015</v>
      </c>
      <c r="V47" s="149">
        <v>152.09100000000001</v>
      </c>
      <c r="W47" s="149">
        <v>167.113</v>
      </c>
      <c r="X47" s="149">
        <v>182.58799999999999</v>
      </c>
      <c r="Y47" s="149">
        <v>200.37200000000001</v>
      </c>
      <c r="Z47" s="149">
        <v>220.779</v>
      </c>
      <c r="AA47" s="149">
        <v>244.16900000000001</v>
      </c>
      <c r="AB47" s="149">
        <v>270.94900000000001</v>
      </c>
      <c r="AC47" s="149">
        <v>301.58600000000001</v>
      </c>
      <c r="AD47" s="149">
        <v>336.61</v>
      </c>
      <c r="AE47" s="149">
        <v>376.62299999999999</v>
      </c>
    </row>
    <row r="48" spans="2:31" x14ac:dyDescent="0.35">
      <c r="B48" s="115" t="s">
        <v>3333</v>
      </c>
      <c r="C48" s="115" t="s">
        <v>3269</v>
      </c>
      <c r="D48" s="115" t="s">
        <v>3330</v>
      </c>
      <c r="E48" s="115" t="s">
        <v>2068</v>
      </c>
      <c r="F48" s="115" t="s">
        <v>3270</v>
      </c>
      <c r="H48" s="119" t="s">
        <v>3331</v>
      </c>
      <c r="L48" s="149">
        <v>82.215000000000003</v>
      </c>
      <c r="M48" s="149">
        <v>78.981999999999999</v>
      </c>
      <c r="N48" s="149">
        <v>91.817999999999998</v>
      </c>
      <c r="O48" s="149">
        <v>97.042000000000002</v>
      </c>
      <c r="P48" s="149">
        <v>95.456999999999994</v>
      </c>
      <c r="Q48" s="149">
        <v>95.757999999999996</v>
      </c>
      <c r="R48" s="149">
        <v>98.605000000000004</v>
      </c>
      <c r="S48" s="149">
        <v>104.102</v>
      </c>
      <c r="T48" s="149">
        <v>111.871</v>
      </c>
      <c r="U48" s="149">
        <v>126.583</v>
      </c>
      <c r="V48" s="149">
        <v>160.98099999999999</v>
      </c>
      <c r="W48" s="149">
        <v>175.06299999999999</v>
      </c>
      <c r="X48" s="149">
        <v>191.27099999999999</v>
      </c>
      <c r="Y48" s="149">
        <v>209.89400000000001</v>
      </c>
      <c r="Z48" s="149">
        <v>231.262</v>
      </c>
      <c r="AA48" s="149">
        <v>255.751</v>
      </c>
      <c r="AB48" s="149">
        <v>283.78899999999999</v>
      </c>
      <c r="AC48" s="149">
        <v>315.86099999999999</v>
      </c>
      <c r="AD48" s="149">
        <v>352.524</v>
      </c>
      <c r="AE48" s="149">
        <v>394.40800000000002</v>
      </c>
    </row>
    <row r="49" spans="2:31" x14ac:dyDescent="0.35">
      <c r="B49" s="115" t="s">
        <v>3334</v>
      </c>
      <c r="C49" s="115" t="s">
        <v>3272</v>
      </c>
      <c r="D49" s="115" t="s">
        <v>3330</v>
      </c>
      <c r="E49" s="115" t="s">
        <v>2068</v>
      </c>
      <c r="F49" s="115" t="s">
        <v>3273</v>
      </c>
      <c r="H49" s="119" t="s">
        <v>3331</v>
      </c>
      <c r="L49" s="149">
        <v>82.215000000000003</v>
      </c>
      <c r="M49" s="149">
        <v>78.986000000000004</v>
      </c>
      <c r="N49" s="149">
        <v>91.822999999999993</v>
      </c>
      <c r="O49" s="149">
        <v>97.046000000000006</v>
      </c>
      <c r="P49" s="149">
        <v>95.462000000000003</v>
      </c>
      <c r="Q49" s="149">
        <v>95.796999999999997</v>
      </c>
      <c r="R49" s="149">
        <v>98.438999999999993</v>
      </c>
      <c r="S49" s="149">
        <v>97.522000000000006</v>
      </c>
      <c r="T49" s="149">
        <v>101.613</v>
      </c>
      <c r="U49" s="149">
        <v>111.252</v>
      </c>
      <c r="V49" s="149">
        <v>128.58699999999999</v>
      </c>
      <c r="W49" s="149">
        <v>160.40899999999999</v>
      </c>
      <c r="X49" s="149">
        <v>174.399</v>
      </c>
      <c r="Y49" s="149">
        <v>190.501</v>
      </c>
      <c r="Z49" s="149">
        <v>209.00200000000001</v>
      </c>
      <c r="AA49" s="149">
        <v>230.22800000000001</v>
      </c>
      <c r="AB49" s="149">
        <v>254.554</v>
      </c>
      <c r="AC49" s="149">
        <v>282.404</v>
      </c>
      <c r="AD49" s="149">
        <v>314.262</v>
      </c>
      <c r="AE49" s="149">
        <v>350.67899999999997</v>
      </c>
    </row>
    <row r="50" spans="2:31" x14ac:dyDescent="0.35">
      <c r="B50" s="115" t="s">
        <v>3335</v>
      </c>
      <c r="C50" s="115" t="s">
        <v>3260</v>
      </c>
      <c r="D50" s="115" t="s">
        <v>3336</v>
      </c>
      <c r="E50" s="115" t="s">
        <v>2068</v>
      </c>
      <c r="F50" s="115" t="s">
        <v>3263</v>
      </c>
      <c r="H50" s="119" t="s">
        <v>3337</v>
      </c>
      <c r="L50" s="149">
        <v>15.803000000000001</v>
      </c>
      <c r="M50" s="149">
        <v>17.442</v>
      </c>
      <c r="N50" s="149">
        <v>22.260999999999999</v>
      </c>
      <c r="O50" s="149">
        <v>22.611999999999998</v>
      </c>
      <c r="P50" s="149">
        <v>22.949000000000002</v>
      </c>
      <c r="Q50" s="149">
        <v>23.347999999999999</v>
      </c>
      <c r="R50" s="149">
        <v>23.82</v>
      </c>
      <c r="S50" s="149">
        <v>24.265999999999998</v>
      </c>
      <c r="T50" s="149">
        <v>24.675000000000001</v>
      </c>
      <c r="U50" s="149">
        <v>25.082999999999998</v>
      </c>
      <c r="V50" s="149">
        <v>25.492000000000001</v>
      </c>
      <c r="W50" s="149">
        <v>25.901</v>
      </c>
      <c r="X50" s="149">
        <v>26.311</v>
      </c>
      <c r="Y50" s="149">
        <v>26.72</v>
      </c>
      <c r="Z50" s="149">
        <v>27.13</v>
      </c>
      <c r="AA50" s="149">
        <v>27.54</v>
      </c>
      <c r="AB50" s="149">
        <v>27.95</v>
      </c>
      <c r="AC50" s="149">
        <v>28.36</v>
      </c>
      <c r="AD50" s="149">
        <v>28.768999999999998</v>
      </c>
      <c r="AE50" s="149">
        <v>29.178000000000001</v>
      </c>
    </row>
    <row r="51" spans="2:31" x14ac:dyDescent="0.35">
      <c r="B51" s="115" t="s">
        <v>3338</v>
      </c>
      <c r="C51" s="115" t="s">
        <v>3266</v>
      </c>
      <c r="D51" s="115" t="s">
        <v>3336</v>
      </c>
      <c r="E51" s="115" t="s">
        <v>2068</v>
      </c>
      <c r="F51" s="115" t="s">
        <v>3267</v>
      </c>
      <c r="H51" s="119" t="s">
        <v>3337</v>
      </c>
      <c r="L51" s="149">
        <v>15.803000000000001</v>
      </c>
      <c r="M51" s="149">
        <v>17.442</v>
      </c>
      <c r="N51" s="149">
        <v>22.260999999999999</v>
      </c>
      <c r="O51" s="149">
        <v>22.611999999999998</v>
      </c>
      <c r="P51" s="149">
        <v>22.949000000000002</v>
      </c>
      <c r="Q51" s="149">
        <v>23.347999999999999</v>
      </c>
      <c r="R51" s="149">
        <v>23.82</v>
      </c>
      <c r="S51" s="149">
        <v>24.265999999999998</v>
      </c>
      <c r="T51" s="149">
        <v>24.675000000000001</v>
      </c>
      <c r="U51" s="149">
        <v>25.082999999999998</v>
      </c>
      <c r="V51" s="149">
        <v>25.492000000000001</v>
      </c>
      <c r="W51" s="149">
        <v>25.901</v>
      </c>
      <c r="X51" s="149">
        <v>26.311</v>
      </c>
      <c r="Y51" s="149">
        <v>26.72</v>
      </c>
      <c r="Z51" s="149">
        <v>27.13</v>
      </c>
      <c r="AA51" s="149">
        <v>27.54</v>
      </c>
      <c r="AB51" s="149">
        <v>27.95</v>
      </c>
      <c r="AC51" s="149">
        <v>28.36</v>
      </c>
      <c r="AD51" s="149">
        <v>28.768999999999998</v>
      </c>
      <c r="AE51" s="149">
        <v>29.178000000000001</v>
      </c>
    </row>
    <row r="52" spans="2:31" x14ac:dyDescent="0.35">
      <c r="B52" s="115" t="s">
        <v>3339</v>
      </c>
      <c r="C52" s="115" t="s">
        <v>3269</v>
      </c>
      <c r="D52" s="115" t="s">
        <v>3336</v>
      </c>
      <c r="E52" s="115" t="s">
        <v>2068</v>
      </c>
      <c r="F52" s="115" t="s">
        <v>3270</v>
      </c>
      <c r="H52" s="119" t="s">
        <v>3337</v>
      </c>
      <c r="L52" s="149">
        <v>15.803000000000001</v>
      </c>
      <c r="M52" s="149">
        <v>17.442</v>
      </c>
      <c r="N52" s="149">
        <v>22.260999999999999</v>
      </c>
      <c r="O52" s="149">
        <v>22.611999999999998</v>
      </c>
      <c r="P52" s="149">
        <v>22.949000000000002</v>
      </c>
      <c r="Q52" s="149">
        <v>23.347999999999999</v>
      </c>
      <c r="R52" s="149">
        <v>23.82</v>
      </c>
      <c r="S52" s="149">
        <v>24.265999999999998</v>
      </c>
      <c r="T52" s="149">
        <v>24.675000000000001</v>
      </c>
      <c r="U52" s="149">
        <v>25.082999999999998</v>
      </c>
      <c r="V52" s="149">
        <v>25.492000000000001</v>
      </c>
      <c r="W52" s="149">
        <v>25.901</v>
      </c>
      <c r="X52" s="149">
        <v>26.311</v>
      </c>
      <c r="Y52" s="149">
        <v>26.72</v>
      </c>
      <c r="Z52" s="149">
        <v>27.13</v>
      </c>
      <c r="AA52" s="149">
        <v>27.54</v>
      </c>
      <c r="AB52" s="149">
        <v>27.95</v>
      </c>
      <c r="AC52" s="149">
        <v>28.36</v>
      </c>
      <c r="AD52" s="149">
        <v>28.768999999999998</v>
      </c>
      <c r="AE52" s="149">
        <v>29.178000000000001</v>
      </c>
    </row>
    <row r="53" spans="2:31" x14ac:dyDescent="0.35">
      <c r="B53" s="115" t="s">
        <v>3340</v>
      </c>
      <c r="C53" s="115" t="s">
        <v>3272</v>
      </c>
      <c r="D53" s="115" t="s">
        <v>3336</v>
      </c>
      <c r="E53" s="115" t="s">
        <v>2068</v>
      </c>
      <c r="F53" s="115" t="s">
        <v>3273</v>
      </c>
      <c r="H53" s="119" t="s">
        <v>3337</v>
      </c>
      <c r="L53" s="149">
        <v>15.803000000000001</v>
      </c>
      <c r="M53" s="149">
        <v>17.442</v>
      </c>
      <c r="N53" s="149">
        <v>22.260999999999999</v>
      </c>
      <c r="O53" s="149">
        <v>22.611999999999998</v>
      </c>
      <c r="P53" s="149">
        <v>22.949000000000002</v>
      </c>
      <c r="Q53" s="149">
        <v>23.347999999999999</v>
      </c>
      <c r="R53" s="149">
        <v>23.82</v>
      </c>
      <c r="S53" s="149">
        <v>24.265999999999998</v>
      </c>
      <c r="T53" s="149">
        <v>24.675000000000001</v>
      </c>
      <c r="U53" s="149">
        <v>25.082999999999998</v>
      </c>
      <c r="V53" s="149">
        <v>25.492000000000001</v>
      </c>
      <c r="W53" s="149">
        <v>25.901</v>
      </c>
      <c r="X53" s="149">
        <v>26.311</v>
      </c>
      <c r="Y53" s="149">
        <v>26.72</v>
      </c>
      <c r="Z53" s="149">
        <v>27.13</v>
      </c>
      <c r="AA53" s="149">
        <v>27.54</v>
      </c>
      <c r="AB53" s="149">
        <v>27.95</v>
      </c>
      <c r="AC53" s="149">
        <v>28.36</v>
      </c>
      <c r="AD53" s="149">
        <v>28.768999999999998</v>
      </c>
      <c r="AE53" s="149">
        <v>29.178000000000001</v>
      </c>
    </row>
    <row r="54" spans="2:31" x14ac:dyDescent="0.35">
      <c r="B54" s="115" t="s">
        <v>3341</v>
      </c>
      <c r="C54" s="115" t="s">
        <v>3260</v>
      </c>
      <c r="D54" s="115" t="s">
        <v>3342</v>
      </c>
      <c r="E54" s="115" t="s">
        <v>2068</v>
      </c>
      <c r="F54" s="115" t="s">
        <v>3263</v>
      </c>
      <c r="H54" s="119" t="s">
        <v>3343</v>
      </c>
      <c r="L54" s="149">
        <v>15.803000000000001</v>
      </c>
      <c r="M54" s="149">
        <v>17.442</v>
      </c>
      <c r="N54" s="149">
        <v>22.260999999999999</v>
      </c>
      <c r="O54" s="149">
        <v>22.611999999999998</v>
      </c>
      <c r="P54" s="149">
        <v>22.949000000000002</v>
      </c>
      <c r="Q54" s="149">
        <v>23.347999999999999</v>
      </c>
      <c r="R54" s="149">
        <v>18.696000000000002</v>
      </c>
      <c r="S54" s="149">
        <v>19.045999999999999</v>
      </c>
      <c r="T54" s="149">
        <v>19.359000000000002</v>
      </c>
      <c r="U54" s="149">
        <v>19.670999999999999</v>
      </c>
      <c r="V54" s="149">
        <v>19.977</v>
      </c>
      <c r="W54" s="149">
        <v>20.291</v>
      </c>
      <c r="X54" s="149">
        <v>20.620999999999999</v>
      </c>
      <c r="Y54" s="149">
        <v>20.997</v>
      </c>
      <c r="Z54" s="149">
        <v>21.388999999999999</v>
      </c>
      <c r="AA54" s="149">
        <v>21.806999999999999</v>
      </c>
      <c r="AB54" s="149">
        <v>22.248999999999999</v>
      </c>
      <c r="AC54" s="149">
        <v>22.712</v>
      </c>
      <c r="AD54" s="149">
        <v>23.189</v>
      </c>
      <c r="AE54" s="149">
        <v>23.675999999999998</v>
      </c>
    </row>
    <row r="55" spans="2:31" x14ac:dyDescent="0.35">
      <c r="B55" s="115" t="s">
        <v>3344</v>
      </c>
      <c r="C55" s="115" t="s">
        <v>3266</v>
      </c>
      <c r="D55" s="115" t="s">
        <v>3342</v>
      </c>
      <c r="E55" s="115" t="s">
        <v>2068</v>
      </c>
      <c r="F55" s="115" t="s">
        <v>3267</v>
      </c>
      <c r="H55" s="119" t="s">
        <v>3343</v>
      </c>
      <c r="L55" s="149">
        <v>15.803000000000001</v>
      </c>
      <c r="M55" s="149">
        <v>17.442</v>
      </c>
      <c r="N55" s="149">
        <v>22.260999999999999</v>
      </c>
      <c r="O55" s="149">
        <v>22.611999999999998</v>
      </c>
      <c r="P55" s="149">
        <v>22.949000000000002</v>
      </c>
      <c r="Q55" s="149">
        <v>23.347999999999999</v>
      </c>
      <c r="R55" s="149">
        <v>18.696000000000002</v>
      </c>
      <c r="S55" s="149">
        <v>19</v>
      </c>
      <c r="T55" s="149">
        <v>19.265999999999998</v>
      </c>
      <c r="U55" s="149">
        <v>19.536999999999999</v>
      </c>
      <c r="V55" s="149">
        <v>19.805</v>
      </c>
      <c r="W55" s="149">
        <v>20.074999999999999</v>
      </c>
      <c r="X55" s="149">
        <v>20.346</v>
      </c>
      <c r="Y55" s="149">
        <v>20.651</v>
      </c>
      <c r="Z55" s="149">
        <v>20.96</v>
      </c>
      <c r="AA55" s="149">
        <v>21.274999999999999</v>
      </c>
      <c r="AB55" s="149">
        <v>21.59</v>
      </c>
      <c r="AC55" s="149">
        <v>21.908000000000001</v>
      </c>
      <c r="AD55" s="149">
        <v>22.227</v>
      </c>
      <c r="AE55" s="149">
        <v>22.547999999999998</v>
      </c>
    </row>
    <row r="56" spans="2:31" x14ac:dyDescent="0.35">
      <c r="B56" s="115" t="s">
        <v>3345</v>
      </c>
      <c r="C56" s="115" t="s">
        <v>3269</v>
      </c>
      <c r="D56" s="115" t="s">
        <v>3342</v>
      </c>
      <c r="E56" s="115" t="s">
        <v>2068</v>
      </c>
      <c r="F56" s="115" t="s">
        <v>3270</v>
      </c>
      <c r="H56" s="119" t="s">
        <v>3343</v>
      </c>
      <c r="L56" s="149">
        <v>15.803000000000001</v>
      </c>
      <c r="M56" s="149">
        <v>17.442</v>
      </c>
      <c r="N56" s="149">
        <v>22.260999999999999</v>
      </c>
      <c r="O56" s="149">
        <v>22.611999999999998</v>
      </c>
      <c r="P56" s="149">
        <v>22.949000000000002</v>
      </c>
      <c r="Q56" s="149">
        <v>23.347999999999999</v>
      </c>
      <c r="R56" s="149">
        <v>23.82</v>
      </c>
      <c r="S56" s="149">
        <v>24.265999999999998</v>
      </c>
      <c r="T56" s="149">
        <v>24.675000000000001</v>
      </c>
      <c r="U56" s="149">
        <v>25.082999999999998</v>
      </c>
      <c r="V56" s="149">
        <v>25.49</v>
      </c>
      <c r="W56" s="149">
        <v>25.896999999999998</v>
      </c>
      <c r="X56" s="149">
        <v>26.306999999999999</v>
      </c>
      <c r="Y56" s="149">
        <v>26.716000000000001</v>
      </c>
      <c r="Z56" s="149">
        <v>27.131</v>
      </c>
      <c r="AA56" s="149">
        <v>27.547999999999998</v>
      </c>
      <c r="AB56" s="149">
        <v>27.972000000000001</v>
      </c>
      <c r="AC56" s="149">
        <v>28.402999999999999</v>
      </c>
      <c r="AD56" s="149">
        <v>28.841000000000001</v>
      </c>
      <c r="AE56" s="149">
        <v>29.283999999999999</v>
      </c>
    </row>
    <row r="57" spans="2:31" x14ac:dyDescent="0.35">
      <c r="B57" s="115" t="s">
        <v>3346</v>
      </c>
      <c r="C57" s="115" t="s">
        <v>3272</v>
      </c>
      <c r="D57" s="115" t="s">
        <v>3342</v>
      </c>
      <c r="E57" s="115" t="s">
        <v>2068</v>
      </c>
      <c r="F57" s="115" t="s">
        <v>3273</v>
      </c>
      <c r="H57" s="119" t="s">
        <v>3343</v>
      </c>
      <c r="L57" s="149">
        <v>15.803000000000001</v>
      </c>
      <c r="M57" s="149">
        <v>17.442</v>
      </c>
      <c r="N57" s="149">
        <v>22.260999999999999</v>
      </c>
      <c r="O57" s="149">
        <v>22.611999999999998</v>
      </c>
      <c r="P57" s="149">
        <v>22.949000000000002</v>
      </c>
      <c r="Q57" s="149">
        <v>23.347999999999999</v>
      </c>
      <c r="R57" s="149">
        <v>23.82</v>
      </c>
      <c r="S57" s="149">
        <v>24.271000000000001</v>
      </c>
      <c r="T57" s="149">
        <v>24.693000000000001</v>
      </c>
      <c r="U57" s="149">
        <v>25.117999999999999</v>
      </c>
      <c r="V57" s="149">
        <v>25.548999999999999</v>
      </c>
      <c r="W57" s="149">
        <v>25.992999999999999</v>
      </c>
      <c r="X57" s="149">
        <v>26.452999999999999</v>
      </c>
      <c r="Y57" s="149">
        <v>26.95</v>
      </c>
      <c r="Z57" s="149">
        <v>27.501999999999999</v>
      </c>
      <c r="AA57" s="149">
        <v>28.141999999999999</v>
      </c>
      <c r="AB57" s="149">
        <v>28.908999999999999</v>
      </c>
      <c r="AC57" s="149">
        <v>29.85</v>
      </c>
      <c r="AD57" s="149">
        <v>31.032</v>
      </c>
      <c r="AE57" s="149">
        <v>32.204999999999998</v>
      </c>
    </row>
    <row r="58" spans="2:31" x14ac:dyDescent="0.35">
      <c r="B58" s="115" t="s">
        <v>3347</v>
      </c>
      <c r="C58" s="115" t="s">
        <v>3260</v>
      </c>
      <c r="D58" s="115" t="s">
        <v>3348</v>
      </c>
      <c r="E58" s="115" t="s">
        <v>2068</v>
      </c>
      <c r="F58" s="115" t="s">
        <v>3263</v>
      </c>
      <c r="H58" s="119" t="s">
        <v>3349</v>
      </c>
      <c r="L58" s="149">
        <v>307.637</v>
      </c>
      <c r="M58" s="149">
        <v>321.39699999999999</v>
      </c>
      <c r="N58" s="149">
        <v>349.911</v>
      </c>
      <c r="O58" s="149">
        <v>371.78399999999999</v>
      </c>
      <c r="P58" s="149">
        <v>384.22899999999998</v>
      </c>
      <c r="Q58" s="149">
        <v>400.54599999999999</v>
      </c>
      <c r="R58" s="149">
        <v>422.363</v>
      </c>
      <c r="S58" s="149">
        <v>448.56900000000002</v>
      </c>
      <c r="T58" s="149">
        <v>479.39600000000002</v>
      </c>
      <c r="U58" s="149">
        <v>519.76700000000005</v>
      </c>
      <c r="V58" s="149">
        <v>579.49199999999996</v>
      </c>
      <c r="W58" s="149">
        <v>645.31100000000004</v>
      </c>
      <c r="X58" s="149">
        <v>703.93799999999999</v>
      </c>
      <c r="Y58" s="149">
        <v>769.35699999999997</v>
      </c>
      <c r="Z58" s="149">
        <v>841.29100000000005</v>
      </c>
      <c r="AA58" s="149">
        <v>920.35900000000004</v>
      </c>
      <c r="AB58" s="149">
        <v>1007.04</v>
      </c>
      <c r="AC58" s="149">
        <v>1101.7919999999999</v>
      </c>
      <c r="AD58" s="149">
        <v>1205.134</v>
      </c>
      <c r="AE58" s="149">
        <v>1316.65</v>
      </c>
    </row>
    <row r="59" spans="2:31" x14ac:dyDescent="0.35">
      <c r="B59" s="115" t="s">
        <v>3350</v>
      </c>
      <c r="C59" s="115" t="s">
        <v>3266</v>
      </c>
      <c r="D59" s="115" t="s">
        <v>3348</v>
      </c>
      <c r="E59" s="115" t="s">
        <v>2068</v>
      </c>
      <c r="F59" s="115" t="s">
        <v>3267</v>
      </c>
      <c r="H59" s="119" t="s">
        <v>3349</v>
      </c>
      <c r="L59" s="149">
        <v>307.637</v>
      </c>
      <c r="M59" s="149">
        <v>321.39699999999999</v>
      </c>
      <c r="N59" s="149">
        <v>349.911</v>
      </c>
      <c r="O59" s="149">
        <v>371.78399999999999</v>
      </c>
      <c r="P59" s="149">
        <v>384.22899999999998</v>
      </c>
      <c r="Q59" s="149">
        <v>400.54599999999999</v>
      </c>
      <c r="R59" s="149">
        <v>422.363</v>
      </c>
      <c r="S59" s="149">
        <v>448.56900000000002</v>
      </c>
      <c r="T59" s="149">
        <v>479.39600000000002</v>
      </c>
      <c r="U59" s="149">
        <v>519.76700000000005</v>
      </c>
      <c r="V59" s="149">
        <v>579.49199999999996</v>
      </c>
      <c r="W59" s="149">
        <v>645.31100000000004</v>
      </c>
      <c r="X59" s="149">
        <v>703.93799999999999</v>
      </c>
      <c r="Y59" s="149">
        <v>769.35699999999997</v>
      </c>
      <c r="Z59" s="149">
        <v>841.29100000000005</v>
      </c>
      <c r="AA59" s="149">
        <v>920.35900000000004</v>
      </c>
      <c r="AB59" s="149">
        <v>1007.04</v>
      </c>
      <c r="AC59" s="149">
        <v>1101.7919999999999</v>
      </c>
      <c r="AD59" s="149">
        <v>1205.134</v>
      </c>
      <c r="AE59" s="149">
        <v>1316.65</v>
      </c>
    </row>
    <row r="60" spans="2:31" x14ac:dyDescent="0.35">
      <c r="B60" s="115" t="s">
        <v>3351</v>
      </c>
      <c r="C60" s="115" t="s">
        <v>3269</v>
      </c>
      <c r="D60" s="115" t="s">
        <v>3348</v>
      </c>
      <c r="E60" s="115" t="s">
        <v>2068</v>
      </c>
      <c r="F60" s="115" t="s">
        <v>3270</v>
      </c>
      <c r="H60" s="119" t="s">
        <v>3349</v>
      </c>
      <c r="L60" s="149">
        <v>307.637</v>
      </c>
      <c r="M60" s="149">
        <v>321.39699999999999</v>
      </c>
      <c r="N60" s="149">
        <v>349.911</v>
      </c>
      <c r="O60" s="149">
        <v>371.78399999999999</v>
      </c>
      <c r="P60" s="149">
        <v>384.22899999999998</v>
      </c>
      <c r="Q60" s="149">
        <v>400.54599999999999</v>
      </c>
      <c r="R60" s="149">
        <v>422.363</v>
      </c>
      <c r="S60" s="149">
        <v>448.56900000000002</v>
      </c>
      <c r="T60" s="149">
        <v>479.39600000000002</v>
      </c>
      <c r="U60" s="149">
        <v>519.76700000000005</v>
      </c>
      <c r="V60" s="149">
        <v>579.49199999999996</v>
      </c>
      <c r="W60" s="149">
        <v>645.31100000000004</v>
      </c>
      <c r="X60" s="149">
        <v>703.93799999999999</v>
      </c>
      <c r="Y60" s="149">
        <v>769.35699999999997</v>
      </c>
      <c r="Z60" s="149">
        <v>841.29100000000005</v>
      </c>
      <c r="AA60" s="149">
        <v>920.35900000000004</v>
      </c>
      <c r="AB60" s="149">
        <v>1007.04</v>
      </c>
      <c r="AC60" s="149">
        <v>1101.7919999999999</v>
      </c>
      <c r="AD60" s="149">
        <v>1205.134</v>
      </c>
      <c r="AE60" s="149">
        <v>1316.65</v>
      </c>
    </row>
    <row r="61" spans="2:31" x14ac:dyDescent="0.35">
      <c r="B61" s="115" t="s">
        <v>3352</v>
      </c>
      <c r="C61" s="115" t="s">
        <v>3272</v>
      </c>
      <c r="D61" s="115" t="s">
        <v>3348</v>
      </c>
      <c r="E61" s="115" t="s">
        <v>2068</v>
      </c>
      <c r="F61" s="115" t="s">
        <v>3273</v>
      </c>
      <c r="H61" s="119" t="s">
        <v>3349</v>
      </c>
      <c r="L61" s="149">
        <v>307.637</v>
      </c>
      <c r="M61" s="149">
        <v>321.39699999999999</v>
      </c>
      <c r="N61" s="149">
        <v>349.911</v>
      </c>
      <c r="O61" s="149">
        <v>371.78399999999999</v>
      </c>
      <c r="P61" s="149">
        <v>384.22899999999998</v>
      </c>
      <c r="Q61" s="149">
        <v>400.54599999999999</v>
      </c>
      <c r="R61" s="149">
        <v>422.363</v>
      </c>
      <c r="S61" s="149">
        <v>448.56900000000002</v>
      </c>
      <c r="T61" s="149">
        <v>479.39600000000002</v>
      </c>
      <c r="U61" s="149">
        <v>519.76700000000005</v>
      </c>
      <c r="V61" s="149">
        <v>579.49199999999996</v>
      </c>
      <c r="W61" s="149">
        <v>645.31100000000004</v>
      </c>
      <c r="X61" s="149">
        <v>703.93799999999999</v>
      </c>
      <c r="Y61" s="149">
        <v>769.35699999999997</v>
      </c>
      <c r="Z61" s="149">
        <v>841.29100000000005</v>
      </c>
      <c r="AA61" s="149">
        <v>920.35900000000004</v>
      </c>
      <c r="AB61" s="149">
        <v>1007.04</v>
      </c>
      <c r="AC61" s="149">
        <v>1101.7919999999999</v>
      </c>
      <c r="AD61" s="149">
        <v>1205.134</v>
      </c>
      <c r="AE61" s="149">
        <v>1316.65</v>
      </c>
    </row>
    <row r="62" spans="2:31" x14ac:dyDescent="0.35">
      <c r="B62" s="115" t="s">
        <v>3353</v>
      </c>
      <c r="C62" s="115" t="s">
        <v>3260</v>
      </c>
      <c r="D62" s="115" t="s">
        <v>3354</v>
      </c>
      <c r="E62" s="115" t="s">
        <v>2068</v>
      </c>
      <c r="F62" s="115" t="s">
        <v>3263</v>
      </c>
      <c r="H62" s="119" t="s">
        <v>3355</v>
      </c>
      <c r="L62" s="149">
        <v>307.637</v>
      </c>
      <c r="M62" s="149">
        <v>321.298</v>
      </c>
      <c r="N62" s="149">
        <v>349.79700000000003</v>
      </c>
      <c r="O62" s="149">
        <v>371.673</v>
      </c>
      <c r="P62" s="149">
        <v>384.11900000000003</v>
      </c>
      <c r="Q62" s="149">
        <v>400.36900000000003</v>
      </c>
      <c r="R62" s="149">
        <v>390.697</v>
      </c>
      <c r="S62" s="149">
        <v>408.83199999999999</v>
      </c>
      <c r="T62" s="149">
        <v>443.44299999999998</v>
      </c>
      <c r="U62" s="149">
        <v>483.24599999999998</v>
      </c>
      <c r="V62" s="149">
        <v>548.13499999999999</v>
      </c>
      <c r="W62" s="149">
        <v>599.33500000000004</v>
      </c>
      <c r="X62" s="149">
        <v>656.14200000000005</v>
      </c>
      <c r="Y62" s="149">
        <v>719.56</v>
      </c>
      <c r="Z62" s="149">
        <v>789.90599999999995</v>
      </c>
      <c r="AA62" s="149">
        <v>867.66399999999999</v>
      </c>
      <c r="AB62" s="149">
        <v>953.34299999999996</v>
      </c>
      <c r="AC62" s="149">
        <v>1047.4090000000001</v>
      </c>
      <c r="AD62" s="149">
        <v>1150.2670000000001</v>
      </c>
      <c r="AE62" s="149">
        <v>1261.4749999999999</v>
      </c>
    </row>
    <row r="63" spans="2:31" x14ac:dyDescent="0.35">
      <c r="B63" s="115" t="s">
        <v>3356</v>
      </c>
      <c r="C63" s="115" t="s">
        <v>3266</v>
      </c>
      <c r="D63" s="115" t="s">
        <v>3354</v>
      </c>
      <c r="E63" s="115" t="s">
        <v>2068</v>
      </c>
      <c r="F63" s="115" t="s">
        <v>3267</v>
      </c>
      <c r="H63" s="119" t="s">
        <v>3355</v>
      </c>
      <c r="L63" s="149">
        <v>307.637</v>
      </c>
      <c r="M63" s="149">
        <v>321.298</v>
      </c>
      <c r="N63" s="149">
        <v>349.79700000000003</v>
      </c>
      <c r="O63" s="149">
        <v>371.673</v>
      </c>
      <c r="P63" s="149">
        <v>384.11900000000003</v>
      </c>
      <c r="Q63" s="149">
        <v>400.36900000000003</v>
      </c>
      <c r="R63" s="149">
        <v>390.697</v>
      </c>
      <c r="S63" s="149">
        <v>407.77499999999998</v>
      </c>
      <c r="T63" s="149">
        <v>441.50799999999998</v>
      </c>
      <c r="U63" s="149">
        <v>480.14</v>
      </c>
      <c r="V63" s="149">
        <v>544.03099999999995</v>
      </c>
      <c r="W63" s="149">
        <v>595.245</v>
      </c>
      <c r="X63" s="149">
        <v>651.04499999999996</v>
      </c>
      <c r="Y63" s="149">
        <v>713.26099999999997</v>
      </c>
      <c r="Z63" s="149">
        <v>782.18100000000004</v>
      </c>
      <c r="AA63" s="149">
        <v>858.14099999999996</v>
      </c>
      <c r="AB63" s="149">
        <v>941.61400000000003</v>
      </c>
      <c r="AC63" s="149">
        <v>1033.0820000000001</v>
      </c>
      <c r="AD63" s="149">
        <v>1133.0340000000001</v>
      </c>
      <c r="AE63" s="149">
        <v>1241.098</v>
      </c>
    </row>
    <row r="64" spans="2:31" x14ac:dyDescent="0.35">
      <c r="B64" s="115" t="s">
        <v>3357</v>
      </c>
      <c r="C64" s="115" t="s">
        <v>3269</v>
      </c>
      <c r="D64" s="115" t="s">
        <v>3354</v>
      </c>
      <c r="E64" s="115" t="s">
        <v>2068</v>
      </c>
      <c r="F64" s="115" t="s">
        <v>3270</v>
      </c>
      <c r="H64" s="119" t="s">
        <v>3355</v>
      </c>
      <c r="L64" s="149">
        <v>307.637</v>
      </c>
      <c r="M64" s="149">
        <v>321.39299999999997</v>
      </c>
      <c r="N64" s="149">
        <v>349.90699999999998</v>
      </c>
      <c r="O64" s="149">
        <v>371.78</v>
      </c>
      <c r="P64" s="149">
        <v>384.22399999999999</v>
      </c>
      <c r="Q64" s="149">
        <v>400.50700000000001</v>
      </c>
      <c r="R64" s="149">
        <v>417.12299999999999</v>
      </c>
      <c r="S64" s="149">
        <v>435.774</v>
      </c>
      <c r="T64" s="149">
        <v>459.85899999999998</v>
      </c>
      <c r="U64" s="149">
        <v>492.76</v>
      </c>
      <c r="V64" s="149">
        <v>549.81799999999998</v>
      </c>
      <c r="W64" s="149">
        <v>591.36199999999997</v>
      </c>
      <c r="X64" s="149">
        <v>639.05100000000004</v>
      </c>
      <c r="Y64" s="149">
        <v>692.96600000000001</v>
      </c>
      <c r="Z64" s="149">
        <v>753.40599999999995</v>
      </c>
      <c r="AA64" s="149">
        <v>820.58799999999997</v>
      </c>
      <c r="AB64" s="149">
        <v>895.07</v>
      </c>
      <c r="AC64" s="149">
        <v>977.34500000000003</v>
      </c>
      <c r="AD64" s="149">
        <v>1067.93</v>
      </c>
      <c r="AE64" s="149">
        <v>1166.4870000000001</v>
      </c>
    </row>
    <row r="65" spans="2:31" x14ac:dyDescent="0.35">
      <c r="B65" s="115" t="s">
        <v>3358</v>
      </c>
      <c r="C65" s="115" t="s">
        <v>3272</v>
      </c>
      <c r="D65" s="115" t="s">
        <v>3354</v>
      </c>
      <c r="E65" s="115" t="s">
        <v>2068</v>
      </c>
      <c r="F65" s="115" t="s">
        <v>3273</v>
      </c>
      <c r="H65" s="119" t="s">
        <v>3355</v>
      </c>
      <c r="L65" s="149">
        <v>307.637</v>
      </c>
      <c r="M65" s="149">
        <v>321.39699999999999</v>
      </c>
      <c r="N65" s="149">
        <v>349.911</v>
      </c>
      <c r="O65" s="149">
        <v>371.78399999999999</v>
      </c>
      <c r="P65" s="149">
        <v>384.22899999999998</v>
      </c>
      <c r="Q65" s="149">
        <v>400.54599999999999</v>
      </c>
      <c r="R65" s="149">
        <v>422.363</v>
      </c>
      <c r="S65" s="149">
        <v>442.125</v>
      </c>
      <c r="T65" s="149">
        <v>469.80700000000002</v>
      </c>
      <c r="U65" s="149">
        <v>507.23200000000003</v>
      </c>
      <c r="V65" s="149">
        <v>557.25800000000004</v>
      </c>
      <c r="W65" s="149">
        <v>625.87699999999995</v>
      </c>
      <c r="X65" s="149">
        <v>680.21</v>
      </c>
      <c r="Y65" s="149">
        <v>740.46600000000001</v>
      </c>
      <c r="Z65" s="149">
        <v>806.8</v>
      </c>
      <c r="AA65" s="149">
        <v>880.03399999999999</v>
      </c>
      <c r="AB65" s="149">
        <v>961.077</v>
      </c>
      <c r="AC65" s="149">
        <v>1051.069</v>
      </c>
      <c r="AD65" s="149">
        <v>1151.5139999999999</v>
      </c>
      <c r="AE65" s="149">
        <v>1258.481</v>
      </c>
    </row>
    <row r="66" spans="2:31" x14ac:dyDescent="0.35">
      <c r="B66" s="115" t="s">
        <v>3359</v>
      </c>
      <c r="C66" s="115" t="s">
        <v>3260</v>
      </c>
      <c r="D66" s="115" t="s">
        <v>3360</v>
      </c>
      <c r="E66" s="115" t="s">
        <v>2068</v>
      </c>
      <c r="F66" s="115" t="s">
        <v>3263</v>
      </c>
      <c r="H66" s="119" t="s">
        <v>3361</v>
      </c>
      <c r="L66" s="149">
        <v>52.970999999999997</v>
      </c>
      <c r="M66" s="149">
        <v>57.256</v>
      </c>
      <c r="N66" s="149">
        <v>48.052999999999997</v>
      </c>
      <c r="O66" s="149">
        <v>53.412999999999997</v>
      </c>
      <c r="P66" s="149">
        <v>62.460999999999999</v>
      </c>
      <c r="Q66" s="149">
        <v>72.828999999999994</v>
      </c>
      <c r="R66" s="149">
        <v>84.831000000000003</v>
      </c>
      <c r="S66" s="149">
        <v>98.88</v>
      </c>
      <c r="T66" s="149">
        <v>116.354</v>
      </c>
      <c r="U66" s="149">
        <v>138.35599999999999</v>
      </c>
      <c r="V66" s="149">
        <v>164.88900000000001</v>
      </c>
      <c r="W66" s="149">
        <v>195.12700000000001</v>
      </c>
      <c r="X66" s="149">
        <v>229.14500000000001</v>
      </c>
      <c r="Y66" s="149">
        <v>267.37</v>
      </c>
      <c r="Z66" s="149">
        <v>309.197</v>
      </c>
      <c r="AA66" s="149">
        <v>354.87400000000002</v>
      </c>
      <c r="AB66" s="149">
        <v>404.45299999999997</v>
      </c>
      <c r="AC66" s="149">
        <v>457.91300000000001</v>
      </c>
      <c r="AD66" s="149">
        <v>515.221</v>
      </c>
      <c r="AE66" s="149">
        <v>575.33799999999997</v>
      </c>
    </row>
    <row r="67" spans="2:31" x14ac:dyDescent="0.35">
      <c r="B67" s="115" t="s">
        <v>3362</v>
      </c>
      <c r="C67" s="115" t="s">
        <v>3266</v>
      </c>
      <c r="D67" s="115" t="s">
        <v>3360</v>
      </c>
      <c r="E67" s="115" t="s">
        <v>2068</v>
      </c>
      <c r="F67" s="115" t="s">
        <v>3267</v>
      </c>
      <c r="H67" s="119" t="s">
        <v>3361</v>
      </c>
      <c r="L67" s="149">
        <v>52.970999999999997</v>
      </c>
      <c r="M67" s="149">
        <v>57.256</v>
      </c>
      <c r="N67" s="149">
        <v>48.052999999999997</v>
      </c>
      <c r="O67" s="149">
        <v>53.412999999999997</v>
      </c>
      <c r="P67" s="149">
        <v>62.460999999999999</v>
      </c>
      <c r="Q67" s="149">
        <v>72.828999999999994</v>
      </c>
      <c r="R67" s="149">
        <v>84.831000000000003</v>
      </c>
      <c r="S67" s="149">
        <v>98.88</v>
      </c>
      <c r="T67" s="149">
        <v>116.354</v>
      </c>
      <c r="U67" s="149">
        <v>138.35599999999999</v>
      </c>
      <c r="V67" s="149">
        <v>164.88900000000001</v>
      </c>
      <c r="W67" s="149">
        <v>195.12700000000001</v>
      </c>
      <c r="X67" s="149">
        <v>229.14500000000001</v>
      </c>
      <c r="Y67" s="149">
        <v>267.37</v>
      </c>
      <c r="Z67" s="149">
        <v>309.197</v>
      </c>
      <c r="AA67" s="149">
        <v>354.87400000000002</v>
      </c>
      <c r="AB67" s="149">
        <v>404.45299999999997</v>
      </c>
      <c r="AC67" s="149">
        <v>457.91300000000001</v>
      </c>
      <c r="AD67" s="149">
        <v>515.221</v>
      </c>
      <c r="AE67" s="149">
        <v>575.33799999999997</v>
      </c>
    </row>
    <row r="68" spans="2:31" x14ac:dyDescent="0.35">
      <c r="B68" s="115" t="s">
        <v>3363</v>
      </c>
      <c r="C68" s="115" t="s">
        <v>3269</v>
      </c>
      <c r="D68" s="115" t="s">
        <v>3360</v>
      </c>
      <c r="E68" s="115" t="s">
        <v>2068</v>
      </c>
      <c r="F68" s="115" t="s">
        <v>3270</v>
      </c>
      <c r="H68" s="119" t="s">
        <v>3361</v>
      </c>
      <c r="L68" s="149">
        <v>52.970999999999997</v>
      </c>
      <c r="M68" s="149">
        <v>57.256</v>
      </c>
      <c r="N68" s="149">
        <v>48.052999999999997</v>
      </c>
      <c r="O68" s="149">
        <v>53.412999999999997</v>
      </c>
      <c r="P68" s="149">
        <v>62.460999999999999</v>
      </c>
      <c r="Q68" s="149">
        <v>72.828999999999994</v>
      </c>
      <c r="R68" s="149">
        <v>84.831000000000003</v>
      </c>
      <c r="S68" s="149">
        <v>98.88</v>
      </c>
      <c r="T68" s="149">
        <v>116.354</v>
      </c>
      <c r="U68" s="149">
        <v>138.35599999999999</v>
      </c>
      <c r="V68" s="149">
        <v>164.88900000000001</v>
      </c>
      <c r="W68" s="149">
        <v>195.12700000000001</v>
      </c>
      <c r="X68" s="149">
        <v>229.14500000000001</v>
      </c>
      <c r="Y68" s="149">
        <v>267.37</v>
      </c>
      <c r="Z68" s="149">
        <v>309.197</v>
      </c>
      <c r="AA68" s="149">
        <v>354.87400000000002</v>
      </c>
      <c r="AB68" s="149">
        <v>404.45299999999997</v>
      </c>
      <c r="AC68" s="149">
        <v>457.91300000000001</v>
      </c>
      <c r="AD68" s="149">
        <v>515.221</v>
      </c>
      <c r="AE68" s="149">
        <v>575.33799999999997</v>
      </c>
    </row>
    <row r="69" spans="2:31" x14ac:dyDescent="0.35">
      <c r="B69" s="115" t="s">
        <v>3364</v>
      </c>
      <c r="C69" s="115" t="s">
        <v>3272</v>
      </c>
      <c r="D69" s="115" t="s">
        <v>3360</v>
      </c>
      <c r="E69" s="115" t="s">
        <v>2068</v>
      </c>
      <c r="F69" s="115" t="s">
        <v>3273</v>
      </c>
      <c r="H69" s="119" t="s">
        <v>3361</v>
      </c>
      <c r="L69" s="149">
        <v>52.970999999999997</v>
      </c>
      <c r="M69" s="149">
        <v>57.256</v>
      </c>
      <c r="N69" s="149">
        <v>48.052999999999997</v>
      </c>
      <c r="O69" s="149">
        <v>53.412999999999997</v>
      </c>
      <c r="P69" s="149">
        <v>62.460999999999999</v>
      </c>
      <c r="Q69" s="149">
        <v>72.828999999999994</v>
      </c>
      <c r="R69" s="149">
        <v>84.831000000000003</v>
      </c>
      <c r="S69" s="149">
        <v>98.88</v>
      </c>
      <c r="T69" s="149">
        <v>116.354</v>
      </c>
      <c r="U69" s="149">
        <v>138.35599999999999</v>
      </c>
      <c r="V69" s="149">
        <v>164.88900000000001</v>
      </c>
      <c r="W69" s="149">
        <v>195.12700000000001</v>
      </c>
      <c r="X69" s="149">
        <v>229.14500000000001</v>
      </c>
      <c r="Y69" s="149">
        <v>267.37</v>
      </c>
      <c r="Z69" s="149">
        <v>309.197</v>
      </c>
      <c r="AA69" s="149">
        <v>354.87400000000002</v>
      </c>
      <c r="AB69" s="149">
        <v>404.45299999999997</v>
      </c>
      <c r="AC69" s="149">
        <v>457.91300000000001</v>
      </c>
      <c r="AD69" s="149">
        <v>515.221</v>
      </c>
      <c r="AE69" s="149">
        <v>575.33799999999997</v>
      </c>
    </row>
    <row r="70" spans="2:31" x14ac:dyDescent="0.35">
      <c r="B70" s="115" t="s">
        <v>3365</v>
      </c>
      <c r="C70" s="115" t="s">
        <v>3260</v>
      </c>
      <c r="D70" s="115" t="s">
        <v>3366</v>
      </c>
      <c r="E70" s="115" t="s">
        <v>2068</v>
      </c>
      <c r="F70" s="115" t="s">
        <v>3263</v>
      </c>
      <c r="H70" s="119" t="s">
        <v>3367</v>
      </c>
      <c r="L70" s="149">
        <v>52.970999999999997</v>
      </c>
      <c r="M70" s="149">
        <v>57.256</v>
      </c>
      <c r="N70" s="149">
        <v>48.052999999999997</v>
      </c>
      <c r="O70" s="149">
        <v>53.412999999999997</v>
      </c>
      <c r="P70" s="149">
        <v>62.460999999999999</v>
      </c>
      <c r="Q70" s="149">
        <v>72.828999999999994</v>
      </c>
      <c r="R70" s="149">
        <v>79.682000000000002</v>
      </c>
      <c r="S70" s="149">
        <v>92.488</v>
      </c>
      <c r="T70" s="149">
        <v>108.97799999999999</v>
      </c>
      <c r="U70" s="149">
        <v>129.72</v>
      </c>
      <c r="V70" s="149">
        <v>155.06899999999999</v>
      </c>
      <c r="W70" s="149">
        <v>183.83099999999999</v>
      </c>
      <c r="X70" s="149">
        <v>216.55099999999999</v>
      </c>
      <c r="Y70" s="149">
        <v>253.12899999999999</v>
      </c>
      <c r="Z70" s="149">
        <v>293.52800000000002</v>
      </c>
      <c r="AA70" s="149">
        <v>337.721</v>
      </c>
      <c r="AB70" s="149">
        <v>385.82400000000001</v>
      </c>
      <c r="AC70" s="149">
        <v>437.82799999999997</v>
      </c>
      <c r="AD70" s="149">
        <v>493.70800000000003</v>
      </c>
      <c r="AE70" s="149">
        <v>552.44399999999996</v>
      </c>
    </row>
    <row r="71" spans="2:31" x14ac:dyDescent="0.35">
      <c r="B71" s="115" t="s">
        <v>3368</v>
      </c>
      <c r="C71" s="115" t="s">
        <v>3266</v>
      </c>
      <c r="D71" s="115" t="s">
        <v>3366</v>
      </c>
      <c r="E71" s="115" t="s">
        <v>2068</v>
      </c>
      <c r="F71" s="115" t="s">
        <v>3267</v>
      </c>
      <c r="H71" s="119" t="s">
        <v>3367</v>
      </c>
      <c r="L71" s="149">
        <v>52.970999999999997</v>
      </c>
      <c r="M71" s="149">
        <v>57.256</v>
      </c>
      <c r="N71" s="149">
        <v>48.052999999999997</v>
      </c>
      <c r="O71" s="149">
        <v>53.412999999999997</v>
      </c>
      <c r="P71" s="149">
        <v>62.460999999999999</v>
      </c>
      <c r="Q71" s="149">
        <v>72.828999999999994</v>
      </c>
      <c r="R71" s="149">
        <v>79.682000000000002</v>
      </c>
      <c r="S71" s="149">
        <v>92.468999999999994</v>
      </c>
      <c r="T71" s="149">
        <v>108.937</v>
      </c>
      <c r="U71" s="149">
        <v>129.65100000000001</v>
      </c>
      <c r="V71" s="149">
        <v>154.977</v>
      </c>
      <c r="W71" s="149">
        <v>183.73400000000001</v>
      </c>
      <c r="X71" s="149">
        <v>216.40899999999999</v>
      </c>
      <c r="Y71" s="149">
        <v>252.95099999999999</v>
      </c>
      <c r="Z71" s="149">
        <v>293.30799999999999</v>
      </c>
      <c r="AA71" s="149">
        <v>337.435</v>
      </c>
      <c r="AB71" s="149">
        <v>385.45600000000002</v>
      </c>
      <c r="AC71" s="149">
        <v>437.36399999999998</v>
      </c>
      <c r="AD71" s="149">
        <v>493.13499999999999</v>
      </c>
      <c r="AE71" s="149">
        <v>551.75</v>
      </c>
    </row>
    <row r="72" spans="2:31" x14ac:dyDescent="0.35">
      <c r="B72" s="115" t="s">
        <v>3369</v>
      </c>
      <c r="C72" s="115" t="s">
        <v>3269</v>
      </c>
      <c r="D72" s="115" t="s">
        <v>3366</v>
      </c>
      <c r="E72" s="115" t="s">
        <v>2068</v>
      </c>
      <c r="F72" s="115" t="s">
        <v>3270</v>
      </c>
      <c r="H72" s="119" t="s">
        <v>3367</v>
      </c>
      <c r="L72" s="149">
        <v>52.970999999999997</v>
      </c>
      <c r="M72" s="149">
        <v>57.256</v>
      </c>
      <c r="N72" s="149">
        <v>48.052999999999997</v>
      </c>
      <c r="O72" s="149">
        <v>53.412999999999997</v>
      </c>
      <c r="P72" s="149">
        <v>62.460999999999999</v>
      </c>
      <c r="Q72" s="149">
        <v>72.828999999999994</v>
      </c>
      <c r="R72" s="149">
        <v>83.516999999999996</v>
      </c>
      <c r="S72" s="149">
        <v>95.302999999999997</v>
      </c>
      <c r="T72" s="149">
        <v>110.074</v>
      </c>
      <c r="U72" s="149">
        <v>128.72399999999999</v>
      </c>
      <c r="V72" s="149">
        <v>151.34</v>
      </c>
      <c r="W72" s="149">
        <v>177.101</v>
      </c>
      <c r="X72" s="149">
        <v>206.142</v>
      </c>
      <c r="Y72" s="149">
        <v>238.434</v>
      </c>
      <c r="Z72" s="149">
        <v>273.99299999999999</v>
      </c>
      <c r="AA72" s="149">
        <v>312.738</v>
      </c>
      <c r="AB72" s="149">
        <v>354.81099999999998</v>
      </c>
      <c r="AC72" s="149">
        <v>400.24599999999998</v>
      </c>
      <c r="AD72" s="149">
        <v>449.03800000000001</v>
      </c>
      <c r="AE72" s="149">
        <v>500.24200000000002</v>
      </c>
    </row>
    <row r="73" spans="2:31" x14ac:dyDescent="0.35">
      <c r="B73" s="115" t="s">
        <v>3370</v>
      </c>
      <c r="C73" s="115" t="s">
        <v>3272</v>
      </c>
      <c r="D73" s="115" t="s">
        <v>3366</v>
      </c>
      <c r="E73" s="115" t="s">
        <v>2068</v>
      </c>
      <c r="F73" s="115" t="s">
        <v>3273</v>
      </c>
      <c r="H73" s="119" t="s">
        <v>3367</v>
      </c>
      <c r="L73" s="149">
        <v>52.970999999999997</v>
      </c>
      <c r="M73" s="149">
        <v>57.256</v>
      </c>
      <c r="N73" s="149">
        <v>48.052999999999997</v>
      </c>
      <c r="O73" s="149">
        <v>53.412999999999997</v>
      </c>
      <c r="P73" s="149">
        <v>62.460999999999999</v>
      </c>
      <c r="Q73" s="149">
        <v>72.828999999999994</v>
      </c>
      <c r="R73" s="149">
        <v>84.831000000000003</v>
      </c>
      <c r="S73" s="149">
        <v>98.444999999999993</v>
      </c>
      <c r="T73" s="149">
        <v>115.18899999999999</v>
      </c>
      <c r="U73" s="149">
        <v>135.97</v>
      </c>
      <c r="V73" s="149">
        <v>160.76499999999999</v>
      </c>
      <c r="W73" s="149">
        <v>188.58699999999999</v>
      </c>
      <c r="X73" s="149">
        <v>219.52799999999999</v>
      </c>
      <c r="Y73" s="149">
        <v>253.59100000000001</v>
      </c>
      <c r="Z73" s="149">
        <v>290.36799999999999</v>
      </c>
      <c r="AA73" s="149">
        <v>329.87799999999999</v>
      </c>
      <c r="AB73" s="149">
        <v>372.077</v>
      </c>
      <c r="AC73" s="149">
        <v>416.87900000000002</v>
      </c>
      <c r="AD73" s="149">
        <v>464.166</v>
      </c>
      <c r="AE73" s="149">
        <v>512.798</v>
      </c>
    </row>
    <row r="74" spans="2:31" x14ac:dyDescent="0.35">
      <c r="B74" s="115" t="s">
        <v>3371</v>
      </c>
      <c r="C74" s="115" t="s">
        <v>3260</v>
      </c>
      <c r="D74" s="115" t="s">
        <v>3372</v>
      </c>
      <c r="E74" s="115" t="s">
        <v>16</v>
      </c>
      <c r="F74" s="115" t="s">
        <v>3263</v>
      </c>
      <c r="H74" s="119" t="s">
        <v>1403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20</v>
      </c>
      <c r="S74" s="149">
        <v>20</v>
      </c>
      <c r="T74" s="149">
        <v>20</v>
      </c>
      <c r="U74" s="149">
        <v>20</v>
      </c>
      <c r="V74" s="149">
        <v>20</v>
      </c>
      <c r="W74" s="149">
        <v>20</v>
      </c>
      <c r="X74" s="149">
        <v>20</v>
      </c>
      <c r="Y74" s="149">
        <v>20</v>
      </c>
      <c r="Z74" s="149">
        <v>20</v>
      </c>
      <c r="AA74" s="149">
        <v>20</v>
      </c>
      <c r="AB74" s="149">
        <v>20</v>
      </c>
      <c r="AC74" s="149">
        <v>20</v>
      </c>
      <c r="AD74" s="149">
        <v>20</v>
      </c>
      <c r="AE74" s="149">
        <v>20</v>
      </c>
    </row>
    <row r="75" spans="2:31" x14ac:dyDescent="0.35">
      <c r="B75" s="115" t="s">
        <v>3373</v>
      </c>
      <c r="C75" s="115" t="s">
        <v>3266</v>
      </c>
      <c r="D75" s="115" t="s">
        <v>3372</v>
      </c>
      <c r="E75" s="115" t="s">
        <v>16</v>
      </c>
      <c r="F75" s="115" t="s">
        <v>3267</v>
      </c>
      <c r="H75" s="119" t="s">
        <v>1403</v>
      </c>
      <c r="L75" s="149">
        <v>0</v>
      </c>
      <c r="M75" s="149">
        <v>0</v>
      </c>
      <c r="N75" s="149">
        <v>0</v>
      </c>
      <c r="O75" s="149">
        <v>0</v>
      </c>
      <c r="P75" s="149">
        <v>0</v>
      </c>
      <c r="Q75" s="149">
        <v>0</v>
      </c>
      <c r="R75" s="149">
        <v>20</v>
      </c>
      <c r="S75" s="149">
        <v>20</v>
      </c>
      <c r="T75" s="149">
        <v>20</v>
      </c>
      <c r="U75" s="149">
        <v>20</v>
      </c>
      <c r="V75" s="149">
        <v>20</v>
      </c>
      <c r="W75" s="149">
        <v>20</v>
      </c>
      <c r="X75" s="149">
        <v>20</v>
      </c>
      <c r="Y75" s="149">
        <v>20</v>
      </c>
      <c r="Z75" s="149">
        <v>20</v>
      </c>
      <c r="AA75" s="149">
        <v>20</v>
      </c>
      <c r="AB75" s="149">
        <v>20</v>
      </c>
      <c r="AC75" s="149">
        <v>20</v>
      </c>
      <c r="AD75" s="149">
        <v>20</v>
      </c>
      <c r="AE75" s="149">
        <v>20</v>
      </c>
    </row>
    <row r="76" spans="2:31" x14ac:dyDescent="0.35">
      <c r="B76" s="115" t="s">
        <v>3374</v>
      </c>
      <c r="C76" s="115" t="s">
        <v>3269</v>
      </c>
      <c r="D76" s="115" t="s">
        <v>3372</v>
      </c>
      <c r="E76" s="115" t="s">
        <v>16</v>
      </c>
      <c r="F76" s="115" t="s">
        <v>3270</v>
      </c>
      <c r="H76" s="119" t="s">
        <v>1403</v>
      </c>
      <c r="L76" s="149">
        <v>0</v>
      </c>
      <c r="M76" s="149">
        <v>0</v>
      </c>
      <c r="N76" s="149">
        <v>0</v>
      </c>
      <c r="O76" s="149">
        <v>0</v>
      </c>
      <c r="P76" s="149">
        <v>0</v>
      </c>
      <c r="Q76" s="149">
        <v>0</v>
      </c>
      <c r="R76" s="149">
        <v>5</v>
      </c>
      <c r="S76" s="149">
        <v>12.5</v>
      </c>
      <c r="T76" s="149">
        <v>20</v>
      </c>
      <c r="U76" s="149">
        <v>27.5</v>
      </c>
      <c r="V76" s="149">
        <v>35</v>
      </c>
      <c r="W76" s="149">
        <v>42.5</v>
      </c>
      <c r="X76" s="149">
        <v>50</v>
      </c>
      <c r="Y76" s="149">
        <v>57.5</v>
      </c>
      <c r="Z76" s="149">
        <v>65</v>
      </c>
      <c r="AA76" s="149">
        <v>72.5</v>
      </c>
      <c r="AB76" s="149">
        <v>80</v>
      </c>
      <c r="AC76" s="149">
        <v>87.5</v>
      </c>
      <c r="AD76" s="149">
        <v>95</v>
      </c>
      <c r="AE76" s="149">
        <v>102.5</v>
      </c>
    </row>
    <row r="77" spans="2:31" x14ac:dyDescent="0.35">
      <c r="B77" s="115" t="s">
        <v>3375</v>
      </c>
      <c r="C77" s="115" t="s">
        <v>3272</v>
      </c>
      <c r="D77" s="115" t="s">
        <v>3372</v>
      </c>
      <c r="E77" s="115" t="s">
        <v>16</v>
      </c>
      <c r="F77" s="115" t="s">
        <v>3273</v>
      </c>
      <c r="H77" s="119" t="s">
        <v>1403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</row>
    <row r="78" spans="2:31" x14ac:dyDescent="0.35">
      <c r="B78" s="115" t="s">
        <v>3376</v>
      </c>
      <c r="C78" s="115" t="s">
        <v>3260</v>
      </c>
      <c r="D78" s="115" t="s">
        <v>3377</v>
      </c>
      <c r="E78" s="115" t="s">
        <v>16</v>
      </c>
      <c r="F78" s="115" t="s">
        <v>3263</v>
      </c>
      <c r="H78" s="119" t="s">
        <v>3378</v>
      </c>
      <c r="L78" s="149">
        <v>0</v>
      </c>
      <c r="M78" s="149">
        <v>0</v>
      </c>
      <c r="N78" s="149">
        <v>0</v>
      </c>
      <c r="O78" s="149">
        <v>0</v>
      </c>
      <c r="P78" s="149">
        <v>0</v>
      </c>
      <c r="Q78" s="149">
        <v>0</v>
      </c>
      <c r="R78" s="149">
        <v>19.783999999999999</v>
      </c>
      <c r="S78" s="149">
        <v>19.786000000000001</v>
      </c>
      <c r="T78" s="149">
        <v>19.8</v>
      </c>
      <c r="U78" s="149">
        <v>19.814</v>
      </c>
      <c r="V78" s="149">
        <v>19.835999999999999</v>
      </c>
      <c r="W78" s="149">
        <v>19.847000000000001</v>
      </c>
      <c r="X78" s="149">
        <v>19.856999999999999</v>
      </c>
      <c r="Y78" s="149">
        <v>19.867000000000001</v>
      </c>
      <c r="Z78" s="149">
        <v>19.876000000000001</v>
      </c>
      <c r="AA78" s="149">
        <v>19.884</v>
      </c>
      <c r="AB78" s="149">
        <v>19.890999999999998</v>
      </c>
      <c r="AC78" s="149">
        <v>19.896999999999998</v>
      </c>
      <c r="AD78" s="149">
        <v>19.902999999999999</v>
      </c>
      <c r="AE78" s="149">
        <v>19.908999999999999</v>
      </c>
    </row>
    <row r="79" spans="2:31" x14ac:dyDescent="0.35">
      <c r="B79" s="115" t="s">
        <v>3379</v>
      </c>
      <c r="C79" s="115" t="s">
        <v>3266</v>
      </c>
      <c r="D79" s="115" t="s">
        <v>3377</v>
      </c>
      <c r="E79" s="115" t="s">
        <v>16</v>
      </c>
      <c r="F79" s="115" t="s">
        <v>3267</v>
      </c>
      <c r="H79" s="119" t="s">
        <v>3378</v>
      </c>
      <c r="L79" s="149">
        <v>0</v>
      </c>
      <c r="M79" s="149">
        <v>0</v>
      </c>
      <c r="N79" s="149">
        <v>0</v>
      </c>
      <c r="O79" s="149">
        <v>0</v>
      </c>
      <c r="P79" s="149">
        <v>0</v>
      </c>
      <c r="Q79" s="149">
        <v>0</v>
      </c>
      <c r="R79" s="149">
        <v>19.783999999999999</v>
      </c>
      <c r="S79" s="149">
        <v>19.786000000000001</v>
      </c>
      <c r="T79" s="149">
        <v>19.800999999999998</v>
      </c>
      <c r="U79" s="149">
        <v>19.815000000000001</v>
      </c>
      <c r="V79" s="149">
        <v>19.838000000000001</v>
      </c>
      <c r="W79" s="149">
        <v>19.849</v>
      </c>
      <c r="X79" s="149">
        <v>19.86</v>
      </c>
      <c r="Y79" s="149">
        <v>19.87</v>
      </c>
      <c r="Z79" s="149">
        <v>19.88</v>
      </c>
      <c r="AA79" s="149">
        <v>19.888000000000002</v>
      </c>
      <c r="AB79" s="149">
        <v>19.896000000000001</v>
      </c>
      <c r="AC79" s="149">
        <v>19.904</v>
      </c>
      <c r="AD79" s="149">
        <v>19.91</v>
      </c>
      <c r="AE79" s="149">
        <v>19.917000000000002</v>
      </c>
    </row>
    <row r="80" spans="2:31" x14ac:dyDescent="0.35">
      <c r="B80" s="115" t="s">
        <v>3380</v>
      </c>
      <c r="C80" s="115" t="s">
        <v>3269</v>
      </c>
      <c r="D80" s="115" t="s">
        <v>3377</v>
      </c>
      <c r="E80" s="115" t="s">
        <v>16</v>
      </c>
      <c r="F80" s="115" t="s">
        <v>3270</v>
      </c>
      <c r="H80" s="119" t="s">
        <v>3378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0.84199999999999997</v>
      </c>
      <c r="S80" s="149">
        <v>1.931</v>
      </c>
      <c r="T80" s="149">
        <v>2.8069999999999999</v>
      </c>
      <c r="U80" s="149">
        <v>3.4319999999999999</v>
      </c>
      <c r="V80" s="149">
        <v>3.7040000000000002</v>
      </c>
      <c r="W80" s="149">
        <v>4.0430000000000001</v>
      </c>
      <c r="X80" s="149">
        <v>4.2709999999999999</v>
      </c>
      <c r="Y80" s="149">
        <v>4.41</v>
      </c>
      <c r="Z80" s="149">
        <v>4.4800000000000004</v>
      </c>
      <c r="AA80" s="149">
        <v>4.4950000000000001</v>
      </c>
      <c r="AB80" s="149">
        <v>4.4690000000000003</v>
      </c>
      <c r="AC80" s="149">
        <v>4.4119999999999999</v>
      </c>
      <c r="AD80" s="149">
        <v>4.3310000000000004</v>
      </c>
      <c r="AE80" s="149">
        <v>4.2370000000000001</v>
      </c>
    </row>
    <row r="81" spans="2:31" x14ac:dyDescent="0.35">
      <c r="B81" s="115" t="s">
        <v>3381</v>
      </c>
      <c r="C81" s="115" t="s">
        <v>3272</v>
      </c>
      <c r="D81" s="115" t="s">
        <v>3377</v>
      </c>
      <c r="E81" s="115" t="s">
        <v>16</v>
      </c>
      <c r="F81" s="115" t="s">
        <v>3273</v>
      </c>
      <c r="H81" s="119" t="s">
        <v>3378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</row>
    <row r="82" spans="2:31" x14ac:dyDescent="0.35">
      <c r="B82" s="115" t="s">
        <v>3382</v>
      </c>
      <c r="C82" s="115" t="s">
        <v>3260</v>
      </c>
      <c r="D82" s="115" t="s">
        <v>3383</v>
      </c>
      <c r="E82" s="115" t="s">
        <v>1852</v>
      </c>
      <c r="F82" s="115" t="s">
        <v>3263</v>
      </c>
      <c r="H82" s="119" t="s">
        <v>3384</v>
      </c>
      <c r="L82" s="149">
        <v>52.2</v>
      </c>
      <c r="M82" s="149">
        <v>56.902999999999999</v>
      </c>
      <c r="N82" s="149">
        <v>67.484999999999999</v>
      </c>
      <c r="O82" s="149">
        <v>72.938000000000002</v>
      </c>
      <c r="P82" s="149">
        <v>75.02</v>
      </c>
      <c r="Q82" s="149">
        <v>77.454999999999998</v>
      </c>
      <c r="R82" s="149">
        <v>80.412000000000006</v>
      </c>
      <c r="S82" s="149">
        <v>83.271000000000001</v>
      </c>
      <c r="T82" s="149">
        <v>85.97</v>
      </c>
      <c r="U82" s="149">
        <v>88.71</v>
      </c>
      <c r="V82" s="149">
        <v>91.478999999999999</v>
      </c>
      <c r="W82" s="149">
        <v>94.296999999999997</v>
      </c>
      <c r="X82" s="149">
        <v>97.164000000000001</v>
      </c>
      <c r="Y82" s="149">
        <v>100.08</v>
      </c>
      <c r="Z82" s="149">
        <v>103.044</v>
      </c>
      <c r="AA82" s="149">
        <v>106.056</v>
      </c>
      <c r="AB82" s="149">
        <v>109.11499999999999</v>
      </c>
      <c r="AC82" s="149">
        <v>112.221</v>
      </c>
      <c r="AD82" s="149">
        <v>115.374</v>
      </c>
      <c r="AE82" s="149">
        <v>118.57299999999999</v>
      </c>
    </row>
    <row r="83" spans="2:31" x14ac:dyDescent="0.35">
      <c r="B83" s="115" t="s">
        <v>3385</v>
      </c>
      <c r="C83" s="115" t="s">
        <v>3266</v>
      </c>
      <c r="D83" s="115" t="s">
        <v>3383</v>
      </c>
      <c r="E83" s="115" t="s">
        <v>1852</v>
      </c>
      <c r="F83" s="115" t="s">
        <v>3267</v>
      </c>
      <c r="H83" s="119" t="s">
        <v>3384</v>
      </c>
      <c r="L83" s="149">
        <v>52.2</v>
      </c>
      <c r="M83" s="149">
        <v>56.902999999999999</v>
      </c>
      <c r="N83" s="149">
        <v>67.484999999999999</v>
      </c>
      <c r="O83" s="149">
        <v>72.938000000000002</v>
      </c>
      <c r="P83" s="149">
        <v>75.02</v>
      </c>
      <c r="Q83" s="149">
        <v>77.454999999999998</v>
      </c>
      <c r="R83" s="149">
        <v>80.412000000000006</v>
      </c>
      <c r="S83" s="149">
        <v>83.271000000000001</v>
      </c>
      <c r="T83" s="149">
        <v>85.97</v>
      </c>
      <c r="U83" s="149">
        <v>88.71</v>
      </c>
      <c r="V83" s="149">
        <v>91.478999999999999</v>
      </c>
      <c r="W83" s="149">
        <v>94.296999999999997</v>
      </c>
      <c r="X83" s="149">
        <v>97.164000000000001</v>
      </c>
      <c r="Y83" s="149">
        <v>100.08</v>
      </c>
      <c r="Z83" s="149">
        <v>103.044</v>
      </c>
      <c r="AA83" s="149">
        <v>106.056</v>
      </c>
      <c r="AB83" s="149">
        <v>109.11499999999999</v>
      </c>
      <c r="AC83" s="149">
        <v>112.221</v>
      </c>
      <c r="AD83" s="149">
        <v>115.374</v>
      </c>
      <c r="AE83" s="149">
        <v>118.57299999999999</v>
      </c>
    </row>
    <row r="84" spans="2:31" x14ac:dyDescent="0.35">
      <c r="B84" s="115" t="s">
        <v>3386</v>
      </c>
      <c r="C84" s="115" t="s">
        <v>3269</v>
      </c>
      <c r="D84" s="115" t="s">
        <v>3383</v>
      </c>
      <c r="E84" s="115" t="s">
        <v>1852</v>
      </c>
      <c r="F84" s="115" t="s">
        <v>3270</v>
      </c>
      <c r="H84" s="119" t="s">
        <v>3384</v>
      </c>
      <c r="L84" s="149">
        <v>52.2</v>
      </c>
      <c r="M84" s="149">
        <v>56.902999999999999</v>
      </c>
      <c r="N84" s="149">
        <v>67.484999999999999</v>
      </c>
      <c r="O84" s="149">
        <v>72.938000000000002</v>
      </c>
      <c r="P84" s="149">
        <v>75.02</v>
      </c>
      <c r="Q84" s="149">
        <v>77.454999999999998</v>
      </c>
      <c r="R84" s="149">
        <v>80.412000000000006</v>
      </c>
      <c r="S84" s="149">
        <v>83.271000000000001</v>
      </c>
      <c r="T84" s="149">
        <v>85.97</v>
      </c>
      <c r="U84" s="149">
        <v>88.71</v>
      </c>
      <c r="V84" s="149">
        <v>91.478999999999999</v>
      </c>
      <c r="W84" s="149">
        <v>94.296999999999997</v>
      </c>
      <c r="X84" s="149">
        <v>97.164000000000001</v>
      </c>
      <c r="Y84" s="149">
        <v>100.08</v>
      </c>
      <c r="Z84" s="149">
        <v>103.044</v>
      </c>
      <c r="AA84" s="149">
        <v>106.056</v>
      </c>
      <c r="AB84" s="149">
        <v>109.11499999999999</v>
      </c>
      <c r="AC84" s="149">
        <v>112.221</v>
      </c>
      <c r="AD84" s="149">
        <v>115.374</v>
      </c>
      <c r="AE84" s="149">
        <v>118.57299999999999</v>
      </c>
    </row>
    <row r="85" spans="2:31" x14ac:dyDescent="0.35">
      <c r="B85" s="115" t="s">
        <v>3387</v>
      </c>
      <c r="C85" s="115" t="s">
        <v>3272</v>
      </c>
      <c r="D85" s="115" t="s">
        <v>3383</v>
      </c>
      <c r="E85" s="115" t="s">
        <v>1852</v>
      </c>
      <c r="F85" s="115" t="s">
        <v>3273</v>
      </c>
      <c r="H85" s="119" t="s">
        <v>3384</v>
      </c>
      <c r="L85" s="149">
        <v>52.2</v>
      </c>
      <c r="M85" s="149">
        <v>56.902999999999999</v>
      </c>
      <c r="N85" s="149">
        <v>67.484999999999999</v>
      </c>
      <c r="O85" s="149">
        <v>72.938000000000002</v>
      </c>
      <c r="P85" s="149">
        <v>75.02</v>
      </c>
      <c r="Q85" s="149">
        <v>77.454999999999998</v>
      </c>
      <c r="R85" s="149">
        <v>80.412000000000006</v>
      </c>
      <c r="S85" s="149">
        <v>83.271000000000001</v>
      </c>
      <c r="T85" s="149">
        <v>85.97</v>
      </c>
      <c r="U85" s="149">
        <v>88.71</v>
      </c>
      <c r="V85" s="149">
        <v>91.478999999999999</v>
      </c>
      <c r="W85" s="149">
        <v>94.296999999999997</v>
      </c>
      <c r="X85" s="149">
        <v>97.164000000000001</v>
      </c>
      <c r="Y85" s="149">
        <v>100.08</v>
      </c>
      <c r="Z85" s="149">
        <v>103.044</v>
      </c>
      <c r="AA85" s="149">
        <v>106.056</v>
      </c>
      <c r="AB85" s="149">
        <v>109.11499999999999</v>
      </c>
      <c r="AC85" s="149">
        <v>112.221</v>
      </c>
      <c r="AD85" s="149">
        <v>115.374</v>
      </c>
      <c r="AE85" s="149">
        <v>118.57299999999999</v>
      </c>
    </row>
    <row r="86" spans="2:31" x14ac:dyDescent="0.35">
      <c r="B86" s="115" t="s">
        <v>3388</v>
      </c>
      <c r="C86" s="115" t="s">
        <v>3260</v>
      </c>
      <c r="D86" s="115" t="s">
        <v>3389</v>
      </c>
      <c r="E86" s="115" t="s">
        <v>1852</v>
      </c>
      <c r="F86" s="115" t="s">
        <v>3263</v>
      </c>
      <c r="H86" s="119" t="s">
        <v>3390</v>
      </c>
      <c r="L86" s="149">
        <v>52.2</v>
      </c>
      <c r="M86" s="149">
        <v>56.902999999999999</v>
      </c>
      <c r="N86" s="149">
        <v>67.484999999999999</v>
      </c>
      <c r="O86" s="149">
        <v>72.938000000000002</v>
      </c>
      <c r="P86" s="149">
        <v>75.02</v>
      </c>
      <c r="Q86" s="149">
        <v>77.454999999999998</v>
      </c>
      <c r="R86" s="149">
        <v>68.415000000000006</v>
      </c>
      <c r="S86" s="149">
        <v>71.459999999999994</v>
      </c>
      <c r="T86" s="149">
        <v>74.015000000000001</v>
      </c>
      <c r="U86" s="149">
        <v>76.510999999999996</v>
      </c>
      <c r="V86" s="149">
        <v>79.001999999999995</v>
      </c>
      <c r="W86" s="149">
        <v>81.600999999999999</v>
      </c>
      <c r="X86" s="149">
        <v>84.373999999999995</v>
      </c>
      <c r="Y86" s="149">
        <v>87.287999999999997</v>
      </c>
      <c r="Z86" s="149">
        <v>90.378</v>
      </c>
      <c r="AA86" s="149">
        <v>93.718000000000004</v>
      </c>
      <c r="AB86" s="149">
        <v>97.298000000000002</v>
      </c>
      <c r="AC86" s="149">
        <v>101.117</v>
      </c>
      <c r="AD86" s="149">
        <v>105.121</v>
      </c>
      <c r="AE86" s="149">
        <v>109.29</v>
      </c>
    </row>
    <row r="87" spans="2:31" x14ac:dyDescent="0.35">
      <c r="B87" s="115" t="s">
        <v>3391</v>
      </c>
      <c r="C87" s="115" t="s">
        <v>3266</v>
      </c>
      <c r="D87" s="115" t="s">
        <v>3389</v>
      </c>
      <c r="E87" s="115" t="s">
        <v>1852</v>
      </c>
      <c r="F87" s="115" t="s">
        <v>3267</v>
      </c>
      <c r="H87" s="119" t="s">
        <v>3390</v>
      </c>
      <c r="L87" s="149">
        <v>52.2</v>
      </c>
      <c r="M87" s="149">
        <v>56.902999999999999</v>
      </c>
      <c r="N87" s="149">
        <v>67.484999999999999</v>
      </c>
      <c r="O87" s="149">
        <v>72.938000000000002</v>
      </c>
      <c r="P87" s="149">
        <v>75.02</v>
      </c>
      <c r="Q87" s="149">
        <v>77.454999999999998</v>
      </c>
      <c r="R87" s="149">
        <v>68.415000000000006</v>
      </c>
      <c r="S87" s="149">
        <v>71.165000000000006</v>
      </c>
      <c r="T87" s="149">
        <v>73.406999999999996</v>
      </c>
      <c r="U87" s="149">
        <v>75.62</v>
      </c>
      <c r="V87" s="149">
        <v>77.837999999999994</v>
      </c>
      <c r="W87" s="149">
        <v>80.12</v>
      </c>
      <c r="X87" s="149">
        <v>82.451999999999998</v>
      </c>
      <c r="Y87" s="149">
        <v>84.828999999999994</v>
      </c>
      <c r="Z87" s="149">
        <v>87.278000000000006</v>
      </c>
      <c r="AA87" s="149">
        <v>89.807000000000002</v>
      </c>
      <c r="AB87" s="149">
        <v>92.382000000000005</v>
      </c>
      <c r="AC87" s="149">
        <v>95.015000000000001</v>
      </c>
      <c r="AD87" s="149">
        <v>97.691000000000003</v>
      </c>
      <c r="AE87" s="149">
        <v>100.43</v>
      </c>
    </row>
    <row r="88" spans="2:31" x14ac:dyDescent="0.35">
      <c r="B88" s="115" t="s">
        <v>3392</v>
      </c>
      <c r="C88" s="115" t="s">
        <v>3269</v>
      </c>
      <c r="D88" s="115" t="s">
        <v>3389</v>
      </c>
      <c r="E88" s="115" t="s">
        <v>1852</v>
      </c>
      <c r="F88" s="115" t="s">
        <v>3270</v>
      </c>
      <c r="H88" s="119" t="s">
        <v>3390</v>
      </c>
      <c r="L88" s="149">
        <v>52.2</v>
      </c>
      <c r="M88" s="149">
        <v>56.902999999999999</v>
      </c>
      <c r="N88" s="149">
        <v>67.484999999999999</v>
      </c>
      <c r="O88" s="149">
        <v>72.938000000000002</v>
      </c>
      <c r="P88" s="149">
        <v>75.02</v>
      </c>
      <c r="Q88" s="149">
        <v>77.454999999999998</v>
      </c>
      <c r="R88" s="149">
        <v>78.14</v>
      </c>
      <c r="S88" s="149">
        <v>77.872</v>
      </c>
      <c r="T88" s="149">
        <v>77.707999999999998</v>
      </c>
      <c r="U88" s="149">
        <v>76.436000000000007</v>
      </c>
      <c r="V88" s="149">
        <v>75.021000000000001</v>
      </c>
      <c r="W88" s="149">
        <v>74.06</v>
      </c>
      <c r="X88" s="149">
        <v>73.435000000000002</v>
      </c>
      <c r="Y88" s="149">
        <v>73.049000000000007</v>
      </c>
      <c r="Z88" s="149">
        <v>72.87</v>
      </c>
      <c r="AA88" s="149">
        <v>72.853999999999999</v>
      </c>
      <c r="AB88" s="149">
        <v>72.988</v>
      </c>
      <c r="AC88" s="149">
        <v>73.254999999999995</v>
      </c>
      <c r="AD88" s="149">
        <v>73.632999999999996</v>
      </c>
      <c r="AE88" s="149">
        <v>74.106999999999999</v>
      </c>
    </row>
    <row r="89" spans="2:31" x14ac:dyDescent="0.35">
      <c r="B89" s="115" t="s">
        <v>3393</v>
      </c>
      <c r="C89" s="115" t="s">
        <v>3272</v>
      </c>
      <c r="D89" s="115" t="s">
        <v>3389</v>
      </c>
      <c r="E89" s="115" t="s">
        <v>1852</v>
      </c>
      <c r="F89" s="115" t="s">
        <v>3273</v>
      </c>
      <c r="H89" s="119" t="s">
        <v>3390</v>
      </c>
      <c r="L89" s="149">
        <v>52.2</v>
      </c>
      <c r="M89" s="149">
        <v>56.902999999999999</v>
      </c>
      <c r="N89" s="149">
        <v>67.484999999999999</v>
      </c>
      <c r="O89" s="149">
        <v>72.938000000000002</v>
      </c>
      <c r="P89" s="149">
        <v>75.02</v>
      </c>
      <c r="Q89" s="149">
        <v>77.454999999999998</v>
      </c>
      <c r="R89" s="149">
        <v>80.412000000000006</v>
      </c>
      <c r="S89" s="149">
        <v>83.305000000000007</v>
      </c>
      <c r="T89" s="149">
        <v>86.076999999999998</v>
      </c>
      <c r="U89" s="149">
        <v>88.921000000000006</v>
      </c>
      <c r="V89" s="149">
        <v>91.831000000000003</v>
      </c>
      <c r="W89" s="149">
        <v>94.87</v>
      </c>
      <c r="X89" s="149">
        <v>98.07</v>
      </c>
      <c r="Y89" s="149">
        <v>101.562</v>
      </c>
      <c r="Z89" s="149">
        <v>105.486</v>
      </c>
      <c r="AA89" s="149">
        <v>110.08499999999999</v>
      </c>
      <c r="AB89" s="149">
        <v>115.65600000000001</v>
      </c>
      <c r="AC89" s="149">
        <v>122.614</v>
      </c>
      <c r="AD89" s="149">
        <v>131.55000000000001</v>
      </c>
      <c r="AE89" s="149">
        <v>140.744</v>
      </c>
    </row>
    <row r="90" spans="2:31" x14ac:dyDescent="0.35">
      <c r="B90" s="115" t="s">
        <v>3394</v>
      </c>
      <c r="C90" s="115" t="s">
        <v>3260</v>
      </c>
      <c r="D90" s="115" t="s">
        <v>3395</v>
      </c>
      <c r="E90" s="115" t="s">
        <v>1852</v>
      </c>
      <c r="F90" s="115" t="s">
        <v>3263</v>
      </c>
      <c r="H90" s="119" t="s">
        <v>3396</v>
      </c>
      <c r="L90" s="149">
        <v>400.91199999999998</v>
      </c>
      <c r="M90" s="149">
        <v>417.87799999999999</v>
      </c>
      <c r="N90" s="149">
        <v>450.28</v>
      </c>
      <c r="O90" s="149">
        <v>474.66800000000001</v>
      </c>
      <c r="P90" s="149">
        <v>488.83699999999999</v>
      </c>
      <c r="Q90" s="149">
        <v>507.334</v>
      </c>
      <c r="R90" s="149">
        <v>531.74699999999996</v>
      </c>
      <c r="S90" s="149">
        <v>560.63599999999997</v>
      </c>
      <c r="T90" s="149">
        <v>594.15599999999995</v>
      </c>
      <c r="U90" s="149">
        <v>637.81200000000001</v>
      </c>
      <c r="V90" s="149">
        <v>701.79399999999998</v>
      </c>
      <c r="W90" s="149">
        <v>772.31500000000005</v>
      </c>
      <c r="X90" s="149">
        <v>835.74800000000005</v>
      </c>
      <c r="Y90" s="149">
        <v>906.16600000000005</v>
      </c>
      <c r="Z90" s="149">
        <v>983.29399999999998</v>
      </c>
      <c r="AA90" s="149">
        <v>1067.761</v>
      </c>
      <c r="AB90" s="149">
        <v>1160.0530000000001</v>
      </c>
      <c r="AC90" s="149">
        <v>1260.6389999999999</v>
      </c>
      <c r="AD90" s="149">
        <v>1370.0440000000001</v>
      </c>
      <c r="AE90" s="149">
        <v>1487.8579999999999</v>
      </c>
    </row>
    <row r="91" spans="2:31" x14ac:dyDescent="0.35">
      <c r="B91" s="115" t="s">
        <v>3397</v>
      </c>
      <c r="C91" s="115" t="s">
        <v>3266</v>
      </c>
      <c r="D91" s="115" t="s">
        <v>3395</v>
      </c>
      <c r="E91" s="115" t="s">
        <v>1852</v>
      </c>
      <c r="F91" s="115" t="s">
        <v>3267</v>
      </c>
      <c r="H91" s="119" t="s">
        <v>3396</v>
      </c>
      <c r="L91" s="149">
        <v>400.91199999999998</v>
      </c>
      <c r="M91" s="149">
        <v>417.87799999999999</v>
      </c>
      <c r="N91" s="149">
        <v>450.28</v>
      </c>
      <c r="O91" s="149">
        <v>474.66800000000001</v>
      </c>
      <c r="P91" s="149">
        <v>488.83699999999999</v>
      </c>
      <c r="Q91" s="149">
        <v>507.334</v>
      </c>
      <c r="R91" s="149">
        <v>531.74699999999996</v>
      </c>
      <c r="S91" s="149">
        <v>560.63599999999997</v>
      </c>
      <c r="T91" s="149">
        <v>594.15599999999995</v>
      </c>
      <c r="U91" s="149">
        <v>637.81200000000001</v>
      </c>
      <c r="V91" s="149">
        <v>701.79399999999998</v>
      </c>
      <c r="W91" s="149">
        <v>772.31500000000005</v>
      </c>
      <c r="X91" s="149">
        <v>835.74800000000005</v>
      </c>
      <c r="Y91" s="149">
        <v>906.16600000000005</v>
      </c>
      <c r="Z91" s="149">
        <v>983.29399999999998</v>
      </c>
      <c r="AA91" s="149">
        <v>1067.761</v>
      </c>
      <c r="AB91" s="149">
        <v>1160.0530000000001</v>
      </c>
      <c r="AC91" s="149">
        <v>1260.6389999999999</v>
      </c>
      <c r="AD91" s="149">
        <v>1370.0440000000001</v>
      </c>
      <c r="AE91" s="149">
        <v>1487.8579999999999</v>
      </c>
    </row>
    <row r="92" spans="2:31" x14ac:dyDescent="0.35">
      <c r="B92" s="115" t="s">
        <v>3398</v>
      </c>
      <c r="C92" s="115" t="s">
        <v>3269</v>
      </c>
      <c r="D92" s="115" t="s">
        <v>3395</v>
      </c>
      <c r="E92" s="115" t="s">
        <v>1852</v>
      </c>
      <c r="F92" s="115" t="s">
        <v>3270</v>
      </c>
      <c r="H92" s="119" t="s">
        <v>3396</v>
      </c>
      <c r="L92" s="149">
        <v>400.91199999999998</v>
      </c>
      <c r="M92" s="149">
        <v>417.87799999999999</v>
      </c>
      <c r="N92" s="149">
        <v>450.28</v>
      </c>
      <c r="O92" s="149">
        <v>474.66800000000001</v>
      </c>
      <c r="P92" s="149">
        <v>488.83699999999999</v>
      </c>
      <c r="Q92" s="149">
        <v>507.334</v>
      </c>
      <c r="R92" s="149">
        <v>531.74699999999996</v>
      </c>
      <c r="S92" s="149">
        <v>560.63599999999997</v>
      </c>
      <c r="T92" s="149">
        <v>594.15599999999995</v>
      </c>
      <c r="U92" s="149">
        <v>637.81200000000001</v>
      </c>
      <c r="V92" s="149">
        <v>701.79399999999998</v>
      </c>
      <c r="W92" s="149">
        <v>772.31500000000005</v>
      </c>
      <c r="X92" s="149">
        <v>835.74800000000005</v>
      </c>
      <c r="Y92" s="149">
        <v>906.16600000000005</v>
      </c>
      <c r="Z92" s="149">
        <v>983.29399999999998</v>
      </c>
      <c r="AA92" s="149">
        <v>1067.761</v>
      </c>
      <c r="AB92" s="149">
        <v>1160.0530000000001</v>
      </c>
      <c r="AC92" s="149">
        <v>1260.6389999999999</v>
      </c>
      <c r="AD92" s="149">
        <v>1370.0440000000001</v>
      </c>
      <c r="AE92" s="149">
        <v>1487.8579999999999</v>
      </c>
    </row>
    <row r="93" spans="2:31" x14ac:dyDescent="0.35">
      <c r="B93" s="115" t="s">
        <v>3399</v>
      </c>
      <c r="C93" s="115" t="s">
        <v>3272</v>
      </c>
      <c r="D93" s="115" t="s">
        <v>3395</v>
      </c>
      <c r="E93" s="115" t="s">
        <v>1852</v>
      </c>
      <c r="F93" s="115" t="s">
        <v>3273</v>
      </c>
      <c r="H93" s="119" t="s">
        <v>3396</v>
      </c>
      <c r="L93" s="149">
        <v>400.91199999999998</v>
      </c>
      <c r="M93" s="149">
        <v>417.87799999999999</v>
      </c>
      <c r="N93" s="149">
        <v>450.28</v>
      </c>
      <c r="O93" s="149">
        <v>474.66800000000001</v>
      </c>
      <c r="P93" s="149">
        <v>488.83699999999999</v>
      </c>
      <c r="Q93" s="149">
        <v>507.334</v>
      </c>
      <c r="R93" s="149">
        <v>531.74699999999996</v>
      </c>
      <c r="S93" s="149">
        <v>560.63599999999997</v>
      </c>
      <c r="T93" s="149">
        <v>594.15599999999995</v>
      </c>
      <c r="U93" s="149">
        <v>637.81200000000001</v>
      </c>
      <c r="V93" s="149">
        <v>701.79399999999998</v>
      </c>
      <c r="W93" s="149">
        <v>772.31500000000005</v>
      </c>
      <c r="X93" s="149">
        <v>835.74800000000005</v>
      </c>
      <c r="Y93" s="149">
        <v>906.16600000000005</v>
      </c>
      <c r="Z93" s="149">
        <v>983.29399999999998</v>
      </c>
      <c r="AA93" s="149">
        <v>1067.761</v>
      </c>
      <c r="AB93" s="149">
        <v>1160.0530000000001</v>
      </c>
      <c r="AC93" s="149">
        <v>1260.6389999999999</v>
      </c>
      <c r="AD93" s="149">
        <v>1370.0440000000001</v>
      </c>
      <c r="AE93" s="149">
        <v>1487.8579999999999</v>
      </c>
    </row>
    <row r="94" spans="2:31" x14ac:dyDescent="0.35">
      <c r="B94" s="115" t="s">
        <v>3400</v>
      </c>
      <c r="C94" s="115" t="s">
        <v>3260</v>
      </c>
      <c r="D94" s="115" t="s">
        <v>3401</v>
      </c>
      <c r="E94" s="115" t="s">
        <v>1852</v>
      </c>
      <c r="F94" s="115" t="s">
        <v>3263</v>
      </c>
      <c r="H94" s="119" t="s">
        <v>3402</v>
      </c>
      <c r="L94" s="149">
        <v>400.91199999999998</v>
      </c>
      <c r="M94" s="149">
        <v>417.779</v>
      </c>
      <c r="N94" s="149">
        <v>450.16500000000002</v>
      </c>
      <c r="O94" s="149">
        <v>474.55700000000002</v>
      </c>
      <c r="P94" s="149">
        <v>488.72800000000001</v>
      </c>
      <c r="Q94" s="149">
        <v>507.15600000000001</v>
      </c>
      <c r="R94" s="149">
        <v>497.15</v>
      </c>
      <c r="S94" s="149">
        <v>517.96299999999997</v>
      </c>
      <c r="T94" s="149">
        <v>555.279</v>
      </c>
      <c r="U94" s="149">
        <v>598.30100000000004</v>
      </c>
      <c r="V94" s="149">
        <v>667.41700000000003</v>
      </c>
      <c r="W94" s="149">
        <v>723.178</v>
      </c>
      <c r="X94" s="149">
        <v>784.76800000000003</v>
      </c>
      <c r="Y94" s="149">
        <v>853.19</v>
      </c>
      <c r="Z94" s="149">
        <v>928.76499999999999</v>
      </c>
      <c r="AA94" s="149">
        <v>1012.0069999999999</v>
      </c>
      <c r="AB94" s="149">
        <v>1103.4390000000001</v>
      </c>
      <c r="AC94" s="149">
        <v>1203.5229999999999</v>
      </c>
      <c r="AD94" s="149">
        <v>1312.6610000000001</v>
      </c>
      <c r="AE94" s="149">
        <v>1430.405</v>
      </c>
    </row>
    <row r="95" spans="2:31" x14ac:dyDescent="0.35">
      <c r="B95" s="115" t="s">
        <v>3403</v>
      </c>
      <c r="C95" s="115" t="s">
        <v>3266</v>
      </c>
      <c r="D95" s="115" t="s">
        <v>3401</v>
      </c>
      <c r="E95" s="115" t="s">
        <v>1852</v>
      </c>
      <c r="F95" s="115" t="s">
        <v>3267</v>
      </c>
      <c r="H95" s="119" t="s">
        <v>3402</v>
      </c>
      <c r="L95" s="149">
        <v>400.91199999999998</v>
      </c>
      <c r="M95" s="149">
        <v>417.779</v>
      </c>
      <c r="N95" s="149">
        <v>450.16500000000002</v>
      </c>
      <c r="O95" s="149">
        <v>474.55700000000002</v>
      </c>
      <c r="P95" s="149">
        <v>488.72800000000001</v>
      </c>
      <c r="Q95" s="149">
        <v>507.15600000000001</v>
      </c>
      <c r="R95" s="149">
        <v>497.15</v>
      </c>
      <c r="S95" s="149">
        <v>516.83199999999999</v>
      </c>
      <c r="T95" s="149">
        <v>553.154</v>
      </c>
      <c r="U95" s="149">
        <v>594.93200000000002</v>
      </c>
      <c r="V95" s="149">
        <v>662.98599999999999</v>
      </c>
      <c r="W95" s="149">
        <v>718.69100000000003</v>
      </c>
      <c r="X95" s="149">
        <v>779.16200000000003</v>
      </c>
      <c r="Y95" s="149">
        <v>846.23800000000006</v>
      </c>
      <c r="Z95" s="149">
        <v>920.21900000000005</v>
      </c>
      <c r="AA95" s="149">
        <v>1001.454</v>
      </c>
      <c r="AB95" s="149">
        <v>1090.415</v>
      </c>
      <c r="AC95" s="149">
        <v>1187.5920000000001</v>
      </c>
      <c r="AD95" s="149">
        <v>1293.482</v>
      </c>
      <c r="AE95" s="149">
        <v>1407.72</v>
      </c>
    </row>
    <row r="96" spans="2:31" x14ac:dyDescent="0.35">
      <c r="B96" s="115" t="s">
        <v>3404</v>
      </c>
      <c r="C96" s="115" t="s">
        <v>3269</v>
      </c>
      <c r="D96" s="115" t="s">
        <v>3401</v>
      </c>
      <c r="E96" s="115" t="s">
        <v>1852</v>
      </c>
      <c r="F96" s="115" t="s">
        <v>3270</v>
      </c>
      <c r="H96" s="119" t="s">
        <v>3402</v>
      </c>
      <c r="L96" s="149">
        <v>400.91199999999998</v>
      </c>
      <c r="M96" s="149">
        <v>417.87400000000002</v>
      </c>
      <c r="N96" s="149">
        <v>450.27499999999998</v>
      </c>
      <c r="O96" s="149">
        <v>474.66300000000001</v>
      </c>
      <c r="P96" s="149">
        <v>488.83300000000003</v>
      </c>
      <c r="Q96" s="149">
        <v>507.29399999999998</v>
      </c>
      <c r="R96" s="149">
        <v>525.95600000000002</v>
      </c>
      <c r="S96" s="149">
        <v>546.53</v>
      </c>
      <c r="T96" s="149">
        <v>572.61400000000003</v>
      </c>
      <c r="U96" s="149">
        <v>607.83799999999997</v>
      </c>
      <c r="V96" s="149">
        <v>668.18</v>
      </c>
      <c r="W96" s="149">
        <v>713.41800000000001</v>
      </c>
      <c r="X96" s="149">
        <v>765.05</v>
      </c>
      <c r="Y96" s="149">
        <v>823.14400000000001</v>
      </c>
      <c r="Z96" s="149">
        <v>887.99400000000003</v>
      </c>
      <c r="AA96" s="149">
        <v>959.81799999999998</v>
      </c>
      <c r="AB96" s="149">
        <v>1039.175</v>
      </c>
      <c r="AC96" s="149">
        <v>1126.569</v>
      </c>
      <c r="AD96" s="149">
        <v>1222.5160000000001</v>
      </c>
      <c r="AE96" s="149">
        <v>1326.681</v>
      </c>
    </row>
    <row r="97" spans="2:31" x14ac:dyDescent="0.35">
      <c r="B97" s="115" t="s">
        <v>3405</v>
      </c>
      <c r="C97" s="115" t="s">
        <v>3272</v>
      </c>
      <c r="D97" s="115" t="s">
        <v>3401</v>
      </c>
      <c r="E97" s="115" t="s">
        <v>1852</v>
      </c>
      <c r="F97" s="115" t="s">
        <v>3273</v>
      </c>
      <c r="H97" s="119" t="s">
        <v>3402</v>
      </c>
      <c r="L97" s="149">
        <v>400.91199999999998</v>
      </c>
      <c r="M97" s="149">
        <v>417.87799999999999</v>
      </c>
      <c r="N97" s="149">
        <v>450.28</v>
      </c>
      <c r="O97" s="149">
        <v>474.66800000000001</v>
      </c>
      <c r="P97" s="149">
        <v>488.83699999999999</v>
      </c>
      <c r="Q97" s="149">
        <v>507.334</v>
      </c>
      <c r="R97" s="149">
        <v>531.74699999999996</v>
      </c>
      <c r="S97" s="149">
        <v>554.16099999999994</v>
      </c>
      <c r="T97" s="149">
        <v>584.53899999999999</v>
      </c>
      <c r="U97" s="149">
        <v>625.25900000000001</v>
      </c>
      <c r="V97" s="149">
        <v>679.52499999999998</v>
      </c>
      <c r="W97" s="149">
        <v>752.91800000000001</v>
      </c>
      <c r="X97" s="149">
        <v>812.11800000000005</v>
      </c>
      <c r="Y97" s="149">
        <v>877.48900000000003</v>
      </c>
      <c r="Z97" s="149">
        <v>949.23500000000001</v>
      </c>
      <c r="AA97" s="149">
        <v>1028.2429999999999</v>
      </c>
      <c r="AB97" s="149">
        <v>1115.5139999999999</v>
      </c>
      <c r="AC97" s="149">
        <v>1212.299</v>
      </c>
      <c r="AD97" s="149">
        <v>1320.2629999999999</v>
      </c>
      <c r="AE97" s="149">
        <v>1435.0740000000001</v>
      </c>
    </row>
    <row r="98" spans="2:31" x14ac:dyDescent="0.35">
      <c r="B98" s="115" t="s">
        <v>3406</v>
      </c>
      <c r="C98" s="115" t="s">
        <v>3260</v>
      </c>
      <c r="D98" s="115" t="s">
        <v>3407</v>
      </c>
      <c r="E98" s="115" t="s">
        <v>3408</v>
      </c>
      <c r="F98" s="115" t="s">
        <v>3263</v>
      </c>
      <c r="H98" s="119" t="s">
        <v>3409</v>
      </c>
      <c r="L98" s="149">
        <v>0</v>
      </c>
      <c r="M98" s="149">
        <v>0</v>
      </c>
      <c r="N98" s="149">
        <v>0</v>
      </c>
      <c r="O98" s="149">
        <v>0</v>
      </c>
      <c r="P98" s="149">
        <v>0</v>
      </c>
      <c r="Q98" s="149">
        <v>0</v>
      </c>
      <c r="R98" s="149">
        <v>0.15</v>
      </c>
      <c r="S98" s="149">
        <v>0.15</v>
      </c>
      <c r="T98" s="149">
        <v>0.16</v>
      </c>
      <c r="U98" s="149">
        <v>0.16</v>
      </c>
      <c r="V98" s="149">
        <v>0.16</v>
      </c>
      <c r="W98" s="149">
        <v>0.17</v>
      </c>
      <c r="X98" s="149">
        <v>0.17</v>
      </c>
      <c r="Y98" s="149">
        <v>0.17</v>
      </c>
      <c r="Z98" s="149">
        <v>0.18</v>
      </c>
      <c r="AA98" s="149">
        <v>0.18</v>
      </c>
      <c r="AB98" s="149">
        <v>0.18</v>
      </c>
      <c r="AC98" s="149">
        <v>0.19</v>
      </c>
      <c r="AD98" s="149">
        <v>0.19</v>
      </c>
      <c r="AE98" s="149">
        <v>0.2</v>
      </c>
    </row>
    <row r="99" spans="2:31" x14ac:dyDescent="0.35">
      <c r="B99" s="115" t="s">
        <v>3410</v>
      </c>
      <c r="C99" s="115" t="s">
        <v>3266</v>
      </c>
      <c r="D99" s="115" t="s">
        <v>3407</v>
      </c>
      <c r="E99" s="115" t="s">
        <v>3408</v>
      </c>
      <c r="F99" s="115" t="s">
        <v>3267</v>
      </c>
      <c r="H99" s="119" t="s">
        <v>3409</v>
      </c>
      <c r="L99" s="149">
        <v>0</v>
      </c>
      <c r="M99" s="149">
        <v>0</v>
      </c>
      <c r="N99" s="149">
        <v>0</v>
      </c>
      <c r="O99" s="149">
        <v>0</v>
      </c>
      <c r="P99" s="149">
        <v>0</v>
      </c>
      <c r="Q99" s="149">
        <v>0</v>
      </c>
      <c r="R99" s="149">
        <v>0.15</v>
      </c>
      <c r="S99" s="149">
        <v>0.15</v>
      </c>
      <c r="T99" s="149">
        <v>0.16</v>
      </c>
      <c r="U99" s="149">
        <v>0.16</v>
      </c>
      <c r="V99" s="149">
        <v>0.16</v>
      </c>
      <c r="W99" s="149">
        <v>0.16</v>
      </c>
      <c r="X99" s="149">
        <v>0.17</v>
      </c>
      <c r="Y99" s="149">
        <v>0.17</v>
      </c>
      <c r="Z99" s="149">
        <v>0.17</v>
      </c>
      <c r="AA99" s="149">
        <v>0.18</v>
      </c>
      <c r="AB99" s="149">
        <v>0.18</v>
      </c>
      <c r="AC99" s="149">
        <v>0.18</v>
      </c>
      <c r="AD99" s="149">
        <v>0.18</v>
      </c>
      <c r="AE99" s="149">
        <v>0.19</v>
      </c>
    </row>
    <row r="100" spans="2:31" x14ac:dyDescent="0.35">
      <c r="B100" s="115" t="s">
        <v>3411</v>
      </c>
      <c r="C100" s="115" t="s">
        <v>3269</v>
      </c>
      <c r="D100" s="115" t="s">
        <v>3407</v>
      </c>
      <c r="E100" s="115" t="s">
        <v>3408</v>
      </c>
      <c r="F100" s="115" t="s">
        <v>3270</v>
      </c>
      <c r="H100" s="119" t="s">
        <v>3409</v>
      </c>
      <c r="L100" s="149">
        <v>0</v>
      </c>
      <c r="M100" s="149">
        <v>0</v>
      </c>
      <c r="N100" s="149">
        <v>0</v>
      </c>
      <c r="O100" s="149">
        <v>0</v>
      </c>
      <c r="P100" s="149">
        <v>0</v>
      </c>
      <c r="Q100" s="149">
        <v>0</v>
      </c>
      <c r="R100" s="149">
        <v>0.04</v>
      </c>
      <c r="S100" s="149">
        <v>0.1</v>
      </c>
      <c r="T100" s="149">
        <v>0.16</v>
      </c>
      <c r="U100" s="149">
        <v>0.21</v>
      </c>
      <c r="V100" s="149">
        <v>0.26</v>
      </c>
      <c r="W100" s="149">
        <v>0.31</v>
      </c>
      <c r="X100" s="149">
        <v>0.35</v>
      </c>
      <c r="Y100" s="149">
        <v>0.4</v>
      </c>
      <c r="Z100" s="149">
        <v>0.45</v>
      </c>
      <c r="AA100" s="149">
        <v>0.49</v>
      </c>
      <c r="AB100" s="149">
        <v>0.54</v>
      </c>
      <c r="AC100" s="149">
        <v>0.57999999999999996</v>
      </c>
      <c r="AD100" s="149">
        <v>0.62</v>
      </c>
      <c r="AE100" s="149">
        <v>0.67</v>
      </c>
    </row>
    <row r="101" spans="2:31" x14ac:dyDescent="0.35">
      <c r="B101" s="115" t="s">
        <v>3412</v>
      </c>
      <c r="C101" s="115" t="s">
        <v>3272</v>
      </c>
      <c r="D101" s="115" t="s">
        <v>3407</v>
      </c>
      <c r="E101" s="115" t="s">
        <v>3408</v>
      </c>
      <c r="F101" s="115" t="s">
        <v>3273</v>
      </c>
      <c r="H101" s="119" t="s">
        <v>3409</v>
      </c>
      <c r="L101" s="149">
        <v>0</v>
      </c>
      <c r="M101" s="149">
        <v>0</v>
      </c>
      <c r="N101" s="149">
        <v>0</v>
      </c>
      <c r="O101" s="149">
        <v>0</v>
      </c>
      <c r="P101" s="149">
        <v>0</v>
      </c>
      <c r="Q101" s="149">
        <v>0</v>
      </c>
      <c r="R101" s="149">
        <v>0</v>
      </c>
      <c r="S101" s="149">
        <v>0</v>
      </c>
      <c r="T101" s="149">
        <v>0</v>
      </c>
      <c r="U101" s="149">
        <v>0</v>
      </c>
      <c r="V101" s="149">
        <v>0</v>
      </c>
      <c r="W101" s="149">
        <v>0</v>
      </c>
      <c r="X101" s="149">
        <v>0</v>
      </c>
      <c r="Y101" s="149">
        <v>0</v>
      </c>
      <c r="Z101" s="149">
        <v>0</v>
      </c>
      <c r="AA101" s="149">
        <v>0</v>
      </c>
      <c r="AB101" s="149">
        <v>0</v>
      </c>
      <c r="AC101" s="149">
        <v>0</v>
      </c>
      <c r="AD101" s="149">
        <v>0</v>
      </c>
      <c r="AE101" s="149">
        <v>0</v>
      </c>
    </row>
    <row r="102" spans="2:31" x14ac:dyDescent="0.35">
      <c r="B102" s="115" t="s">
        <v>3413</v>
      </c>
      <c r="C102" s="115" t="s">
        <v>3260</v>
      </c>
      <c r="D102" s="115" t="s">
        <v>3414</v>
      </c>
      <c r="E102" s="115" t="s">
        <v>3408</v>
      </c>
      <c r="F102" s="115" t="s">
        <v>3263</v>
      </c>
      <c r="H102" s="119" t="s">
        <v>3415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1.33</v>
      </c>
      <c r="S102" s="149">
        <v>1.5</v>
      </c>
      <c r="T102" s="149">
        <v>1.72</v>
      </c>
      <c r="U102" s="149">
        <v>1.99</v>
      </c>
      <c r="V102" s="149">
        <v>2.3199999999999998</v>
      </c>
      <c r="W102" s="149">
        <v>2.7</v>
      </c>
      <c r="X102" s="149">
        <v>3.13</v>
      </c>
      <c r="Y102" s="149">
        <v>3.61</v>
      </c>
      <c r="Z102" s="149">
        <v>4.1399999999999997</v>
      </c>
      <c r="AA102" s="149">
        <v>4.7300000000000004</v>
      </c>
      <c r="AB102" s="149">
        <v>5.37</v>
      </c>
      <c r="AC102" s="149">
        <v>6.06</v>
      </c>
      <c r="AD102" s="149">
        <v>6.81</v>
      </c>
      <c r="AE102" s="149">
        <v>7.6</v>
      </c>
    </row>
    <row r="103" spans="2:31" x14ac:dyDescent="0.35">
      <c r="B103" s="115" t="s">
        <v>3416</v>
      </c>
      <c r="C103" s="115" t="s">
        <v>3266</v>
      </c>
      <c r="D103" s="115" t="s">
        <v>3414</v>
      </c>
      <c r="E103" s="115" t="s">
        <v>3408</v>
      </c>
      <c r="F103" s="115" t="s">
        <v>3267</v>
      </c>
      <c r="H103" s="119" t="s">
        <v>3415</v>
      </c>
      <c r="L103" s="149">
        <v>0</v>
      </c>
      <c r="M103" s="149">
        <v>0</v>
      </c>
      <c r="N103" s="149">
        <v>0</v>
      </c>
      <c r="O103" s="149">
        <v>0</v>
      </c>
      <c r="P103" s="149">
        <v>0</v>
      </c>
      <c r="Q103" s="149">
        <v>0</v>
      </c>
      <c r="R103" s="149">
        <v>1.33</v>
      </c>
      <c r="S103" s="149">
        <v>1.5</v>
      </c>
      <c r="T103" s="149">
        <v>1.71</v>
      </c>
      <c r="U103" s="149">
        <v>1.98</v>
      </c>
      <c r="V103" s="149">
        <v>2.31</v>
      </c>
      <c r="W103" s="149">
        <v>2.69</v>
      </c>
      <c r="X103" s="149">
        <v>3.12</v>
      </c>
      <c r="Y103" s="149">
        <v>3.6</v>
      </c>
      <c r="Z103" s="149">
        <v>4.13</v>
      </c>
      <c r="AA103" s="149">
        <v>4.72</v>
      </c>
      <c r="AB103" s="149">
        <v>5.35</v>
      </c>
      <c r="AC103" s="149">
        <v>6.04</v>
      </c>
      <c r="AD103" s="149">
        <v>6.78</v>
      </c>
      <c r="AE103" s="149">
        <v>7.57</v>
      </c>
    </row>
    <row r="104" spans="2:31" x14ac:dyDescent="0.35">
      <c r="B104" s="115" t="s">
        <v>3417</v>
      </c>
      <c r="C104" s="115" t="s">
        <v>3269</v>
      </c>
      <c r="D104" s="115" t="s">
        <v>3414</v>
      </c>
      <c r="E104" s="115" t="s">
        <v>3408</v>
      </c>
      <c r="F104" s="115" t="s">
        <v>3270</v>
      </c>
      <c r="H104" s="119" t="s">
        <v>3415</v>
      </c>
      <c r="L104" s="149">
        <v>0</v>
      </c>
      <c r="M104" s="149">
        <v>0</v>
      </c>
      <c r="N104" s="149">
        <v>0</v>
      </c>
      <c r="O104" s="149">
        <v>0</v>
      </c>
      <c r="P104" s="149">
        <v>0</v>
      </c>
      <c r="Q104" s="149">
        <v>0</v>
      </c>
      <c r="R104" s="149">
        <v>0.02</v>
      </c>
      <c r="S104" s="149">
        <v>0.04</v>
      </c>
      <c r="T104" s="149">
        <v>7.0000000000000007E-2</v>
      </c>
      <c r="U104" s="149">
        <v>0.08</v>
      </c>
      <c r="V104" s="149">
        <v>0.1</v>
      </c>
      <c r="W104" s="149">
        <v>0.12</v>
      </c>
      <c r="X104" s="149">
        <v>0.13</v>
      </c>
      <c r="Y104" s="149">
        <v>0.15</v>
      </c>
      <c r="Z104" s="149">
        <v>0.16</v>
      </c>
      <c r="AA104" s="149">
        <v>0.18</v>
      </c>
      <c r="AB104" s="149">
        <v>0.19</v>
      </c>
      <c r="AC104" s="149">
        <v>0.2</v>
      </c>
      <c r="AD104" s="149">
        <v>0.21</v>
      </c>
      <c r="AE104" s="149">
        <v>0.22</v>
      </c>
    </row>
    <row r="105" spans="2:31" x14ac:dyDescent="0.35">
      <c r="B105" s="115" t="s">
        <v>3418</v>
      </c>
      <c r="C105" s="115" t="s">
        <v>3272</v>
      </c>
      <c r="D105" s="115" t="s">
        <v>3414</v>
      </c>
      <c r="E105" s="115" t="s">
        <v>3408</v>
      </c>
      <c r="F105" s="115" t="s">
        <v>3273</v>
      </c>
      <c r="H105" s="119" t="s">
        <v>3415</v>
      </c>
      <c r="L105" s="149">
        <v>0</v>
      </c>
      <c r="M105" s="149">
        <v>0</v>
      </c>
      <c r="N105" s="149">
        <v>0</v>
      </c>
      <c r="O105" s="149">
        <v>0</v>
      </c>
      <c r="P105" s="149">
        <v>0</v>
      </c>
      <c r="Q105" s="149">
        <v>0</v>
      </c>
      <c r="R105" s="149">
        <v>0</v>
      </c>
      <c r="S105" s="149">
        <v>0</v>
      </c>
      <c r="T105" s="149">
        <v>0</v>
      </c>
      <c r="U105" s="149">
        <v>0</v>
      </c>
      <c r="V105" s="149">
        <v>0</v>
      </c>
      <c r="W105" s="149">
        <v>0</v>
      </c>
      <c r="X105" s="149">
        <v>0</v>
      </c>
      <c r="Y105" s="149">
        <v>0</v>
      </c>
      <c r="Z105" s="149">
        <v>0</v>
      </c>
      <c r="AA105" s="149">
        <v>0</v>
      </c>
      <c r="AB105" s="149">
        <v>0</v>
      </c>
      <c r="AC105" s="149">
        <v>0</v>
      </c>
      <c r="AD105" s="149">
        <v>0</v>
      </c>
      <c r="AE105" s="149">
        <v>0</v>
      </c>
    </row>
    <row r="106" spans="2:31" x14ac:dyDescent="0.35">
      <c r="B106" s="115" t="s">
        <v>3419</v>
      </c>
      <c r="C106" s="115" t="s">
        <v>3260</v>
      </c>
      <c r="D106" s="115" t="s">
        <v>3420</v>
      </c>
      <c r="E106" s="115" t="s">
        <v>3408</v>
      </c>
      <c r="F106" s="115" t="s">
        <v>3263</v>
      </c>
      <c r="H106" s="119" t="s">
        <v>3421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v>0</v>
      </c>
      <c r="R106" s="149">
        <v>0.47</v>
      </c>
      <c r="S106" s="149">
        <v>0.52</v>
      </c>
      <c r="T106" s="149">
        <v>0.59</v>
      </c>
      <c r="U106" s="149">
        <v>0.67</v>
      </c>
      <c r="V106" s="149">
        <v>0.75</v>
      </c>
      <c r="W106" s="149">
        <v>0.84</v>
      </c>
      <c r="X106" s="149">
        <v>0.93</v>
      </c>
      <c r="Y106" s="149">
        <v>1.02</v>
      </c>
      <c r="Z106" s="149">
        <v>1.1100000000000001</v>
      </c>
      <c r="AA106" s="149">
        <v>1.2</v>
      </c>
      <c r="AB106" s="149">
        <v>1.28</v>
      </c>
      <c r="AC106" s="149">
        <v>1.37</v>
      </c>
      <c r="AD106" s="149">
        <v>1.44</v>
      </c>
      <c r="AE106" s="149">
        <v>1.52</v>
      </c>
    </row>
    <row r="107" spans="2:31" x14ac:dyDescent="0.35">
      <c r="B107" s="115" t="s">
        <v>3422</v>
      </c>
      <c r="C107" s="115" t="s">
        <v>3266</v>
      </c>
      <c r="D107" s="115" t="s">
        <v>3420</v>
      </c>
      <c r="E107" s="115" t="s">
        <v>3408</v>
      </c>
      <c r="F107" s="115" t="s">
        <v>3267</v>
      </c>
      <c r="H107" s="119" t="s">
        <v>3421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0.47</v>
      </c>
      <c r="S107" s="149">
        <v>0.52</v>
      </c>
      <c r="T107" s="149">
        <v>0.59</v>
      </c>
      <c r="U107" s="149">
        <v>0.67</v>
      </c>
      <c r="V107" s="149">
        <v>0.75</v>
      </c>
      <c r="W107" s="149">
        <v>0.84</v>
      </c>
      <c r="X107" s="149">
        <v>0.93</v>
      </c>
      <c r="Y107" s="149">
        <v>1.02</v>
      </c>
      <c r="Z107" s="149">
        <v>1.1100000000000001</v>
      </c>
      <c r="AA107" s="149">
        <v>1.2</v>
      </c>
      <c r="AB107" s="149">
        <v>1.28</v>
      </c>
      <c r="AC107" s="149">
        <v>1.37</v>
      </c>
      <c r="AD107" s="149">
        <v>1.44</v>
      </c>
      <c r="AE107" s="149">
        <v>1.52</v>
      </c>
    </row>
    <row r="108" spans="2:31" x14ac:dyDescent="0.35">
      <c r="B108" s="115" t="s">
        <v>3423</v>
      </c>
      <c r="C108" s="115" t="s">
        <v>3269</v>
      </c>
      <c r="D108" s="115" t="s">
        <v>3420</v>
      </c>
      <c r="E108" s="115" t="s">
        <v>3408</v>
      </c>
      <c r="F108" s="115" t="s">
        <v>3270</v>
      </c>
      <c r="H108" s="119" t="s">
        <v>3421</v>
      </c>
      <c r="L108" s="149">
        <v>0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49">
        <v>0</v>
      </c>
      <c r="T108" s="149">
        <v>0</v>
      </c>
      <c r="U108" s="149">
        <v>0</v>
      </c>
      <c r="V108" s="149">
        <v>0</v>
      </c>
      <c r="W108" s="149">
        <v>0</v>
      </c>
      <c r="X108" s="149">
        <v>0</v>
      </c>
      <c r="Y108" s="149">
        <v>0</v>
      </c>
      <c r="Z108" s="149">
        <v>0</v>
      </c>
      <c r="AA108" s="149">
        <v>0</v>
      </c>
      <c r="AB108" s="149">
        <v>0</v>
      </c>
      <c r="AC108" s="149">
        <v>0</v>
      </c>
      <c r="AD108" s="149">
        <v>0</v>
      </c>
      <c r="AE108" s="149">
        <v>0</v>
      </c>
    </row>
    <row r="109" spans="2:31" x14ac:dyDescent="0.35">
      <c r="B109" s="115" t="s">
        <v>3424</v>
      </c>
      <c r="C109" s="115" t="s">
        <v>3272</v>
      </c>
      <c r="D109" s="115" t="s">
        <v>3420</v>
      </c>
      <c r="E109" s="115" t="s">
        <v>3408</v>
      </c>
      <c r="F109" s="115" t="s">
        <v>3273</v>
      </c>
      <c r="H109" s="119" t="s">
        <v>3421</v>
      </c>
      <c r="L109" s="149">
        <v>0</v>
      </c>
      <c r="M109" s="149">
        <v>0</v>
      </c>
      <c r="N109" s="149">
        <v>0</v>
      </c>
      <c r="O109" s="149">
        <v>0</v>
      </c>
      <c r="P109" s="149">
        <v>0</v>
      </c>
      <c r="Q109" s="149">
        <v>0</v>
      </c>
      <c r="R109" s="149">
        <v>0</v>
      </c>
      <c r="S109" s="149">
        <v>0</v>
      </c>
      <c r="T109" s="149">
        <v>0</v>
      </c>
      <c r="U109" s="149">
        <v>0</v>
      </c>
      <c r="V109" s="149">
        <v>0</v>
      </c>
      <c r="W109" s="149">
        <v>0</v>
      </c>
      <c r="X109" s="149">
        <v>0</v>
      </c>
      <c r="Y109" s="149">
        <v>0</v>
      </c>
      <c r="Z109" s="149">
        <v>0</v>
      </c>
      <c r="AA109" s="149">
        <v>0</v>
      </c>
      <c r="AB109" s="149">
        <v>0</v>
      </c>
      <c r="AC109" s="149">
        <v>0</v>
      </c>
      <c r="AD109" s="149">
        <v>0</v>
      </c>
      <c r="AE109" s="149">
        <v>0</v>
      </c>
    </row>
    <row r="110" spans="2:31" x14ac:dyDescent="0.35">
      <c r="B110" s="115" t="s">
        <v>3425</v>
      </c>
      <c r="C110" s="115" t="s">
        <v>3260</v>
      </c>
      <c r="D110" s="115" t="s">
        <v>3426</v>
      </c>
      <c r="E110" s="115" t="s">
        <v>3408</v>
      </c>
      <c r="F110" s="115" t="s">
        <v>3263</v>
      </c>
      <c r="H110" s="119" t="s">
        <v>3427</v>
      </c>
      <c r="L110" s="149">
        <v>0</v>
      </c>
      <c r="M110" s="149">
        <v>0</v>
      </c>
      <c r="N110" s="149">
        <v>0</v>
      </c>
      <c r="O110" s="149">
        <v>0</v>
      </c>
      <c r="P110" s="149">
        <v>0</v>
      </c>
      <c r="Q110" s="149">
        <v>0</v>
      </c>
      <c r="R110" s="149">
        <v>0.37</v>
      </c>
      <c r="S110" s="149">
        <v>0.39</v>
      </c>
      <c r="T110" s="149">
        <v>0.4</v>
      </c>
      <c r="U110" s="149">
        <v>0.41</v>
      </c>
      <c r="V110" s="149">
        <v>0.42</v>
      </c>
      <c r="W110" s="149">
        <v>0.43</v>
      </c>
      <c r="X110" s="149">
        <v>0.44</v>
      </c>
      <c r="Y110" s="149">
        <v>0.45</v>
      </c>
      <c r="Z110" s="149">
        <v>0.47</v>
      </c>
      <c r="AA110" s="149">
        <v>0.48</v>
      </c>
      <c r="AB110" s="149">
        <v>0.49</v>
      </c>
      <c r="AC110" s="149">
        <v>0.51</v>
      </c>
      <c r="AD110" s="149">
        <v>0.53</v>
      </c>
      <c r="AE110" s="149">
        <v>0.54</v>
      </c>
    </row>
    <row r="111" spans="2:31" x14ac:dyDescent="0.35">
      <c r="B111" s="115" t="s">
        <v>3428</v>
      </c>
      <c r="C111" s="115" t="s">
        <v>3266</v>
      </c>
      <c r="D111" s="115" t="s">
        <v>3426</v>
      </c>
      <c r="E111" s="115" t="s">
        <v>3408</v>
      </c>
      <c r="F111" s="115" t="s">
        <v>3267</v>
      </c>
      <c r="H111" s="119" t="s">
        <v>3427</v>
      </c>
      <c r="L111" s="149">
        <v>0</v>
      </c>
      <c r="M111" s="149">
        <v>0</v>
      </c>
      <c r="N111" s="149">
        <v>0</v>
      </c>
      <c r="O111" s="149">
        <v>0</v>
      </c>
      <c r="P111" s="149">
        <v>0</v>
      </c>
      <c r="Q111" s="149">
        <v>0</v>
      </c>
      <c r="R111" s="149">
        <v>0.37</v>
      </c>
      <c r="S111" s="149">
        <v>0.38</v>
      </c>
      <c r="T111" s="149">
        <v>0.39</v>
      </c>
      <c r="U111" s="149">
        <v>0.4</v>
      </c>
      <c r="V111" s="149">
        <v>0.41</v>
      </c>
      <c r="W111" s="149">
        <v>0.42</v>
      </c>
      <c r="X111" s="149">
        <v>0.43</v>
      </c>
      <c r="Y111" s="149">
        <v>0.44</v>
      </c>
      <c r="Z111" s="149">
        <v>0.45</v>
      </c>
      <c r="AA111" s="149">
        <v>0.46</v>
      </c>
      <c r="AB111" s="149">
        <v>0.47</v>
      </c>
      <c r="AC111" s="149">
        <v>0.49</v>
      </c>
      <c r="AD111" s="149">
        <v>0.5</v>
      </c>
      <c r="AE111" s="149">
        <v>0.51</v>
      </c>
    </row>
    <row r="112" spans="2:31" x14ac:dyDescent="0.35">
      <c r="B112" s="115" t="s">
        <v>3429</v>
      </c>
      <c r="C112" s="115" t="s">
        <v>3269</v>
      </c>
      <c r="D112" s="115" t="s">
        <v>3426</v>
      </c>
      <c r="E112" s="115" t="s">
        <v>3408</v>
      </c>
      <c r="F112" s="115" t="s">
        <v>3270</v>
      </c>
      <c r="H112" s="119" t="s">
        <v>3427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v>0</v>
      </c>
      <c r="R112" s="149">
        <v>0.05</v>
      </c>
      <c r="S112" s="149">
        <v>0.12</v>
      </c>
      <c r="T112" s="149">
        <v>0.18</v>
      </c>
      <c r="U112" s="149">
        <v>0.24</v>
      </c>
      <c r="V112" s="149">
        <v>0.28999999999999998</v>
      </c>
      <c r="W112" s="149">
        <v>0.34</v>
      </c>
      <c r="X112" s="149">
        <v>0.39</v>
      </c>
      <c r="Y112" s="149">
        <v>0.44</v>
      </c>
      <c r="Z112" s="149">
        <v>0.49</v>
      </c>
      <c r="AA112" s="149">
        <v>0.54</v>
      </c>
      <c r="AB112" s="149">
        <v>0.59</v>
      </c>
      <c r="AC112" s="149">
        <v>0.64</v>
      </c>
      <c r="AD112" s="149">
        <v>0.69</v>
      </c>
      <c r="AE112" s="149">
        <v>0.74</v>
      </c>
    </row>
    <row r="113" spans="2:31" x14ac:dyDescent="0.35">
      <c r="B113" s="115" t="s">
        <v>3430</v>
      </c>
      <c r="C113" s="115" t="s">
        <v>3272</v>
      </c>
      <c r="D113" s="115" t="s">
        <v>3426</v>
      </c>
      <c r="E113" s="115" t="s">
        <v>3408</v>
      </c>
      <c r="F113" s="115" t="s">
        <v>3273</v>
      </c>
      <c r="H113" s="119" t="s">
        <v>3427</v>
      </c>
      <c r="L113" s="149">
        <v>0</v>
      </c>
      <c r="M113" s="149">
        <v>0</v>
      </c>
      <c r="N113" s="149">
        <v>0</v>
      </c>
      <c r="O113" s="149">
        <v>0</v>
      </c>
      <c r="P113" s="149">
        <v>0</v>
      </c>
      <c r="Q113" s="149">
        <v>0</v>
      </c>
      <c r="R113" s="149">
        <v>0</v>
      </c>
      <c r="S113" s="149">
        <v>0</v>
      </c>
      <c r="T113" s="149">
        <v>0</v>
      </c>
      <c r="U113" s="149">
        <v>0</v>
      </c>
      <c r="V113" s="149">
        <v>0</v>
      </c>
      <c r="W113" s="149">
        <v>0</v>
      </c>
      <c r="X113" s="149">
        <v>0</v>
      </c>
      <c r="Y113" s="149">
        <v>0</v>
      </c>
      <c r="Z113" s="149">
        <v>0</v>
      </c>
      <c r="AA113" s="149">
        <v>0</v>
      </c>
      <c r="AB113" s="149">
        <v>0</v>
      </c>
      <c r="AC113" s="149">
        <v>0</v>
      </c>
      <c r="AD113" s="149">
        <v>0</v>
      </c>
      <c r="AE113" s="149">
        <v>0</v>
      </c>
    </row>
    <row r="114" spans="2:31" x14ac:dyDescent="0.35">
      <c r="B114" s="115" t="s">
        <v>3431</v>
      </c>
      <c r="C114" s="115" t="s">
        <v>3260</v>
      </c>
      <c r="D114" s="115" t="s">
        <v>3432</v>
      </c>
      <c r="E114" s="115" t="s">
        <v>3408</v>
      </c>
      <c r="F114" s="115" t="s">
        <v>3263</v>
      </c>
      <c r="H114" s="119" t="s">
        <v>3433</v>
      </c>
      <c r="L114" s="149">
        <v>0</v>
      </c>
      <c r="M114" s="149">
        <v>0</v>
      </c>
      <c r="N114" s="149">
        <v>0</v>
      </c>
      <c r="O114" s="149">
        <v>0</v>
      </c>
      <c r="P114" s="149">
        <v>0</v>
      </c>
      <c r="Q114" s="149">
        <v>0</v>
      </c>
      <c r="R114" s="149">
        <v>2.34</v>
      </c>
      <c r="S114" s="149">
        <v>2.38</v>
      </c>
      <c r="T114" s="149">
        <v>2.7</v>
      </c>
      <c r="U114" s="149">
        <v>3.04</v>
      </c>
      <c r="V114" s="149">
        <v>3.71</v>
      </c>
      <c r="W114" s="149">
        <v>4.0199999999999996</v>
      </c>
      <c r="X114" s="149">
        <v>4.38</v>
      </c>
      <c r="Y114" s="149">
        <v>4.79</v>
      </c>
      <c r="Z114" s="149">
        <v>5.26</v>
      </c>
      <c r="AA114" s="149">
        <v>5.81</v>
      </c>
      <c r="AB114" s="149">
        <v>6.42</v>
      </c>
      <c r="AC114" s="149">
        <v>7.13</v>
      </c>
      <c r="AD114" s="149">
        <v>7.92</v>
      </c>
      <c r="AE114" s="149">
        <v>8.7899999999999991</v>
      </c>
    </row>
    <row r="115" spans="2:31" x14ac:dyDescent="0.35">
      <c r="B115" s="115" t="s">
        <v>3434</v>
      </c>
      <c r="C115" s="115" t="s">
        <v>3266</v>
      </c>
      <c r="D115" s="115" t="s">
        <v>3432</v>
      </c>
      <c r="E115" s="115" t="s">
        <v>3408</v>
      </c>
      <c r="F115" s="115" t="s">
        <v>3267</v>
      </c>
      <c r="H115" s="119" t="s">
        <v>3433</v>
      </c>
      <c r="L115" s="149">
        <v>0</v>
      </c>
      <c r="M115" s="149">
        <v>0</v>
      </c>
      <c r="N115" s="149">
        <v>0</v>
      </c>
      <c r="O115" s="149">
        <v>0</v>
      </c>
      <c r="P115" s="149">
        <v>0</v>
      </c>
      <c r="Q115" s="149">
        <v>0</v>
      </c>
      <c r="R115" s="149">
        <v>2.34</v>
      </c>
      <c r="S115" s="149">
        <v>2.36</v>
      </c>
      <c r="T115" s="149">
        <v>2.68</v>
      </c>
      <c r="U115" s="149">
        <v>3.02</v>
      </c>
      <c r="V115" s="149">
        <v>3.67</v>
      </c>
      <c r="W115" s="149">
        <v>4</v>
      </c>
      <c r="X115" s="149">
        <v>4.3499999999999996</v>
      </c>
      <c r="Y115" s="149">
        <v>4.75</v>
      </c>
      <c r="Z115" s="149">
        <v>5.21</v>
      </c>
      <c r="AA115" s="149">
        <v>5.75</v>
      </c>
      <c r="AB115" s="149">
        <v>6.35</v>
      </c>
      <c r="AC115" s="149">
        <v>7.04</v>
      </c>
      <c r="AD115" s="149">
        <v>7.81</v>
      </c>
      <c r="AE115" s="149">
        <v>8.67</v>
      </c>
    </row>
    <row r="116" spans="2:31" x14ac:dyDescent="0.35">
      <c r="B116" s="115" t="s">
        <v>3435</v>
      </c>
      <c r="C116" s="115" t="s">
        <v>3269</v>
      </c>
      <c r="D116" s="115" t="s">
        <v>3432</v>
      </c>
      <c r="E116" s="115" t="s">
        <v>3408</v>
      </c>
      <c r="F116" s="115" t="s">
        <v>3270</v>
      </c>
      <c r="H116" s="119" t="s">
        <v>3433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0.12</v>
      </c>
      <c r="S116" s="149">
        <v>0.31</v>
      </c>
      <c r="T116" s="149">
        <v>0.49</v>
      </c>
      <c r="U116" s="149">
        <v>0.66</v>
      </c>
      <c r="V116" s="149">
        <v>0.84</v>
      </c>
      <c r="W116" s="149">
        <v>1.01</v>
      </c>
      <c r="X116" s="149">
        <v>1.19</v>
      </c>
      <c r="Y116" s="149">
        <v>1.37</v>
      </c>
      <c r="Z116" s="149">
        <v>1.55</v>
      </c>
      <c r="AA116" s="149">
        <v>1.73</v>
      </c>
      <c r="AB116" s="149">
        <v>1.91</v>
      </c>
      <c r="AC116" s="149">
        <v>2.1</v>
      </c>
      <c r="AD116" s="149">
        <v>2.2999999999999998</v>
      </c>
      <c r="AE116" s="149">
        <v>2.5</v>
      </c>
    </row>
    <row r="117" spans="2:31" x14ac:dyDescent="0.35">
      <c r="B117" s="115" t="s">
        <v>3436</v>
      </c>
      <c r="C117" s="115" t="s">
        <v>3272</v>
      </c>
      <c r="D117" s="115" t="s">
        <v>3432</v>
      </c>
      <c r="E117" s="115" t="s">
        <v>3408</v>
      </c>
      <c r="F117" s="115" t="s">
        <v>3273</v>
      </c>
      <c r="H117" s="119" t="s">
        <v>3433</v>
      </c>
      <c r="L117" s="149">
        <v>0</v>
      </c>
      <c r="M117" s="149">
        <v>0</v>
      </c>
      <c r="N117" s="149">
        <v>0</v>
      </c>
      <c r="O117" s="149">
        <v>0</v>
      </c>
      <c r="P117" s="149">
        <v>0</v>
      </c>
      <c r="Q117" s="149">
        <v>0</v>
      </c>
      <c r="R117" s="149">
        <v>0</v>
      </c>
      <c r="S117" s="149">
        <v>0</v>
      </c>
      <c r="T117" s="149">
        <v>0</v>
      </c>
      <c r="U117" s="149">
        <v>0</v>
      </c>
      <c r="V117" s="149">
        <v>0</v>
      </c>
      <c r="W117" s="149">
        <v>0</v>
      </c>
      <c r="X117" s="149">
        <v>0</v>
      </c>
      <c r="Y117" s="149">
        <v>0</v>
      </c>
      <c r="Z117" s="149">
        <v>0</v>
      </c>
      <c r="AA117" s="149">
        <v>0</v>
      </c>
      <c r="AB117" s="149">
        <v>0</v>
      </c>
      <c r="AC117" s="149">
        <v>0</v>
      </c>
      <c r="AD117" s="149">
        <v>0</v>
      </c>
      <c r="AE117" s="149">
        <v>0</v>
      </c>
    </row>
    <row r="118" spans="2:31" x14ac:dyDescent="0.35">
      <c r="B118" s="115" t="s">
        <v>3437</v>
      </c>
      <c r="C118" s="115" t="s">
        <v>3260</v>
      </c>
      <c r="D118" s="115" t="s">
        <v>3438</v>
      </c>
      <c r="E118" s="115" t="s">
        <v>3408</v>
      </c>
      <c r="F118" s="115" t="s">
        <v>3263</v>
      </c>
      <c r="H118" s="119" t="s">
        <v>3439</v>
      </c>
      <c r="L118" s="149">
        <v>0</v>
      </c>
      <c r="M118" s="149">
        <v>0</v>
      </c>
      <c r="N118" s="149">
        <v>0</v>
      </c>
      <c r="O118" s="149">
        <v>0</v>
      </c>
      <c r="P118" s="149">
        <v>0</v>
      </c>
      <c r="Q118" s="149">
        <v>0</v>
      </c>
      <c r="R118" s="149">
        <v>0.64</v>
      </c>
      <c r="S118" s="149">
        <v>0.66</v>
      </c>
      <c r="T118" s="149">
        <v>0.66</v>
      </c>
      <c r="U118" s="149">
        <v>0.68</v>
      </c>
      <c r="V118" s="149">
        <v>0.79</v>
      </c>
      <c r="W118" s="149">
        <v>0.92</v>
      </c>
      <c r="X118" s="149">
        <v>1.06</v>
      </c>
      <c r="Y118" s="149">
        <v>1.21</v>
      </c>
      <c r="Z118" s="149">
        <v>1.39</v>
      </c>
      <c r="AA118" s="149">
        <v>1.58</v>
      </c>
      <c r="AB118" s="149">
        <v>1.8</v>
      </c>
      <c r="AC118" s="149">
        <v>2.04</v>
      </c>
      <c r="AD118" s="149">
        <v>2.3199999999999998</v>
      </c>
      <c r="AE118" s="149">
        <v>2.63</v>
      </c>
    </row>
    <row r="119" spans="2:31" x14ac:dyDescent="0.35">
      <c r="B119" s="115" t="s">
        <v>3440</v>
      </c>
      <c r="C119" s="115" t="s">
        <v>3266</v>
      </c>
      <c r="D119" s="115" t="s">
        <v>3438</v>
      </c>
      <c r="E119" s="115" t="s">
        <v>3408</v>
      </c>
      <c r="F119" s="115" t="s">
        <v>3267</v>
      </c>
      <c r="H119" s="119" t="s">
        <v>3439</v>
      </c>
      <c r="L119" s="149">
        <v>0</v>
      </c>
      <c r="M119" s="149">
        <v>0</v>
      </c>
      <c r="N119" s="149">
        <v>0</v>
      </c>
      <c r="O119" s="149">
        <v>0</v>
      </c>
      <c r="P119" s="149">
        <v>0</v>
      </c>
      <c r="Q119" s="149">
        <v>0</v>
      </c>
      <c r="R119" s="149">
        <v>0.64</v>
      </c>
      <c r="S119" s="149">
        <v>0.65</v>
      </c>
      <c r="T119" s="149">
        <v>0.66</v>
      </c>
      <c r="U119" s="149">
        <v>0.67</v>
      </c>
      <c r="V119" s="149">
        <v>0.78</v>
      </c>
      <c r="W119" s="149">
        <v>0.9</v>
      </c>
      <c r="X119" s="149">
        <v>1.04</v>
      </c>
      <c r="Y119" s="149">
        <v>1.19</v>
      </c>
      <c r="Z119" s="149">
        <v>1.36</v>
      </c>
      <c r="AA119" s="149">
        <v>1.55</v>
      </c>
      <c r="AB119" s="149">
        <v>1.76</v>
      </c>
      <c r="AC119" s="149">
        <v>2</v>
      </c>
      <c r="AD119" s="149">
        <v>2.27</v>
      </c>
      <c r="AE119" s="149">
        <v>2.57</v>
      </c>
    </row>
    <row r="120" spans="2:31" x14ac:dyDescent="0.35">
      <c r="B120" s="115" t="s">
        <v>3441</v>
      </c>
      <c r="C120" s="115" t="s">
        <v>3269</v>
      </c>
      <c r="D120" s="115" t="s">
        <v>3438</v>
      </c>
      <c r="E120" s="115" t="s">
        <v>3408</v>
      </c>
      <c r="F120" s="115" t="s">
        <v>3270</v>
      </c>
      <c r="H120" s="119" t="s">
        <v>3439</v>
      </c>
      <c r="L120" s="149">
        <v>0</v>
      </c>
      <c r="M120" s="149">
        <v>0</v>
      </c>
      <c r="N120" s="149">
        <v>0</v>
      </c>
      <c r="O120" s="149">
        <v>0</v>
      </c>
      <c r="P120" s="149">
        <v>0</v>
      </c>
      <c r="Q120" s="149">
        <v>0</v>
      </c>
      <c r="R120" s="149">
        <v>0.01</v>
      </c>
      <c r="S120" s="149">
        <v>0.02</v>
      </c>
      <c r="T120" s="149">
        <v>0.03</v>
      </c>
      <c r="U120" s="149">
        <v>0.04</v>
      </c>
      <c r="V120" s="149">
        <v>0.05</v>
      </c>
      <c r="W120" s="149">
        <v>0.06</v>
      </c>
      <c r="X120" s="149">
        <v>0.06</v>
      </c>
      <c r="Y120" s="149">
        <v>7.0000000000000007E-2</v>
      </c>
      <c r="Z120" s="149">
        <v>0.08</v>
      </c>
      <c r="AA120" s="149">
        <v>0.08</v>
      </c>
      <c r="AB120" s="149">
        <v>0.09</v>
      </c>
      <c r="AC120" s="149">
        <v>0.1</v>
      </c>
      <c r="AD120" s="149">
        <v>0.1</v>
      </c>
      <c r="AE120" s="149">
        <v>0.11</v>
      </c>
    </row>
    <row r="121" spans="2:31" x14ac:dyDescent="0.35">
      <c r="B121" s="115" t="s">
        <v>3442</v>
      </c>
      <c r="C121" s="115" t="s">
        <v>3272</v>
      </c>
      <c r="D121" s="115" t="s">
        <v>3438</v>
      </c>
      <c r="E121" s="115" t="s">
        <v>3408</v>
      </c>
      <c r="F121" s="115" t="s">
        <v>3273</v>
      </c>
      <c r="H121" s="119" t="s">
        <v>3439</v>
      </c>
      <c r="L121" s="149">
        <v>0</v>
      </c>
      <c r="M121" s="149">
        <v>0</v>
      </c>
      <c r="N121" s="149">
        <v>0</v>
      </c>
      <c r="O121" s="149">
        <v>0</v>
      </c>
      <c r="P121" s="149">
        <v>0</v>
      </c>
      <c r="Q121" s="149">
        <v>0</v>
      </c>
      <c r="R121" s="149">
        <v>0</v>
      </c>
      <c r="S121" s="149">
        <v>0</v>
      </c>
      <c r="T121" s="149">
        <v>0</v>
      </c>
      <c r="U121" s="149">
        <v>0</v>
      </c>
      <c r="V121" s="149">
        <v>0</v>
      </c>
      <c r="W121" s="149">
        <v>0</v>
      </c>
      <c r="X121" s="149">
        <v>0</v>
      </c>
      <c r="Y121" s="149">
        <v>0</v>
      </c>
      <c r="Z121" s="149">
        <v>0</v>
      </c>
      <c r="AA121" s="149">
        <v>0</v>
      </c>
      <c r="AB121" s="149">
        <v>0</v>
      </c>
      <c r="AC121" s="149">
        <v>0</v>
      </c>
      <c r="AD121" s="149">
        <v>0</v>
      </c>
      <c r="AE121" s="149">
        <v>0</v>
      </c>
    </row>
    <row r="122" spans="2:31" x14ac:dyDescent="0.35">
      <c r="B122" s="115" t="s">
        <v>3443</v>
      </c>
      <c r="C122" s="115" t="s">
        <v>3260</v>
      </c>
      <c r="D122" s="115" t="s">
        <v>3444</v>
      </c>
      <c r="E122" s="115" t="s">
        <v>3408</v>
      </c>
      <c r="F122" s="115" t="s">
        <v>3263</v>
      </c>
      <c r="H122" s="119" t="s">
        <v>3445</v>
      </c>
      <c r="L122" s="149">
        <v>-47.34</v>
      </c>
      <c r="M122" s="149">
        <v>-37.57</v>
      </c>
      <c r="N122" s="149">
        <v>-38.57</v>
      </c>
      <c r="O122" s="149">
        <v>-37.1</v>
      </c>
      <c r="P122" s="149">
        <v>-39.97</v>
      </c>
      <c r="Q122" s="149">
        <v>-40.03</v>
      </c>
      <c r="R122" s="149">
        <v>-41.63</v>
      </c>
      <c r="S122" s="149">
        <v>-44.25</v>
      </c>
      <c r="T122" s="149">
        <v>-47.61</v>
      </c>
      <c r="U122" s="149">
        <v>-52.24</v>
      </c>
      <c r="V122" s="149">
        <v>-60.25</v>
      </c>
      <c r="W122" s="149">
        <v>-69.819999999999993</v>
      </c>
      <c r="X122" s="149">
        <v>-80.180000000000007</v>
      </c>
      <c r="Y122" s="149">
        <v>-93.62</v>
      </c>
      <c r="Z122" s="149">
        <v>-110.58</v>
      </c>
      <c r="AA122" s="149">
        <v>-131.65</v>
      </c>
      <c r="AB122" s="149">
        <v>-157.4</v>
      </c>
      <c r="AC122" s="149">
        <v>-188.37</v>
      </c>
      <c r="AD122" s="149">
        <v>-225.08</v>
      </c>
      <c r="AE122" s="149">
        <v>-266.72000000000003</v>
      </c>
    </row>
    <row r="123" spans="2:31" x14ac:dyDescent="0.35">
      <c r="B123" s="115" t="s">
        <v>3446</v>
      </c>
      <c r="C123" s="115" t="s">
        <v>3266</v>
      </c>
      <c r="D123" s="115" t="s">
        <v>3444</v>
      </c>
      <c r="E123" s="115" t="s">
        <v>3408</v>
      </c>
      <c r="F123" s="115" t="s">
        <v>3267</v>
      </c>
      <c r="H123" s="119" t="s">
        <v>3445</v>
      </c>
      <c r="L123" s="149">
        <v>-47.34</v>
      </c>
      <c r="M123" s="149">
        <v>-37.57</v>
      </c>
      <c r="N123" s="149">
        <v>-38.57</v>
      </c>
      <c r="O123" s="149">
        <v>-37.1</v>
      </c>
      <c r="P123" s="149">
        <v>-39.97</v>
      </c>
      <c r="Q123" s="149">
        <v>-40.03</v>
      </c>
      <c r="R123" s="149">
        <v>-41.63</v>
      </c>
      <c r="S123" s="149">
        <v>-44.25</v>
      </c>
      <c r="T123" s="149">
        <v>-47.61</v>
      </c>
      <c r="U123" s="149">
        <v>-52.24</v>
      </c>
      <c r="V123" s="149">
        <v>-60.25</v>
      </c>
      <c r="W123" s="149">
        <v>-69.819999999999993</v>
      </c>
      <c r="X123" s="149">
        <v>-80.180000000000007</v>
      </c>
      <c r="Y123" s="149">
        <v>-93.62</v>
      </c>
      <c r="Z123" s="149">
        <v>-110.58</v>
      </c>
      <c r="AA123" s="149">
        <v>-131.65</v>
      </c>
      <c r="AB123" s="149">
        <v>-157.4</v>
      </c>
      <c r="AC123" s="149">
        <v>-188.37</v>
      </c>
      <c r="AD123" s="149">
        <v>-225.08</v>
      </c>
      <c r="AE123" s="149">
        <v>-266.72000000000003</v>
      </c>
    </row>
    <row r="124" spans="2:31" x14ac:dyDescent="0.35">
      <c r="B124" s="115" t="s">
        <v>3447</v>
      </c>
      <c r="C124" s="115" t="s">
        <v>3269</v>
      </c>
      <c r="D124" s="115" t="s">
        <v>3444</v>
      </c>
      <c r="E124" s="115" t="s">
        <v>3408</v>
      </c>
      <c r="F124" s="115" t="s">
        <v>3270</v>
      </c>
      <c r="H124" s="119" t="s">
        <v>3445</v>
      </c>
      <c r="L124" s="149">
        <v>-47.34</v>
      </c>
      <c r="M124" s="149">
        <v>-37.57</v>
      </c>
      <c r="N124" s="149">
        <v>-38.57</v>
      </c>
      <c r="O124" s="149">
        <v>-37.1</v>
      </c>
      <c r="P124" s="149">
        <v>-39.97</v>
      </c>
      <c r="Q124" s="149">
        <v>-40.03</v>
      </c>
      <c r="R124" s="149">
        <v>-41.63</v>
      </c>
      <c r="S124" s="149">
        <v>-44.25</v>
      </c>
      <c r="T124" s="149">
        <v>-47.61</v>
      </c>
      <c r="U124" s="149">
        <v>-52.24</v>
      </c>
      <c r="V124" s="149">
        <v>-60.25</v>
      </c>
      <c r="W124" s="149">
        <v>-69.819999999999993</v>
      </c>
      <c r="X124" s="149">
        <v>-80.180000000000007</v>
      </c>
      <c r="Y124" s="149">
        <v>-93.62</v>
      </c>
      <c r="Z124" s="149">
        <v>-110.58</v>
      </c>
      <c r="AA124" s="149">
        <v>-131.65</v>
      </c>
      <c r="AB124" s="149">
        <v>-157.4</v>
      </c>
      <c r="AC124" s="149">
        <v>-188.37</v>
      </c>
      <c r="AD124" s="149">
        <v>-225.08</v>
      </c>
      <c r="AE124" s="149">
        <v>-266.72000000000003</v>
      </c>
    </row>
    <row r="125" spans="2:31" x14ac:dyDescent="0.35">
      <c r="B125" s="115" t="s">
        <v>3448</v>
      </c>
      <c r="C125" s="115" t="s">
        <v>3272</v>
      </c>
      <c r="D125" s="115" t="s">
        <v>3444</v>
      </c>
      <c r="E125" s="115" t="s">
        <v>3408</v>
      </c>
      <c r="F125" s="115" t="s">
        <v>3273</v>
      </c>
      <c r="H125" s="119" t="s">
        <v>3445</v>
      </c>
      <c r="L125" s="149">
        <v>-47.34</v>
      </c>
      <c r="M125" s="149">
        <v>-37.57</v>
      </c>
      <c r="N125" s="149">
        <v>-38.57</v>
      </c>
      <c r="O125" s="149">
        <v>-37.1</v>
      </c>
      <c r="P125" s="149">
        <v>-39.97</v>
      </c>
      <c r="Q125" s="149">
        <v>-40.03</v>
      </c>
      <c r="R125" s="149">
        <v>-41.63</v>
      </c>
      <c r="S125" s="149">
        <v>-44.25</v>
      </c>
      <c r="T125" s="149">
        <v>-47.61</v>
      </c>
      <c r="U125" s="149">
        <v>-52.24</v>
      </c>
      <c r="V125" s="149">
        <v>-60.25</v>
      </c>
      <c r="W125" s="149">
        <v>-69.819999999999993</v>
      </c>
      <c r="X125" s="149">
        <v>-80.180000000000007</v>
      </c>
      <c r="Y125" s="149">
        <v>-93.62</v>
      </c>
      <c r="Z125" s="149">
        <v>-110.58</v>
      </c>
      <c r="AA125" s="149">
        <v>-131.65</v>
      </c>
      <c r="AB125" s="149">
        <v>-157.4</v>
      </c>
      <c r="AC125" s="149">
        <v>-188.37</v>
      </c>
      <c r="AD125" s="149">
        <v>-225.08</v>
      </c>
      <c r="AE125" s="149">
        <v>-266.72000000000003</v>
      </c>
    </row>
    <row r="126" spans="2:31" x14ac:dyDescent="0.35">
      <c r="B126" s="115" t="s">
        <v>3449</v>
      </c>
      <c r="C126" s="115" t="s">
        <v>3260</v>
      </c>
      <c r="D126" s="115" t="s">
        <v>3450</v>
      </c>
      <c r="E126" s="115" t="s">
        <v>3408</v>
      </c>
      <c r="F126" s="115" t="s">
        <v>3263</v>
      </c>
      <c r="H126" s="119" t="s">
        <v>3451</v>
      </c>
      <c r="L126" s="149">
        <v>-47.34</v>
      </c>
      <c r="M126" s="149">
        <v>-37.56</v>
      </c>
      <c r="N126" s="149">
        <v>-38.56</v>
      </c>
      <c r="O126" s="149">
        <v>-37.090000000000003</v>
      </c>
      <c r="P126" s="149">
        <v>-39.96</v>
      </c>
      <c r="Q126" s="149">
        <v>-40.01</v>
      </c>
      <c r="R126" s="149">
        <v>-32.83</v>
      </c>
      <c r="S126" s="149">
        <v>-33.979999999999997</v>
      </c>
      <c r="T126" s="149">
        <v>-37.18</v>
      </c>
      <c r="U126" s="149">
        <v>-41.11</v>
      </c>
      <c r="V126" s="149">
        <v>-48.65</v>
      </c>
      <c r="W126" s="149">
        <v>-55.9</v>
      </c>
      <c r="X126" s="149">
        <v>-65.36</v>
      </c>
      <c r="Y126" s="149">
        <v>-77.8</v>
      </c>
      <c r="Z126" s="149">
        <v>-93.74</v>
      </c>
      <c r="AA126" s="149">
        <v>-113.69</v>
      </c>
      <c r="AB126" s="149">
        <v>-138.22</v>
      </c>
      <c r="AC126" s="149">
        <v>-167.84</v>
      </c>
      <c r="AD126" s="149">
        <v>-203.04</v>
      </c>
      <c r="AE126" s="149">
        <v>-243.01</v>
      </c>
    </row>
    <row r="127" spans="2:31" x14ac:dyDescent="0.35">
      <c r="B127" s="115" t="s">
        <v>3452</v>
      </c>
      <c r="C127" s="115" t="s">
        <v>3266</v>
      </c>
      <c r="D127" s="115" t="s">
        <v>3450</v>
      </c>
      <c r="E127" s="115" t="s">
        <v>3408</v>
      </c>
      <c r="F127" s="115" t="s">
        <v>3267</v>
      </c>
      <c r="H127" s="119" t="s">
        <v>3451</v>
      </c>
      <c r="L127" s="149">
        <v>-47.34</v>
      </c>
      <c r="M127" s="149">
        <v>-37.56</v>
      </c>
      <c r="N127" s="149">
        <v>-38.56</v>
      </c>
      <c r="O127" s="149">
        <v>-37.090000000000003</v>
      </c>
      <c r="P127" s="149">
        <v>-39.96</v>
      </c>
      <c r="Q127" s="149">
        <v>-40.01</v>
      </c>
      <c r="R127" s="149">
        <v>-32.83</v>
      </c>
      <c r="S127" s="149">
        <v>-33.880000000000003</v>
      </c>
      <c r="T127" s="149">
        <v>-36.99</v>
      </c>
      <c r="U127" s="149">
        <v>-40.799999999999997</v>
      </c>
      <c r="V127" s="149">
        <v>-48.24</v>
      </c>
      <c r="W127" s="149">
        <v>-55.49</v>
      </c>
      <c r="X127" s="149">
        <v>-64.849999999999994</v>
      </c>
      <c r="Y127" s="149">
        <v>-77.150000000000006</v>
      </c>
      <c r="Z127" s="149">
        <v>-92.93</v>
      </c>
      <c r="AA127" s="149">
        <v>-112.69</v>
      </c>
      <c r="AB127" s="149">
        <v>-136.97</v>
      </c>
      <c r="AC127" s="149">
        <v>-166.29</v>
      </c>
      <c r="AD127" s="149">
        <v>-201.15</v>
      </c>
      <c r="AE127" s="149">
        <v>-240.75</v>
      </c>
    </row>
    <row r="128" spans="2:31" x14ac:dyDescent="0.35">
      <c r="B128" s="115" t="s">
        <v>3453</v>
      </c>
      <c r="C128" s="115" t="s">
        <v>3269</v>
      </c>
      <c r="D128" s="115" t="s">
        <v>3450</v>
      </c>
      <c r="E128" s="115" t="s">
        <v>3408</v>
      </c>
      <c r="F128" s="115" t="s">
        <v>3270</v>
      </c>
      <c r="H128" s="119" t="s">
        <v>3451</v>
      </c>
      <c r="L128" s="149">
        <v>-47.34</v>
      </c>
      <c r="M128" s="149">
        <v>-37.57</v>
      </c>
      <c r="N128" s="149">
        <v>-38.57</v>
      </c>
      <c r="O128" s="149">
        <v>-37.1</v>
      </c>
      <c r="P128" s="149">
        <v>-39.97</v>
      </c>
      <c r="Q128" s="149">
        <v>-40.020000000000003</v>
      </c>
      <c r="R128" s="149">
        <v>-40.909999999999997</v>
      </c>
      <c r="S128" s="149">
        <v>-42.48</v>
      </c>
      <c r="T128" s="149">
        <v>-44.92</v>
      </c>
      <c r="U128" s="149">
        <v>-48.7</v>
      </c>
      <c r="V128" s="149">
        <v>-56.59</v>
      </c>
      <c r="W128" s="149">
        <v>-63.98</v>
      </c>
      <c r="X128" s="149">
        <v>-74.05</v>
      </c>
      <c r="Y128" s="149">
        <v>-87.56</v>
      </c>
      <c r="Z128" s="149">
        <v>-104.99</v>
      </c>
      <c r="AA128" s="149">
        <v>-126.78</v>
      </c>
      <c r="AB128" s="149">
        <v>-153.47999999999999</v>
      </c>
      <c r="AC128" s="149">
        <v>-185.57</v>
      </c>
      <c r="AD128" s="149">
        <v>-223.55</v>
      </c>
      <c r="AE128" s="149">
        <v>-266.55</v>
      </c>
    </row>
    <row r="129" spans="2:31" x14ac:dyDescent="0.35">
      <c r="B129" s="115" t="s">
        <v>3454</v>
      </c>
      <c r="C129" s="115" t="s">
        <v>3272</v>
      </c>
      <c r="D129" s="115" t="s">
        <v>3450</v>
      </c>
      <c r="E129" s="115" t="s">
        <v>3408</v>
      </c>
      <c r="F129" s="115" t="s">
        <v>3273</v>
      </c>
      <c r="H129" s="119" t="s">
        <v>3451</v>
      </c>
      <c r="L129" s="149">
        <v>-47.34</v>
      </c>
      <c r="M129" s="149">
        <v>-37.57</v>
      </c>
      <c r="N129" s="149">
        <v>-38.57</v>
      </c>
      <c r="O129" s="149">
        <v>-37.1</v>
      </c>
      <c r="P129" s="149">
        <v>-39.97</v>
      </c>
      <c r="Q129" s="149">
        <v>-40.03</v>
      </c>
      <c r="R129" s="149">
        <v>-40.03</v>
      </c>
      <c r="S129" s="149">
        <v>-40.020000000000003</v>
      </c>
      <c r="T129" s="149">
        <v>-40.909999999999997</v>
      </c>
      <c r="U129" s="149">
        <v>-42.54</v>
      </c>
      <c r="V129" s="149">
        <v>-45.43</v>
      </c>
      <c r="W129" s="149">
        <v>-48.77</v>
      </c>
      <c r="X129" s="149">
        <v>-47.11</v>
      </c>
      <c r="Y129" s="149">
        <v>-39.799999999999997</v>
      </c>
      <c r="Z129" s="149">
        <v>-23.6</v>
      </c>
      <c r="AA129" s="149">
        <v>5.51</v>
      </c>
      <c r="AB129" s="149">
        <v>52.16</v>
      </c>
      <c r="AC129" s="149">
        <v>121.59</v>
      </c>
      <c r="AD129" s="149">
        <v>219.69</v>
      </c>
      <c r="AE129" s="149">
        <v>346.84</v>
      </c>
    </row>
    <row r="130" spans="2:31" x14ac:dyDescent="0.35">
      <c r="B130" s="115" t="s">
        <v>3455</v>
      </c>
      <c r="C130" s="115" t="s">
        <v>3260</v>
      </c>
      <c r="D130" s="115" t="s">
        <v>3456</v>
      </c>
      <c r="E130" s="115" t="s">
        <v>2068</v>
      </c>
      <c r="F130" s="115" t="s">
        <v>3263</v>
      </c>
      <c r="H130" s="119" t="s">
        <v>3457</v>
      </c>
      <c r="L130" s="149">
        <v>0</v>
      </c>
      <c r="M130" s="149">
        <v>0</v>
      </c>
      <c r="N130" s="149">
        <v>0</v>
      </c>
      <c r="O130" s="149">
        <v>0</v>
      </c>
      <c r="P130" s="149">
        <v>0</v>
      </c>
      <c r="Q130" s="149">
        <v>-1.0000000000000001E-5</v>
      </c>
      <c r="R130" s="149">
        <v>1.1900000000000001E-3</v>
      </c>
      <c r="S130" s="149">
        <v>1.2800000000000001E-3</v>
      </c>
      <c r="T130" s="149">
        <v>1.2999999999999999E-3</v>
      </c>
      <c r="U130" s="149">
        <v>1.1999999999999999E-3</v>
      </c>
      <c r="V130" s="149">
        <v>1.24E-3</v>
      </c>
      <c r="W130" s="149">
        <v>1.4499999999999999E-3</v>
      </c>
      <c r="X130" s="149">
        <v>1.2099999999999999E-3</v>
      </c>
      <c r="Y130" s="149">
        <v>1.32E-3</v>
      </c>
      <c r="Z130" s="149">
        <v>1.01E-3</v>
      </c>
      <c r="AA130" s="149">
        <v>1.0200000000000001E-3</v>
      </c>
      <c r="AB130" s="149">
        <v>9.5E-4</v>
      </c>
      <c r="AC130" s="149">
        <v>8.7000000000000001E-4</v>
      </c>
      <c r="AD130" s="149">
        <v>8.4000000000000003E-4</v>
      </c>
      <c r="AE130" s="149">
        <v>8.0000000000000004E-4</v>
      </c>
    </row>
    <row r="131" spans="2:31" x14ac:dyDescent="0.35">
      <c r="B131" s="115" t="s">
        <v>3458</v>
      </c>
      <c r="C131" s="115" t="s">
        <v>3266</v>
      </c>
      <c r="D131" s="115" t="s">
        <v>3456</v>
      </c>
      <c r="E131" s="115" t="s">
        <v>2068</v>
      </c>
      <c r="F131" s="115" t="s">
        <v>3267</v>
      </c>
      <c r="H131" s="119" t="s">
        <v>3457</v>
      </c>
      <c r="L131" s="149">
        <v>0</v>
      </c>
      <c r="M131" s="149">
        <v>0</v>
      </c>
      <c r="N131" s="149">
        <v>0</v>
      </c>
      <c r="O131" s="149">
        <v>0</v>
      </c>
      <c r="P131" s="149">
        <v>0</v>
      </c>
      <c r="Q131" s="149">
        <v>-1.0000000000000001E-5</v>
      </c>
      <c r="R131" s="149">
        <v>1.1900000000000001E-3</v>
      </c>
      <c r="S131" s="149">
        <v>1.31E-3</v>
      </c>
      <c r="T131" s="149">
        <v>1.3600000000000001E-3</v>
      </c>
      <c r="U131" s="149">
        <v>1.42E-3</v>
      </c>
      <c r="V131" s="149">
        <v>1.5E-3</v>
      </c>
      <c r="W131" s="149">
        <v>1.73E-3</v>
      </c>
      <c r="X131" s="149">
        <v>1.4400000000000001E-3</v>
      </c>
      <c r="Y131" s="149">
        <v>1.58E-3</v>
      </c>
      <c r="Z131" s="149">
        <v>1.31E-3</v>
      </c>
      <c r="AA131" s="149">
        <v>1.25E-3</v>
      </c>
      <c r="AB131" s="149">
        <v>1.2199999999999999E-3</v>
      </c>
      <c r="AC131" s="149">
        <v>1.1100000000000001E-3</v>
      </c>
      <c r="AD131" s="149">
        <v>1.06E-3</v>
      </c>
      <c r="AE131" s="149">
        <v>1.0200000000000001E-3</v>
      </c>
    </row>
    <row r="132" spans="2:31" x14ac:dyDescent="0.35">
      <c r="B132" s="115" t="s">
        <v>3459</v>
      </c>
      <c r="C132" s="115" t="s">
        <v>3269</v>
      </c>
      <c r="D132" s="115" t="s">
        <v>3456</v>
      </c>
      <c r="E132" s="115" t="s">
        <v>2068</v>
      </c>
      <c r="F132" s="115" t="s">
        <v>3270</v>
      </c>
      <c r="H132" s="119" t="s">
        <v>3457</v>
      </c>
      <c r="L132" s="149">
        <v>0</v>
      </c>
      <c r="M132" s="149">
        <v>0</v>
      </c>
      <c r="N132" s="149">
        <v>0</v>
      </c>
      <c r="O132" s="149">
        <v>0</v>
      </c>
      <c r="P132" s="149">
        <v>0</v>
      </c>
      <c r="Q132" s="149">
        <v>1.0000000000000001E-5</v>
      </c>
      <c r="R132" s="149">
        <v>1.1E-4</v>
      </c>
      <c r="S132" s="149">
        <v>2.7E-4</v>
      </c>
      <c r="T132" s="149">
        <v>4.4999999999999999E-4</v>
      </c>
      <c r="U132" s="149">
        <v>9.2000000000000003E-4</v>
      </c>
      <c r="V132" s="149">
        <v>1.3600000000000001E-3</v>
      </c>
      <c r="W132" s="149">
        <v>1.9499999999999999E-3</v>
      </c>
      <c r="X132" s="149">
        <v>1.8400000000000001E-3</v>
      </c>
      <c r="Y132" s="149">
        <v>2.2200000000000002E-3</v>
      </c>
      <c r="Z132" s="149">
        <v>2.1900000000000001E-3</v>
      </c>
      <c r="AA132" s="149">
        <v>2.0300000000000001E-3</v>
      </c>
      <c r="AB132" s="149">
        <v>2.1700000000000001E-3</v>
      </c>
      <c r="AC132" s="149">
        <v>2E-3</v>
      </c>
      <c r="AD132" s="149">
        <v>1.92E-3</v>
      </c>
      <c r="AE132" s="149">
        <v>1.8400000000000001E-3</v>
      </c>
    </row>
    <row r="133" spans="2:31" x14ac:dyDescent="0.35">
      <c r="B133" s="115" t="s">
        <v>3460</v>
      </c>
      <c r="C133" s="115" t="s">
        <v>3272</v>
      </c>
      <c r="D133" s="115" t="s">
        <v>3456</v>
      </c>
      <c r="E133" s="115" t="s">
        <v>2068</v>
      </c>
      <c r="F133" s="115" t="s">
        <v>3273</v>
      </c>
      <c r="H133" s="119" t="s">
        <v>3457</v>
      </c>
      <c r="L133" s="149">
        <v>0</v>
      </c>
      <c r="M133" s="149">
        <v>0</v>
      </c>
      <c r="N133" s="149">
        <v>0</v>
      </c>
      <c r="O133" s="149">
        <v>0</v>
      </c>
      <c r="P133" s="149">
        <v>0</v>
      </c>
      <c r="Q133" s="149">
        <v>0</v>
      </c>
      <c r="R133" s="149">
        <v>0</v>
      </c>
      <c r="S133" s="149">
        <v>9.0000000000000006E-5</v>
      </c>
      <c r="T133" s="149">
        <v>1.8000000000000001E-4</v>
      </c>
      <c r="U133" s="149">
        <v>2.7999999999999998E-4</v>
      </c>
      <c r="V133" s="149">
        <v>1.8600000000000001E-3</v>
      </c>
      <c r="W133" s="149">
        <v>1.9599999999999999E-3</v>
      </c>
      <c r="X133" s="149">
        <v>1.6999999999999999E-3</v>
      </c>
      <c r="Y133" s="149">
        <v>1.97E-3</v>
      </c>
      <c r="Z133" s="149">
        <v>1.8799999999999999E-3</v>
      </c>
      <c r="AA133" s="149">
        <v>1.7799999999999999E-3</v>
      </c>
      <c r="AB133" s="149">
        <v>1.91E-3</v>
      </c>
      <c r="AC133" s="149">
        <v>1.7799999999999999E-3</v>
      </c>
      <c r="AD133" s="149">
        <v>1.7099999999999999E-3</v>
      </c>
      <c r="AE133" s="149">
        <v>1.64E-3</v>
      </c>
    </row>
    <row r="135" spans="2:31" x14ac:dyDescent="0.35">
      <c r="B135" s="115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5" t="str">
        <f>Scenarios!$B$17</f>
        <v>LEGACY</v>
      </c>
      <c r="C6" s="115" t="str">
        <f>Scenarios!$C$17</f>
        <v>CPAT default policy scenario (regression)</v>
      </c>
      <c r="D6" s="150" t="s">
        <v>77</v>
      </c>
      <c r="E6" s="115" t="str">
        <f>Scenarios!$L$17</f>
        <v>All sectors</v>
      </c>
      <c r="F6" s="151" t="s">
        <v>3466</v>
      </c>
    </row>
    <row r="7" spans="1:35" x14ac:dyDescent="0.35">
      <c r="B7" s="115" t="str">
        <f>Scenarios!$B$18</f>
        <v>1A</v>
      </c>
      <c r="C7" s="115" t="str">
        <f>Scenarios!$C$18</f>
        <v>Comprehensive levy + CBAM process fee</v>
      </c>
      <c r="D7" s="150" t="s">
        <v>3260</v>
      </c>
      <c r="E7" s="115" t="str">
        <f>Scenarios!$L$18</f>
        <v>All sectors</v>
      </c>
      <c r="F7" s="115" t="s">
        <v>3467</v>
      </c>
    </row>
    <row r="8" spans="1:35" x14ac:dyDescent="0.35">
      <c r="B8" s="115" t="str">
        <f>Scenarios!$B$19</f>
        <v>2A</v>
      </c>
      <c r="C8" s="115" t="str">
        <f>Scenarios!$C$19</f>
        <v>Upstream levy, public investment</v>
      </c>
      <c r="D8" s="150" t="s">
        <v>3260</v>
      </c>
      <c r="E8" s="115" t="str">
        <f>Scenarios!$L$19</f>
        <v>All sectors</v>
      </c>
      <c r="F8" s="115" t="s">
        <v>3467</v>
      </c>
    </row>
    <row r="9" spans="1:35" x14ac:dyDescent="0.35">
      <c r="B9" s="115" t="str">
        <f>Scenarios!$B$20</f>
        <v>2B</v>
      </c>
      <c r="C9" s="115" t="str">
        <f>Scenarios!$C$20</f>
        <v>Upstream levy, households</v>
      </c>
      <c r="D9" s="150" t="s">
        <v>3266</v>
      </c>
      <c r="E9" s="115" t="str">
        <f>Scenarios!$L$20</f>
        <v>All sectors</v>
      </c>
      <c r="F9" s="115" t="s">
        <v>3467</v>
      </c>
    </row>
    <row r="10" spans="1:35" x14ac:dyDescent="0.35">
      <c r="B10" s="115" t="str">
        <f>Scenarios!$B$21</f>
        <v>3A</v>
      </c>
      <c r="C10" s="115" t="str">
        <f>Scenarios!$C$21</f>
        <v>Downstream heavy industry, households</v>
      </c>
      <c r="D10" s="150" t="s">
        <v>3269</v>
      </c>
      <c r="E10" s="115" t="str">
        <f>Scenarios!$L$21</f>
        <v>Industry only</v>
      </c>
      <c r="F10" s="115" t="s">
        <v>3467</v>
      </c>
    </row>
    <row r="11" spans="1:35" x14ac:dyDescent="0.35">
      <c r="B11" s="115" t="str">
        <f>Scenarios!$B$22</f>
        <v>3B</v>
      </c>
      <c r="C11" s="115" t="str">
        <f>Scenarios!$C$22</f>
        <v>Downstream heavy industry, free allocation (benchmark)</v>
      </c>
      <c r="D11" s="150" t="s">
        <v>3269</v>
      </c>
      <c r="E11" s="115" t="str">
        <f>Scenarios!$L$22</f>
        <v>Industry only</v>
      </c>
      <c r="F11" s="115" t="s">
        <v>3467</v>
      </c>
    </row>
    <row r="12" spans="1:35" x14ac:dyDescent="0.35">
      <c r="B12" s="115" t="str">
        <f>Scenarios!$B$23</f>
        <v>3C</v>
      </c>
      <c r="C12" s="115" t="str">
        <f>Scenarios!$C$23</f>
        <v>Downstream heavy industry, abatement rebate</v>
      </c>
      <c r="D12" s="150" t="s">
        <v>3269</v>
      </c>
      <c r="E12" s="115" t="str">
        <f>Scenarios!$L$23</f>
        <v>Industry only</v>
      </c>
      <c r="F12" s="115" t="s">
        <v>3467</v>
      </c>
    </row>
    <row r="14" spans="1:35" x14ac:dyDescent="0.35">
      <c r="C14" s="115" t="s">
        <v>3468</v>
      </c>
      <c r="D14" s="115" t="str">
        <f>Scenarios!$B$27</f>
        <v>LEGACY</v>
      </c>
    </row>
    <row r="15" spans="1:35" x14ac:dyDescent="0.35">
      <c r="C15" s="115" t="s">
        <v>3464</v>
      </c>
      <c r="D15" s="115" t="str">
        <f>INDEX($D$6:$D$12,MATCH(D14,$B$6:$B$12,0))</f>
        <v>-</v>
      </c>
    </row>
    <row r="16" spans="1:35" x14ac:dyDescent="0.35">
      <c r="C16" s="115" t="s">
        <v>3469</v>
      </c>
      <c r="D16" s="115" t="str">
        <f>Scenarios!$L$27</f>
        <v>All sectors</v>
      </c>
    </row>
    <row r="17" spans="1:35" x14ac:dyDescent="0.35">
      <c r="C17" s="115" t="s">
        <v>1731</v>
      </c>
      <c r="D17" s="115">
        <f>Scenarios!$G$27</f>
        <v>0</v>
      </c>
    </row>
    <row r="18" spans="1:35" x14ac:dyDescent="0.35">
      <c r="C18" s="115" t="s">
        <v>3470</v>
      </c>
      <c r="D18" s="115" t="str">
        <f>Scenarios!$K$27</f>
        <v>CPAT default</v>
      </c>
    </row>
    <row r="19" spans="1:35" x14ac:dyDescent="0.35">
      <c r="C19" s="115" t="s">
        <v>3471</v>
      </c>
      <c r="D19" s="150">
        <v>2030</v>
      </c>
      <c r="E19" s="115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5" t="s">
        <v>3474</v>
      </c>
      <c r="C25" s="115" t="s">
        <v>3475</v>
      </c>
      <c r="D25" s="115" t="s">
        <v>3476</v>
      </c>
      <c r="E25" s="115" t="s">
        <v>1852</v>
      </c>
      <c r="F25" s="115" t="s">
        <v>3477</v>
      </c>
      <c r="G25" s="115" t="s">
        <v>3396</v>
      </c>
      <c r="H25" s="119" t="str">
        <f>Settings!$B$3&amp;".mit.t2.ghg1"</f>
        <v>egy.mit.t2.ghg1</v>
      </c>
      <c r="L25" s="152">
        <f>IF($D$15="-",0,INDEX(CPAT_National!L$6:L$133,MATCH($G25&amp;"|"&amp;$D$15,CPAT_National!$B$6:$B$133,0)))</f>
        <v>0</v>
      </c>
      <c r="M25" s="152">
        <f>IF($D$15="-",0,INDEX(CPAT_National!M$6:M$133,MATCH($G25&amp;"|"&amp;$D$15,CPAT_National!$B$6:$B$133,0)))</f>
        <v>0</v>
      </c>
      <c r="N25" s="152">
        <f>IF($D$15="-",0,INDEX(CPAT_National!N$6:N$133,MATCH($G25&amp;"|"&amp;$D$15,CPAT_National!$B$6:$B$133,0)))</f>
        <v>0</v>
      </c>
      <c r="O25" s="152">
        <f>IF($D$15="-",0,INDEX(CPAT_National!O$6:O$133,MATCH($G25&amp;"|"&amp;$D$15,CPAT_National!$B$6:$B$133,0)))</f>
        <v>0</v>
      </c>
      <c r="P25" s="152">
        <f>IF($D$15="-",0,INDEX(CPAT_National!P$6:P$133,MATCH($G25&amp;"|"&amp;$D$15,CPAT_National!$B$6:$B$133,0)))</f>
        <v>0</v>
      </c>
      <c r="Q25" s="152">
        <f>IF($D$15="-",0,INDEX(CPAT_National!Q$6:Q$133,MATCH($G25&amp;"|"&amp;$D$15,CPAT_National!$B$6:$B$133,0)))</f>
        <v>0</v>
      </c>
      <c r="R25" s="152">
        <f>IF($D$15="-",0,INDEX(CPAT_National!R$6:R$133,MATCH($G25&amp;"|"&amp;$D$15,CPAT_National!$B$6:$B$133,0)))</f>
        <v>0</v>
      </c>
      <c r="S25" s="152">
        <f>IF($D$15="-",0,INDEX(CPAT_National!S$6:S$133,MATCH($G25&amp;"|"&amp;$D$15,CPAT_National!$B$6:$B$133,0)))</f>
        <v>0</v>
      </c>
      <c r="T25" s="152">
        <f>IF($D$15="-",0,INDEX(CPAT_National!T$6:T$133,MATCH($G25&amp;"|"&amp;$D$15,CPAT_National!$B$6:$B$133,0)))</f>
        <v>0</v>
      </c>
      <c r="U25" s="152">
        <f>IF($D$15="-",0,INDEX(CPAT_National!U$6:U$133,MATCH($G25&amp;"|"&amp;$D$15,CPAT_National!$B$6:$B$133,0)))</f>
        <v>0</v>
      </c>
      <c r="V25" s="152">
        <f>IF($D$15="-",0,INDEX(CPAT_National!V$6:V$133,MATCH($G25&amp;"|"&amp;$D$15,CPAT_National!$B$6:$B$133,0)))</f>
        <v>0</v>
      </c>
      <c r="W25" s="152">
        <f>IF($D$15="-",0,INDEX(CPAT_National!W$6:W$133,MATCH($G25&amp;"|"&amp;$D$15,CPAT_National!$B$6:$B$133,0)))</f>
        <v>0</v>
      </c>
      <c r="X25" s="152">
        <f>IF($D$15="-",0,INDEX(CPAT_National!X$6:X$133,MATCH($G25&amp;"|"&amp;$D$15,CPAT_National!$B$6:$B$133,0)))</f>
        <v>0</v>
      </c>
      <c r="Y25" s="152">
        <f>IF($D$15="-",0,INDEX(CPAT_National!Y$6:Y$133,MATCH($G25&amp;"|"&amp;$D$15,CPAT_National!$B$6:$B$133,0)))</f>
        <v>0</v>
      </c>
      <c r="Z25" s="152">
        <f>IF($D$15="-",0,INDEX(CPAT_National!Z$6:Z$133,MATCH($G25&amp;"|"&amp;$D$15,CPAT_National!$B$6:$B$133,0)))</f>
        <v>0</v>
      </c>
      <c r="AA25" s="152">
        <f>IF($D$15="-",0,INDEX(CPAT_National!AA$6:AA$133,MATCH($G25&amp;"|"&amp;$D$15,CPAT_National!$B$6:$B$133,0)))</f>
        <v>0</v>
      </c>
      <c r="AB25" s="152">
        <f>IF($D$15="-",0,INDEX(CPAT_National!AB$6:AB$133,MATCH($G25&amp;"|"&amp;$D$15,CPAT_National!$B$6:$B$133,0)))</f>
        <v>0</v>
      </c>
      <c r="AC25" s="152">
        <f>IF($D$15="-",0,INDEX(CPAT_National!AC$6:AC$133,MATCH($G25&amp;"|"&amp;$D$15,CPAT_National!$B$6:$B$133,0)))</f>
        <v>0</v>
      </c>
      <c r="AD25" s="152">
        <f>IF($D$15="-",0,INDEX(CPAT_National!AD$6:AD$133,MATCH($G25&amp;"|"&amp;$D$15,CPAT_National!$B$6:$B$133,0)))</f>
        <v>0</v>
      </c>
      <c r="AE25" s="152">
        <f>IF($D$15="-",0,INDEX(CPAT_National!AE$6:AE$133,MATCH($G25&amp;"|"&amp;$D$15,CPAT_National!$B$6:$B$133,0)))</f>
        <v>0</v>
      </c>
    </row>
    <row r="26" spans="1:35" x14ac:dyDescent="0.35">
      <c r="B26" s="115" t="s">
        <v>3474</v>
      </c>
      <c r="C26" s="115" t="s">
        <v>3475</v>
      </c>
      <c r="D26" s="115" t="s">
        <v>3478</v>
      </c>
      <c r="E26" s="115" t="s">
        <v>1852</v>
      </c>
      <c r="F26" s="115" t="s">
        <v>3477</v>
      </c>
      <c r="G26" s="115" t="s">
        <v>3402</v>
      </c>
      <c r="H26" s="119" t="str">
        <f>Settings!$B$3&amp;".mit.t2.ghg2"</f>
        <v>egy.mit.t2.ghg2</v>
      </c>
      <c r="L26" s="152">
        <f>IF($D$15="-",0,INDEX(CPAT_National!L$6:L$133,MATCH($G26&amp;"|"&amp;$D$15,CPAT_National!$B$6:$B$133,0)))</f>
        <v>0</v>
      </c>
      <c r="M26" s="152">
        <f>IF($D$15="-",0,INDEX(CPAT_National!M$6:M$133,MATCH($G26&amp;"|"&amp;$D$15,CPAT_National!$B$6:$B$133,0)))</f>
        <v>0</v>
      </c>
      <c r="N26" s="152">
        <f>IF($D$15="-",0,INDEX(CPAT_National!N$6:N$133,MATCH($G26&amp;"|"&amp;$D$15,CPAT_National!$B$6:$B$133,0)))</f>
        <v>0</v>
      </c>
      <c r="O26" s="152">
        <f>IF($D$15="-",0,INDEX(CPAT_National!O$6:O$133,MATCH($G26&amp;"|"&amp;$D$15,CPAT_National!$B$6:$B$133,0)))</f>
        <v>0</v>
      </c>
      <c r="P26" s="152">
        <f>IF($D$15="-",0,INDEX(CPAT_National!P$6:P$133,MATCH($G26&amp;"|"&amp;$D$15,CPAT_National!$B$6:$B$133,0)))</f>
        <v>0</v>
      </c>
      <c r="Q26" s="152">
        <f>IF($D$15="-",0,INDEX(CPAT_National!Q$6:Q$133,MATCH($G26&amp;"|"&amp;$D$15,CPAT_National!$B$6:$B$133,0)))</f>
        <v>0</v>
      </c>
      <c r="R26" s="152">
        <f>IF($D$15="-",0,INDEX(CPAT_National!R$6:R$133,MATCH($G26&amp;"|"&amp;$D$15,CPAT_National!$B$6:$B$133,0)))</f>
        <v>0</v>
      </c>
      <c r="S26" s="152">
        <f>IF($D$15="-",0,INDEX(CPAT_National!S$6:S$133,MATCH($G26&amp;"|"&amp;$D$15,CPAT_National!$B$6:$B$133,0)))</f>
        <v>0</v>
      </c>
      <c r="T26" s="152">
        <f>IF($D$15="-",0,INDEX(CPAT_National!T$6:T$133,MATCH($G26&amp;"|"&amp;$D$15,CPAT_National!$B$6:$B$133,0)))</f>
        <v>0</v>
      </c>
      <c r="U26" s="152">
        <f>IF($D$15="-",0,INDEX(CPAT_National!U$6:U$133,MATCH($G26&amp;"|"&amp;$D$15,CPAT_National!$B$6:$B$133,0)))</f>
        <v>0</v>
      </c>
      <c r="V26" s="152">
        <f>IF($D$15="-",0,INDEX(CPAT_National!V$6:V$133,MATCH($G26&amp;"|"&amp;$D$15,CPAT_National!$B$6:$B$133,0)))</f>
        <v>0</v>
      </c>
      <c r="W26" s="152">
        <f>IF($D$15="-",0,INDEX(CPAT_National!W$6:W$133,MATCH($G26&amp;"|"&amp;$D$15,CPAT_National!$B$6:$B$133,0)))</f>
        <v>0</v>
      </c>
      <c r="X26" s="152">
        <f>IF($D$15="-",0,INDEX(CPAT_National!X$6:X$133,MATCH($G26&amp;"|"&amp;$D$15,CPAT_National!$B$6:$B$133,0)))</f>
        <v>0</v>
      </c>
      <c r="Y26" s="152">
        <f>IF($D$15="-",0,INDEX(CPAT_National!Y$6:Y$133,MATCH($G26&amp;"|"&amp;$D$15,CPAT_National!$B$6:$B$133,0)))</f>
        <v>0</v>
      </c>
      <c r="Z26" s="152">
        <f>IF($D$15="-",0,INDEX(CPAT_National!Z$6:Z$133,MATCH($G26&amp;"|"&amp;$D$15,CPAT_National!$B$6:$B$133,0)))</f>
        <v>0</v>
      </c>
      <c r="AA26" s="152">
        <f>IF($D$15="-",0,INDEX(CPAT_National!AA$6:AA$133,MATCH($G26&amp;"|"&amp;$D$15,CPAT_National!$B$6:$B$133,0)))</f>
        <v>0</v>
      </c>
      <c r="AB26" s="152">
        <f>IF($D$15="-",0,INDEX(CPAT_National!AB$6:AB$133,MATCH($G26&amp;"|"&amp;$D$15,CPAT_National!$B$6:$B$133,0)))</f>
        <v>0</v>
      </c>
      <c r="AC26" s="152">
        <f>IF($D$15="-",0,INDEX(CPAT_National!AC$6:AC$133,MATCH($G26&amp;"|"&amp;$D$15,CPAT_National!$B$6:$B$133,0)))</f>
        <v>0</v>
      </c>
      <c r="AD26" s="152">
        <f>IF($D$15="-",0,INDEX(CPAT_National!AD$6:AD$133,MATCH($G26&amp;"|"&amp;$D$15,CPAT_National!$B$6:$B$133,0)))</f>
        <v>0</v>
      </c>
      <c r="AE26" s="152">
        <f>IF($D$15="-",0,INDEX(CPAT_National!AE$6:AE$133,MATCH($G26&amp;"|"&amp;$D$15,CPAT_National!$B$6:$B$133,0)))</f>
        <v>0</v>
      </c>
    </row>
    <row r="27" spans="1:35" x14ac:dyDescent="0.35">
      <c r="B27" s="115" t="s">
        <v>3474</v>
      </c>
      <c r="C27" s="115" t="s">
        <v>3475</v>
      </c>
      <c r="D27" s="115" t="s">
        <v>3479</v>
      </c>
      <c r="E27" s="115" t="s">
        <v>1852</v>
      </c>
      <c r="F27" s="115" t="s">
        <v>3477</v>
      </c>
      <c r="G27" s="115" t="s">
        <v>3384</v>
      </c>
      <c r="H27" s="119" t="str">
        <f>Settings!$B$3&amp;".mit.t2.ipr1"</f>
        <v>egy.mit.t2.ipr1</v>
      </c>
      <c r="L27" s="152">
        <f>IF($D$15="-",0,INDEX(CPAT_National!L$6:L$133,MATCH($G27&amp;"|"&amp;$D$15,CPAT_National!$B$6:$B$133,0)))</f>
        <v>0</v>
      </c>
      <c r="M27" s="152">
        <f>IF($D$15="-",0,INDEX(CPAT_National!M$6:M$133,MATCH($G27&amp;"|"&amp;$D$15,CPAT_National!$B$6:$B$133,0)))</f>
        <v>0</v>
      </c>
      <c r="N27" s="152">
        <f>IF($D$15="-",0,INDEX(CPAT_National!N$6:N$133,MATCH($G27&amp;"|"&amp;$D$15,CPAT_National!$B$6:$B$133,0)))</f>
        <v>0</v>
      </c>
      <c r="O27" s="152">
        <f>IF($D$15="-",0,INDEX(CPAT_National!O$6:O$133,MATCH($G27&amp;"|"&amp;$D$15,CPAT_National!$B$6:$B$133,0)))</f>
        <v>0</v>
      </c>
      <c r="P27" s="152">
        <f>IF($D$15="-",0,INDEX(CPAT_National!P$6:P$133,MATCH($G27&amp;"|"&amp;$D$15,CPAT_National!$B$6:$B$133,0)))</f>
        <v>0</v>
      </c>
      <c r="Q27" s="152">
        <f>IF($D$15="-",0,INDEX(CPAT_National!Q$6:Q$133,MATCH($G27&amp;"|"&amp;$D$15,CPAT_National!$B$6:$B$133,0)))</f>
        <v>0</v>
      </c>
      <c r="R27" s="152">
        <f>IF($D$15="-",0,INDEX(CPAT_National!R$6:R$133,MATCH($G27&amp;"|"&amp;$D$15,CPAT_National!$B$6:$B$133,0)))</f>
        <v>0</v>
      </c>
      <c r="S27" s="152">
        <f>IF($D$15="-",0,INDEX(CPAT_National!S$6:S$133,MATCH($G27&amp;"|"&amp;$D$15,CPAT_National!$B$6:$B$133,0)))</f>
        <v>0</v>
      </c>
      <c r="T27" s="152">
        <f>IF($D$15="-",0,INDEX(CPAT_National!T$6:T$133,MATCH($G27&amp;"|"&amp;$D$15,CPAT_National!$B$6:$B$133,0)))</f>
        <v>0</v>
      </c>
      <c r="U27" s="152">
        <f>IF($D$15="-",0,INDEX(CPAT_National!U$6:U$133,MATCH($G27&amp;"|"&amp;$D$15,CPAT_National!$B$6:$B$133,0)))</f>
        <v>0</v>
      </c>
      <c r="V27" s="152">
        <f>IF($D$15="-",0,INDEX(CPAT_National!V$6:V$133,MATCH($G27&amp;"|"&amp;$D$15,CPAT_National!$B$6:$B$133,0)))</f>
        <v>0</v>
      </c>
      <c r="W27" s="152">
        <f>IF($D$15="-",0,INDEX(CPAT_National!W$6:W$133,MATCH($G27&amp;"|"&amp;$D$15,CPAT_National!$B$6:$B$133,0)))</f>
        <v>0</v>
      </c>
      <c r="X27" s="152">
        <f>IF($D$15="-",0,INDEX(CPAT_National!X$6:X$133,MATCH($G27&amp;"|"&amp;$D$15,CPAT_National!$B$6:$B$133,0)))</f>
        <v>0</v>
      </c>
      <c r="Y27" s="152">
        <f>IF($D$15="-",0,INDEX(CPAT_National!Y$6:Y$133,MATCH($G27&amp;"|"&amp;$D$15,CPAT_National!$B$6:$B$133,0)))</f>
        <v>0</v>
      </c>
      <c r="Z27" s="152">
        <f>IF($D$15="-",0,INDEX(CPAT_National!Z$6:Z$133,MATCH($G27&amp;"|"&amp;$D$15,CPAT_National!$B$6:$B$133,0)))</f>
        <v>0</v>
      </c>
      <c r="AA27" s="152">
        <f>IF($D$15="-",0,INDEX(CPAT_National!AA$6:AA$133,MATCH($G27&amp;"|"&amp;$D$15,CPAT_National!$B$6:$B$133,0)))</f>
        <v>0</v>
      </c>
      <c r="AB27" s="152">
        <f>IF($D$15="-",0,INDEX(CPAT_National!AB$6:AB$133,MATCH($G27&amp;"|"&amp;$D$15,CPAT_National!$B$6:$B$133,0)))</f>
        <v>0</v>
      </c>
      <c r="AC27" s="152">
        <f>IF($D$15="-",0,INDEX(CPAT_National!AC$6:AC$133,MATCH($G27&amp;"|"&amp;$D$15,CPAT_National!$B$6:$B$133,0)))</f>
        <v>0</v>
      </c>
      <c r="AD27" s="152">
        <f>IF($D$15="-",0,INDEX(CPAT_National!AD$6:AD$133,MATCH($G27&amp;"|"&amp;$D$15,CPAT_National!$B$6:$B$133,0)))</f>
        <v>0</v>
      </c>
      <c r="AE27" s="152">
        <f>IF($D$15="-",0,INDEX(CPAT_National!AE$6:AE$133,MATCH($G27&amp;"|"&amp;$D$15,CPAT_National!$B$6:$B$133,0)))</f>
        <v>0</v>
      </c>
    </row>
    <row r="28" spans="1:35" x14ac:dyDescent="0.35">
      <c r="B28" s="115" t="s">
        <v>3474</v>
      </c>
      <c r="C28" s="115" t="s">
        <v>3475</v>
      </c>
      <c r="D28" s="115" t="s">
        <v>3480</v>
      </c>
      <c r="E28" s="115" t="s">
        <v>1852</v>
      </c>
      <c r="F28" s="115" t="s">
        <v>3477</v>
      </c>
      <c r="G28" s="115" t="s">
        <v>3390</v>
      </c>
      <c r="H28" s="119" t="str">
        <f>Settings!$B$3&amp;".mit.t2.ipr2"</f>
        <v>egy.mit.t2.ipr2</v>
      </c>
      <c r="L28" s="152">
        <f>IF($D$15="-",0,INDEX(CPAT_National!L$6:L$133,MATCH($G28&amp;"|"&amp;$D$15,CPAT_National!$B$6:$B$133,0)))</f>
        <v>0</v>
      </c>
      <c r="M28" s="152">
        <f>IF($D$15="-",0,INDEX(CPAT_National!M$6:M$133,MATCH($G28&amp;"|"&amp;$D$15,CPAT_National!$B$6:$B$133,0)))</f>
        <v>0</v>
      </c>
      <c r="N28" s="152">
        <f>IF($D$15="-",0,INDEX(CPAT_National!N$6:N$133,MATCH($G28&amp;"|"&amp;$D$15,CPAT_National!$B$6:$B$133,0)))</f>
        <v>0</v>
      </c>
      <c r="O28" s="152">
        <f>IF($D$15="-",0,INDEX(CPAT_National!O$6:O$133,MATCH($G28&amp;"|"&amp;$D$15,CPAT_National!$B$6:$B$133,0)))</f>
        <v>0</v>
      </c>
      <c r="P28" s="152">
        <f>IF($D$15="-",0,INDEX(CPAT_National!P$6:P$133,MATCH($G28&amp;"|"&amp;$D$15,CPAT_National!$B$6:$B$133,0)))</f>
        <v>0</v>
      </c>
      <c r="Q28" s="152">
        <f>IF($D$15="-",0,INDEX(CPAT_National!Q$6:Q$133,MATCH($G28&amp;"|"&amp;$D$15,CPAT_National!$B$6:$B$133,0)))</f>
        <v>0</v>
      </c>
      <c r="R28" s="152">
        <f>IF($D$15="-",0,INDEX(CPAT_National!R$6:R$133,MATCH($G28&amp;"|"&amp;$D$15,CPAT_National!$B$6:$B$133,0)))</f>
        <v>0</v>
      </c>
      <c r="S28" s="152">
        <f>IF($D$15="-",0,INDEX(CPAT_National!S$6:S$133,MATCH($G28&amp;"|"&amp;$D$15,CPAT_National!$B$6:$B$133,0)))</f>
        <v>0</v>
      </c>
      <c r="T28" s="152">
        <f>IF($D$15="-",0,INDEX(CPAT_National!T$6:T$133,MATCH($G28&amp;"|"&amp;$D$15,CPAT_National!$B$6:$B$133,0)))</f>
        <v>0</v>
      </c>
      <c r="U28" s="152">
        <f>IF($D$15="-",0,INDEX(CPAT_National!U$6:U$133,MATCH($G28&amp;"|"&amp;$D$15,CPAT_National!$B$6:$B$133,0)))</f>
        <v>0</v>
      </c>
      <c r="V28" s="152">
        <f>IF($D$15="-",0,INDEX(CPAT_National!V$6:V$133,MATCH($G28&amp;"|"&amp;$D$15,CPAT_National!$B$6:$B$133,0)))</f>
        <v>0</v>
      </c>
      <c r="W28" s="152">
        <f>IF($D$15="-",0,INDEX(CPAT_National!W$6:W$133,MATCH($G28&amp;"|"&amp;$D$15,CPAT_National!$B$6:$B$133,0)))</f>
        <v>0</v>
      </c>
      <c r="X28" s="152">
        <f>IF($D$15="-",0,INDEX(CPAT_National!X$6:X$133,MATCH($G28&amp;"|"&amp;$D$15,CPAT_National!$B$6:$B$133,0)))</f>
        <v>0</v>
      </c>
      <c r="Y28" s="152">
        <f>IF($D$15="-",0,INDEX(CPAT_National!Y$6:Y$133,MATCH($G28&amp;"|"&amp;$D$15,CPAT_National!$B$6:$B$133,0)))</f>
        <v>0</v>
      </c>
      <c r="Z28" s="152">
        <f>IF($D$15="-",0,INDEX(CPAT_National!Z$6:Z$133,MATCH($G28&amp;"|"&amp;$D$15,CPAT_National!$B$6:$B$133,0)))</f>
        <v>0</v>
      </c>
      <c r="AA28" s="152">
        <f>IF($D$15="-",0,INDEX(CPAT_National!AA$6:AA$133,MATCH($G28&amp;"|"&amp;$D$15,CPAT_National!$B$6:$B$133,0)))</f>
        <v>0</v>
      </c>
      <c r="AB28" s="152">
        <f>IF($D$15="-",0,INDEX(CPAT_National!AB$6:AB$133,MATCH($G28&amp;"|"&amp;$D$15,CPAT_National!$B$6:$B$133,0)))</f>
        <v>0</v>
      </c>
      <c r="AC28" s="152">
        <f>IF($D$15="-",0,INDEX(CPAT_National!AC$6:AC$133,MATCH($G28&amp;"|"&amp;$D$15,CPAT_National!$B$6:$B$133,0)))</f>
        <v>0</v>
      </c>
      <c r="AD28" s="152">
        <f>IF($D$15="-",0,INDEX(CPAT_National!AD$6:AD$133,MATCH($G28&amp;"|"&amp;$D$15,CPAT_National!$B$6:$B$133,0)))</f>
        <v>0</v>
      </c>
      <c r="AE28" s="152">
        <f>IF($D$15="-",0,INDEX(CPAT_National!AE$6:AE$133,MATCH($G28&amp;"|"&amp;$D$15,CPAT_National!$B$6:$B$133,0)))</f>
        <v>0</v>
      </c>
    </row>
    <row r="29" spans="1:35" x14ac:dyDescent="0.35">
      <c r="B29" s="115" t="s">
        <v>3474</v>
      </c>
      <c r="C29" s="115" t="s">
        <v>3475</v>
      </c>
      <c r="D29" s="115" t="s">
        <v>3481</v>
      </c>
      <c r="E29" s="115" t="s">
        <v>2068</v>
      </c>
      <c r="F29" s="115" t="s">
        <v>3477</v>
      </c>
      <c r="G29" s="115" t="s">
        <v>3301</v>
      </c>
      <c r="H29" s="119" t="str">
        <f>Settings!$B$3&amp;".mit.t2.enr1"</f>
        <v>egy.mit.t2.enr1</v>
      </c>
      <c r="L29" s="152">
        <f>IF($D$15="-",0,INDEX(CPAT_National!L$6:L$133,MATCH($G29&amp;"|"&amp;$D$15,CPAT_National!$B$6:$B$133,0)))</f>
        <v>0</v>
      </c>
      <c r="M29" s="152">
        <f>IF($D$15="-",0,INDEX(CPAT_National!M$6:M$133,MATCH($G29&amp;"|"&amp;$D$15,CPAT_National!$B$6:$B$133,0)))</f>
        <v>0</v>
      </c>
      <c r="N29" s="152">
        <f>IF($D$15="-",0,INDEX(CPAT_National!N$6:N$133,MATCH($G29&amp;"|"&amp;$D$15,CPAT_National!$B$6:$B$133,0)))</f>
        <v>0</v>
      </c>
      <c r="O29" s="152">
        <f>IF($D$15="-",0,INDEX(CPAT_National!O$6:O$133,MATCH($G29&amp;"|"&amp;$D$15,CPAT_National!$B$6:$B$133,0)))</f>
        <v>0</v>
      </c>
      <c r="P29" s="152">
        <f>IF($D$15="-",0,INDEX(CPAT_National!P$6:P$133,MATCH($G29&amp;"|"&amp;$D$15,CPAT_National!$B$6:$B$133,0)))</f>
        <v>0</v>
      </c>
      <c r="Q29" s="152">
        <f>IF($D$15="-",0,INDEX(CPAT_National!Q$6:Q$133,MATCH($G29&amp;"|"&amp;$D$15,CPAT_National!$B$6:$B$133,0)))</f>
        <v>0</v>
      </c>
      <c r="R29" s="152">
        <f>IF($D$15="-",0,INDEX(CPAT_National!R$6:R$133,MATCH($G29&amp;"|"&amp;$D$15,CPAT_National!$B$6:$B$133,0)))</f>
        <v>0</v>
      </c>
      <c r="S29" s="152">
        <f>IF($D$15="-",0,INDEX(CPAT_National!S$6:S$133,MATCH($G29&amp;"|"&amp;$D$15,CPAT_National!$B$6:$B$133,0)))</f>
        <v>0</v>
      </c>
      <c r="T29" s="152">
        <f>IF($D$15="-",0,INDEX(CPAT_National!T$6:T$133,MATCH($G29&amp;"|"&amp;$D$15,CPAT_National!$B$6:$B$133,0)))</f>
        <v>0</v>
      </c>
      <c r="U29" s="152">
        <f>IF($D$15="-",0,INDEX(CPAT_National!U$6:U$133,MATCH($G29&amp;"|"&amp;$D$15,CPAT_National!$B$6:$B$133,0)))</f>
        <v>0</v>
      </c>
      <c r="V29" s="152">
        <f>IF($D$15="-",0,INDEX(CPAT_National!V$6:V$133,MATCH($G29&amp;"|"&amp;$D$15,CPAT_National!$B$6:$B$133,0)))</f>
        <v>0</v>
      </c>
      <c r="W29" s="152">
        <f>IF($D$15="-",0,INDEX(CPAT_National!W$6:W$133,MATCH($G29&amp;"|"&amp;$D$15,CPAT_National!$B$6:$B$133,0)))</f>
        <v>0</v>
      </c>
      <c r="X29" s="152">
        <f>IF($D$15="-",0,INDEX(CPAT_National!X$6:X$133,MATCH($G29&amp;"|"&amp;$D$15,CPAT_National!$B$6:$B$133,0)))</f>
        <v>0</v>
      </c>
      <c r="Y29" s="152">
        <f>IF($D$15="-",0,INDEX(CPAT_National!Y$6:Y$133,MATCH($G29&amp;"|"&amp;$D$15,CPAT_National!$B$6:$B$133,0)))</f>
        <v>0</v>
      </c>
      <c r="Z29" s="152">
        <f>IF($D$15="-",0,INDEX(CPAT_National!Z$6:Z$133,MATCH($G29&amp;"|"&amp;$D$15,CPAT_National!$B$6:$B$133,0)))</f>
        <v>0</v>
      </c>
      <c r="AA29" s="152">
        <f>IF($D$15="-",0,INDEX(CPAT_National!AA$6:AA$133,MATCH($G29&amp;"|"&amp;$D$15,CPAT_National!$B$6:$B$133,0)))</f>
        <v>0</v>
      </c>
      <c r="AB29" s="152">
        <f>IF($D$15="-",0,INDEX(CPAT_National!AB$6:AB$133,MATCH($G29&amp;"|"&amp;$D$15,CPAT_National!$B$6:$B$133,0)))</f>
        <v>0</v>
      </c>
      <c r="AC29" s="152">
        <f>IF($D$15="-",0,INDEX(CPAT_National!AC$6:AC$133,MATCH($G29&amp;"|"&amp;$D$15,CPAT_National!$B$6:$B$133,0)))</f>
        <v>0</v>
      </c>
      <c r="AD29" s="152">
        <f>IF($D$15="-",0,INDEX(CPAT_National!AD$6:AD$133,MATCH($G29&amp;"|"&amp;$D$15,CPAT_National!$B$6:$B$133,0)))</f>
        <v>0</v>
      </c>
      <c r="AE29" s="152">
        <f>IF($D$15="-",0,INDEX(CPAT_National!AE$6:AE$133,MATCH($G29&amp;"|"&amp;$D$15,CPAT_National!$B$6:$B$133,0)))</f>
        <v>0</v>
      </c>
    </row>
    <row r="30" spans="1:35" x14ac:dyDescent="0.35">
      <c r="B30" s="115" t="s">
        <v>3474</v>
      </c>
      <c r="C30" s="115" t="s">
        <v>3475</v>
      </c>
      <c r="D30" s="115" t="s">
        <v>3482</v>
      </c>
      <c r="E30" s="115" t="s">
        <v>2068</v>
      </c>
      <c r="F30" s="115" t="s">
        <v>3477</v>
      </c>
      <c r="G30" s="115" t="s">
        <v>3307</v>
      </c>
      <c r="H30" s="119" t="str">
        <f>Settings!$B$3&amp;".mit.t2.enr2"</f>
        <v>egy.mit.t2.enr2</v>
      </c>
      <c r="L30" s="152">
        <f>IF($D$15="-",0,INDEX(CPAT_National!L$6:L$133,MATCH($G30&amp;"|"&amp;$D$15,CPAT_National!$B$6:$B$133,0)))</f>
        <v>0</v>
      </c>
      <c r="M30" s="152">
        <f>IF($D$15="-",0,INDEX(CPAT_National!M$6:M$133,MATCH($G30&amp;"|"&amp;$D$15,CPAT_National!$B$6:$B$133,0)))</f>
        <v>0</v>
      </c>
      <c r="N30" s="152">
        <f>IF($D$15="-",0,INDEX(CPAT_National!N$6:N$133,MATCH($G30&amp;"|"&amp;$D$15,CPAT_National!$B$6:$B$133,0)))</f>
        <v>0</v>
      </c>
      <c r="O30" s="152">
        <f>IF($D$15="-",0,INDEX(CPAT_National!O$6:O$133,MATCH($G30&amp;"|"&amp;$D$15,CPAT_National!$B$6:$B$133,0)))</f>
        <v>0</v>
      </c>
      <c r="P30" s="152">
        <f>IF($D$15="-",0,INDEX(CPAT_National!P$6:P$133,MATCH($G30&amp;"|"&amp;$D$15,CPAT_National!$B$6:$B$133,0)))</f>
        <v>0</v>
      </c>
      <c r="Q30" s="152">
        <f>IF($D$15="-",0,INDEX(CPAT_National!Q$6:Q$133,MATCH($G30&amp;"|"&amp;$D$15,CPAT_National!$B$6:$B$133,0)))</f>
        <v>0</v>
      </c>
      <c r="R30" s="152">
        <f>IF($D$15="-",0,INDEX(CPAT_National!R$6:R$133,MATCH($G30&amp;"|"&amp;$D$15,CPAT_National!$B$6:$B$133,0)))</f>
        <v>0</v>
      </c>
      <c r="S30" s="152">
        <f>IF($D$15="-",0,INDEX(CPAT_National!S$6:S$133,MATCH($G30&amp;"|"&amp;$D$15,CPAT_National!$B$6:$B$133,0)))</f>
        <v>0</v>
      </c>
      <c r="T30" s="152">
        <f>IF($D$15="-",0,INDEX(CPAT_National!T$6:T$133,MATCH($G30&amp;"|"&amp;$D$15,CPAT_National!$B$6:$B$133,0)))</f>
        <v>0</v>
      </c>
      <c r="U30" s="152">
        <f>IF($D$15="-",0,INDEX(CPAT_National!U$6:U$133,MATCH($G30&amp;"|"&amp;$D$15,CPAT_National!$B$6:$B$133,0)))</f>
        <v>0</v>
      </c>
      <c r="V30" s="152">
        <f>IF($D$15="-",0,INDEX(CPAT_National!V$6:V$133,MATCH($G30&amp;"|"&amp;$D$15,CPAT_National!$B$6:$B$133,0)))</f>
        <v>0</v>
      </c>
      <c r="W30" s="152">
        <f>IF($D$15="-",0,INDEX(CPAT_National!W$6:W$133,MATCH($G30&amp;"|"&amp;$D$15,CPAT_National!$B$6:$B$133,0)))</f>
        <v>0</v>
      </c>
      <c r="X30" s="152">
        <f>IF($D$15="-",0,INDEX(CPAT_National!X$6:X$133,MATCH($G30&amp;"|"&amp;$D$15,CPAT_National!$B$6:$B$133,0)))</f>
        <v>0</v>
      </c>
      <c r="Y30" s="152">
        <f>IF($D$15="-",0,INDEX(CPAT_National!Y$6:Y$133,MATCH($G30&amp;"|"&amp;$D$15,CPAT_National!$B$6:$B$133,0)))</f>
        <v>0</v>
      </c>
      <c r="Z30" s="152">
        <f>IF($D$15="-",0,INDEX(CPAT_National!Z$6:Z$133,MATCH($G30&amp;"|"&amp;$D$15,CPAT_National!$B$6:$B$133,0)))</f>
        <v>0</v>
      </c>
      <c r="AA30" s="152">
        <f>IF($D$15="-",0,INDEX(CPAT_National!AA$6:AA$133,MATCH($G30&amp;"|"&amp;$D$15,CPAT_National!$B$6:$B$133,0)))</f>
        <v>0</v>
      </c>
      <c r="AB30" s="152">
        <f>IF($D$15="-",0,INDEX(CPAT_National!AB$6:AB$133,MATCH($G30&amp;"|"&amp;$D$15,CPAT_National!$B$6:$B$133,0)))</f>
        <v>0</v>
      </c>
      <c r="AC30" s="152">
        <f>IF($D$15="-",0,INDEX(CPAT_National!AC$6:AC$133,MATCH($G30&amp;"|"&amp;$D$15,CPAT_National!$B$6:$B$133,0)))</f>
        <v>0</v>
      </c>
      <c r="AD30" s="152">
        <f>IF($D$15="-",0,INDEX(CPAT_National!AD$6:AD$133,MATCH($G30&amp;"|"&amp;$D$15,CPAT_National!$B$6:$B$133,0)))</f>
        <v>0</v>
      </c>
      <c r="AE30" s="152">
        <f>IF($D$15="-",0,INDEX(CPAT_National!AE$6:AE$133,MATCH($G30&amp;"|"&amp;$D$15,CPAT_National!$B$6:$B$133,0)))</f>
        <v>0</v>
      </c>
    </row>
    <row r="31" spans="1:35" x14ac:dyDescent="0.35">
      <c r="B31" s="115" t="s">
        <v>3474</v>
      </c>
      <c r="C31" s="115" t="s">
        <v>3475</v>
      </c>
      <c r="D31" s="115" t="s">
        <v>3483</v>
      </c>
      <c r="E31" s="115" t="s">
        <v>2068</v>
      </c>
      <c r="F31" s="115" t="s">
        <v>3477</v>
      </c>
      <c r="G31" s="115" t="s">
        <v>3313</v>
      </c>
      <c r="H31" s="119" t="str">
        <f>Settings!$B$3&amp;".mit.t2.ind1"</f>
        <v>egy.mit.t2.ind1</v>
      </c>
      <c r="L31" s="152">
        <f>IF($D$15="-",0,INDEX(CPAT_National!L$6:L$133,MATCH($G31&amp;"|"&amp;$D$15,CPAT_National!$B$6:$B$133,0)))</f>
        <v>0</v>
      </c>
      <c r="M31" s="152">
        <f>IF($D$15="-",0,INDEX(CPAT_National!M$6:M$133,MATCH($G31&amp;"|"&amp;$D$15,CPAT_National!$B$6:$B$133,0)))</f>
        <v>0</v>
      </c>
      <c r="N31" s="152">
        <f>IF($D$15="-",0,INDEX(CPAT_National!N$6:N$133,MATCH($G31&amp;"|"&amp;$D$15,CPAT_National!$B$6:$B$133,0)))</f>
        <v>0</v>
      </c>
      <c r="O31" s="152">
        <f>IF($D$15="-",0,INDEX(CPAT_National!O$6:O$133,MATCH($G31&amp;"|"&amp;$D$15,CPAT_National!$B$6:$B$133,0)))</f>
        <v>0</v>
      </c>
      <c r="P31" s="152">
        <f>IF($D$15="-",0,INDEX(CPAT_National!P$6:P$133,MATCH($G31&amp;"|"&amp;$D$15,CPAT_National!$B$6:$B$133,0)))</f>
        <v>0</v>
      </c>
      <c r="Q31" s="152">
        <f>IF($D$15="-",0,INDEX(CPAT_National!Q$6:Q$133,MATCH($G31&amp;"|"&amp;$D$15,CPAT_National!$B$6:$B$133,0)))</f>
        <v>0</v>
      </c>
      <c r="R31" s="152">
        <f>IF($D$15="-",0,INDEX(CPAT_National!R$6:R$133,MATCH($G31&amp;"|"&amp;$D$15,CPAT_National!$B$6:$B$133,0)))</f>
        <v>0</v>
      </c>
      <c r="S31" s="152">
        <f>IF($D$15="-",0,INDEX(CPAT_National!S$6:S$133,MATCH($G31&amp;"|"&amp;$D$15,CPAT_National!$B$6:$B$133,0)))</f>
        <v>0</v>
      </c>
      <c r="T31" s="152">
        <f>IF($D$15="-",0,INDEX(CPAT_National!T$6:T$133,MATCH($G31&amp;"|"&amp;$D$15,CPAT_National!$B$6:$B$133,0)))</f>
        <v>0</v>
      </c>
      <c r="U31" s="152">
        <f>IF($D$15="-",0,INDEX(CPAT_National!U$6:U$133,MATCH($G31&amp;"|"&amp;$D$15,CPAT_National!$B$6:$B$133,0)))</f>
        <v>0</v>
      </c>
      <c r="V31" s="152">
        <f>IF($D$15="-",0,INDEX(CPAT_National!V$6:V$133,MATCH($G31&amp;"|"&amp;$D$15,CPAT_National!$B$6:$B$133,0)))</f>
        <v>0</v>
      </c>
      <c r="W31" s="152">
        <f>IF($D$15="-",0,INDEX(CPAT_National!W$6:W$133,MATCH($G31&amp;"|"&amp;$D$15,CPAT_National!$B$6:$B$133,0)))</f>
        <v>0</v>
      </c>
      <c r="X31" s="152">
        <f>IF($D$15="-",0,INDEX(CPAT_National!X$6:X$133,MATCH($G31&amp;"|"&amp;$D$15,CPAT_National!$B$6:$B$133,0)))</f>
        <v>0</v>
      </c>
      <c r="Y31" s="152">
        <f>IF($D$15="-",0,INDEX(CPAT_National!Y$6:Y$133,MATCH($G31&amp;"|"&amp;$D$15,CPAT_National!$B$6:$B$133,0)))</f>
        <v>0</v>
      </c>
      <c r="Z31" s="152">
        <f>IF($D$15="-",0,INDEX(CPAT_National!Z$6:Z$133,MATCH($G31&amp;"|"&amp;$D$15,CPAT_National!$B$6:$B$133,0)))</f>
        <v>0</v>
      </c>
      <c r="AA31" s="152">
        <f>IF($D$15="-",0,INDEX(CPAT_National!AA$6:AA$133,MATCH($G31&amp;"|"&amp;$D$15,CPAT_National!$B$6:$B$133,0)))</f>
        <v>0</v>
      </c>
      <c r="AB31" s="152">
        <f>IF($D$15="-",0,INDEX(CPAT_National!AB$6:AB$133,MATCH($G31&amp;"|"&amp;$D$15,CPAT_National!$B$6:$B$133,0)))</f>
        <v>0</v>
      </c>
      <c r="AC31" s="152">
        <f>IF($D$15="-",0,INDEX(CPAT_National!AC$6:AC$133,MATCH($G31&amp;"|"&amp;$D$15,CPAT_National!$B$6:$B$133,0)))</f>
        <v>0</v>
      </c>
      <c r="AD31" s="152">
        <f>IF($D$15="-",0,INDEX(CPAT_National!AD$6:AD$133,MATCH($G31&amp;"|"&amp;$D$15,CPAT_National!$B$6:$B$133,0)))</f>
        <v>0</v>
      </c>
      <c r="AE31" s="152">
        <f>IF($D$15="-",0,INDEX(CPAT_National!AE$6:AE$133,MATCH($G31&amp;"|"&amp;$D$15,CPAT_National!$B$6:$B$133,0)))</f>
        <v>0</v>
      </c>
    </row>
    <row r="32" spans="1:35" x14ac:dyDescent="0.35">
      <c r="B32" s="115" t="s">
        <v>3474</v>
      </c>
      <c r="C32" s="115" t="s">
        <v>3475</v>
      </c>
      <c r="D32" s="115" t="s">
        <v>3484</v>
      </c>
      <c r="E32" s="115" t="s">
        <v>2068</v>
      </c>
      <c r="F32" s="115" t="s">
        <v>3477</v>
      </c>
      <c r="G32" s="115" t="s">
        <v>3319</v>
      </c>
      <c r="H32" s="119" t="str">
        <f>Settings!$B$3&amp;".mit.t2.ind2"</f>
        <v>egy.mit.t2.ind2</v>
      </c>
      <c r="L32" s="152">
        <f>IF($D$15="-",0,INDEX(CPAT_National!L$6:L$133,MATCH($G32&amp;"|"&amp;$D$15,CPAT_National!$B$6:$B$133,0)))</f>
        <v>0</v>
      </c>
      <c r="M32" s="152">
        <f>IF($D$15="-",0,INDEX(CPAT_National!M$6:M$133,MATCH($G32&amp;"|"&amp;$D$15,CPAT_National!$B$6:$B$133,0)))</f>
        <v>0</v>
      </c>
      <c r="N32" s="152">
        <f>IF($D$15="-",0,INDEX(CPAT_National!N$6:N$133,MATCH($G32&amp;"|"&amp;$D$15,CPAT_National!$B$6:$B$133,0)))</f>
        <v>0</v>
      </c>
      <c r="O32" s="152">
        <f>IF($D$15="-",0,INDEX(CPAT_National!O$6:O$133,MATCH($G32&amp;"|"&amp;$D$15,CPAT_National!$B$6:$B$133,0)))</f>
        <v>0</v>
      </c>
      <c r="P32" s="152">
        <f>IF($D$15="-",0,INDEX(CPAT_National!P$6:P$133,MATCH($G32&amp;"|"&amp;$D$15,CPAT_National!$B$6:$B$133,0)))</f>
        <v>0</v>
      </c>
      <c r="Q32" s="152">
        <f>IF($D$15="-",0,INDEX(CPAT_National!Q$6:Q$133,MATCH($G32&amp;"|"&amp;$D$15,CPAT_National!$B$6:$B$133,0)))</f>
        <v>0</v>
      </c>
      <c r="R32" s="152">
        <f>IF($D$15="-",0,INDEX(CPAT_National!R$6:R$133,MATCH($G32&amp;"|"&amp;$D$15,CPAT_National!$B$6:$B$133,0)))</f>
        <v>0</v>
      </c>
      <c r="S32" s="152">
        <f>IF($D$15="-",0,INDEX(CPAT_National!S$6:S$133,MATCH($G32&amp;"|"&amp;$D$15,CPAT_National!$B$6:$B$133,0)))</f>
        <v>0</v>
      </c>
      <c r="T32" s="152">
        <f>IF($D$15="-",0,INDEX(CPAT_National!T$6:T$133,MATCH($G32&amp;"|"&amp;$D$15,CPAT_National!$B$6:$B$133,0)))</f>
        <v>0</v>
      </c>
      <c r="U32" s="152">
        <f>IF($D$15="-",0,INDEX(CPAT_National!U$6:U$133,MATCH($G32&amp;"|"&amp;$D$15,CPAT_National!$B$6:$B$133,0)))</f>
        <v>0</v>
      </c>
      <c r="V32" s="152">
        <f>IF($D$15="-",0,INDEX(CPAT_National!V$6:V$133,MATCH($G32&amp;"|"&amp;$D$15,CPAT_National!$B$6:$B$133,0)))</f>
        <v>0</v>
      </c>
      <c r="W32" s="152">
        <f>IF($D$15="-",0,INDEX(CPAT_National!W$6:W$133,MATCH($G32&amp;"|"&amp;$D$15,CPAT_National!$B$6:$B$133,0)))</f>
        <v>0</v>
      </c>
      <c r="X32" s="152">
        <f>IF($D$15="-",0,INDEX(CPAT_National!X$6:X$133,MATCH($G32&amp;"|"&amp;$D$15,CPAT_National!$B$6:$B$133,0)))</f>
        <v>0</v>
      </c>
      <c r="Y32" s="152">
        <f>IF($D$15="-",0,INDEX(CPAT_National!Y$6:Y$133,MATCH($G32&amp;"|"&amp;$D$15,CPAT_National!$B$6:$B$133,0)))</f>
        <v>0</v>
      </c>
      <c r="Z32" s="152">
        <f>IF($D$15="-",0,INDEX(CPAT_National!Z$6:Z$133,MATCH($G32&amp;"|"&amp;$D$15,CPAT_National!$B$6:$B$133,0)))</f>
        <v>0</v>
      </c>
      <c r="AA32" s="152">
        <f>IF($D$15="-",0,INDEX(CPAT_National!AA$6:AA$133,MATCH($G32&amp;"|"&amp;$D$15,CPAT_National!$B$6:$B$133,0)))</f>
        <v>0</v>
      </c>
      <c r="AB32" s="152">
        <f>IF($D$15="-",0,INDEX(CPAT_National!AB$6:AB$133,MATCH($G32&amp;"|"&amp;$D$15,CPAT_National!$B$6:$B$133,0)))</f>
        <v>0</v>
      </c>
      <c r="AC32" s="152">
        <f>IF($D$15="-",0,INDEX(CPAT_National!AC$6:AC$133,MATCH($G32&amp;"|"&amp;$D$15,CPAT_National!$B$6:$B$133,0)))</f>
        <v>0</v>
      </c>
      <c r="AD32" s="152">
        <f>IF($D$15="-",0,INDEX(CPAT_National!AD$6:AD$133,MATCH($G32&amp;"|"&amp;$D$15,CPAT_National!$B$6:$B$133,0)))</f>
        <v>0</v>
      </c>
      <c r="AE32" s="152">
        <f>IF($D$15="-",0,INDEX(CPAT_National!AE$6:AE$133,MATCH($G32&amp;"|"&amp;$D$15,CPAT_National!$B$6:$B$133,0)))</f>
        <v>0</v>
      </c>
    </row>
    <row r="33" spans="2:31" x14ac:dyDescent="0.35">
      <c r="B33" s="115" t="s">
        <v>3474</v>
      </c>
      <c r="C33" s="115" t="s">
        <v>3475</v>
      </c>
      <c r="D33" s="115" t="s">
        <v>3485</v>
      </c>
      <c r="E33" s="115" t="s">
        <v>16</v>
      </c>
      <c r="F33" s="115" t="s">
        <v>3477</v>
      </c>
      <c r="G33" s="115" t="s">
        <v>1403</v>
      </c>
      <c r="H33" s="119" t="str">
        <f>Settings!$B$3&amp;".mit.t2.cptraj"</f>
        <v>egy.mit.t2.cptraj</v>
      </c>
      <c r="L33" s="152">
        <f>IF($D$15="-",0,INDEX(CPAT_National!L$6:L$133,MATCH($G33&amp;"|"&amp;$D$15,CPAT_National!$B$6:$B$133,0)))</f>
        <v>0</v>
      </c>
      <c r="M33" s="152">
        <f>IF($D$15="-",0,INDEX(CPAT_National!M$6:M$133,MATCH($G33&amp;"|"&amp;$D$15,CPAT_National!$B$6:$B$133,0)))</f>
        <v>0</v>
      </c>
      <c r="N33" s="152">
        <f>IF($D$15="-",0,INDEX(CPAT_National!N$6:N$133,MATCH($G33&amp;"|"&amp;$D$15,CPAT_National!$B$6:$B$133,0)))</f>
        <v>0</v>
      </c>
      <c r="O33" s="152">
        <f>IF($D$15="-",0,INDEX(CPAT_National!O$6:O$133,MATCH($G33&amp;"|"&amp;$D$15,CPAT_National!$B$6:$B$133,0)))</f>
        <v>0</v>
      </c>
      <c r="P33" s="152">
        <f>IF($D$15="-",0,INDEX(CPAT_National!P$6:P$133,MATCH($G33&amp;"|"&amp;$D$15,CPAT_National!$B$6:$B$133,0)))</f>
        <v>0</v>
      </c>
      <c r="Q33" s="152">
        <f>IF($D$15="-",0,INDEX(CPAT_National!Q$6:Q$133,MATCH($G33&amp;"|"&amp;$D$15,CPAT_National!$B$6:$B$133,0)))</f>
        <v>0</v>
      </c>
      <c r="R33" s="152">
        <f>IF($D$15="-",0,INDEX(CPAT_National!R$6:R$133,MATCH($G33&amp;"|"&amp;$D$15,CPAT_National!$B$6:$B$133,0)))</f>
        <v>0</v>
      </c>
      <c r="S33" s="152">
        <f>IF($D$15="-",0,INDEX(CPAT_National!S$6:S$133,MATCH($G33&amp;"|"&amp;$D$15,CPAT_National!$B$6:$B$133,0)))</f>
        <v>0</v>
      </c>
      <c r="T33" s="152">
        <f>IF($D$15="-",0,INDEX(CPAT_National!T$6:T$133,MATCH($G33&amp;"|"&amp;$D$15,CPAT_National!$B$6:$B$133,0)))</f>
        <v>0</v>
      </c>
      <c r="U33" s="152">
        <f>IF($D$15="-",0,INDEX(CPAT_National!U$6:U$133,MATCH($G33&amp;"|"&amp;$D$15,CPAT_National!$B$6:$B$133,0)))</f>
        <v>0</v>
      </c>
      <c r="V33" s="152">
        <f>IF($D$15="-",0,INDEX(CPAT_National!V$6:V$133,MATCH($G33&amp;"|"&amp;$D$15,CPAT_National!$B$6:$B$133,0)))</f>
        <v>0</v>
      </c>
      <c r="W33" s="152">
        <f>IF($D$15="-",0,INDEX(CPAT_National!W$6:W$133,MATCH($G33&amp;"|"&amp;$D$15,CPAT_National!$B$6:$B$133,0)))</f>
        <v>0</v>
      </c>
      <c r="X33" s="152">
        <f>IF($D$15="-",0,INDEX(CPAT_National!X$6:X$133,MATCH($G33&amp;"|"&amp;$D$15,CPAT_National!$B$6:$B$133,0)))</f>
        <v>0</v>
      </c>
      <c r="Y33" s="152">
        <f>IF($D$15="-",0,INDEX(CPAT_National!Y$6:Y$133,MATCH($G33&amp;"|"&amp;$D$15,CPAT_National!$B$6:$B$133,0)))</f>
        <v>0</v>
      </c>
      <c r="Z33" s="152">
        <f>IF($D$15="-",0,INDEX(CPAT_National!Z$6:Z$133,MATCH($G33&amp;"|"&amp;$D$15,CPAT_National!$B$6:$B$133,0)))</f>
        <v>0</v>
      </c>
      <c r="AA33" s="152">
        <f>IF($D$15="-",0,INDEX(CPAT_National!AA$6:AA$133,MATCH($G33&amp;"|"&amp;$D$15,CPAT_National!$B$6:$B$133,0)))</f>
        <v>0</v>
      </c>
      <c r="AB33" s="152">
        <f>IF($D$15="-",0,INDEX(CPAT_National!AB$6:AB$133,MATCH($G33&amp;"|"&amp;$D$15,CPAT_National!$B$6:$B$133,0)))</f>
        <v>0</v>
      </c>
      <c r="AC33" s="152">
        <f>IF($D$15="-",0,INDEX(CPAT_National!AC$6:AC$133,MATCH($G33&amp;"|"&amp;$D$15,CPAT_National!$B$6:$B$133,0)))</f>
        <v>0</v>
      </c>
      <c r="AD33" s="152">
        <f>IF($D$15="-",0,INDEX(CPAT_National!AD$6:AD$133,MATCH($G33&amp;"|"&amp;$D$15,CPAT_National!$B$6:$B$133,0)))</f>
        <v>0</v>
      </c>
      <c r="AE33" s="152">
        <f>IF($D$15="-",0,INDEX(CPAT_National!AE$6:AE$133,MATCH($G33&amp;"|"&amp;$D$15,CPAT_National!$B$6:$B$133,0)))</f>
        <v>0</v>
      </c>
    </row>
    <row r="34" spans="2:31" x14ac:dyDescent="0.35">
      <c r="B34" s="115" t="s">
        <v>3474</v>
      </c>
      <c r="C34" s="115" t="s">
        <v>3475</v>
      </c>
      <c r="D34" s="115" t="s">
        <v>3486</v>
      </c>
      <c r="E34" s="115" t="s">
        <v>16</v>
      </c>
      <c r="F34" s="115" t="s">
        <v>3477</v>
      </c>
      <c r="G34" s="115" t="s">
        <v>3378</v>
      </c>
      <c r="H34" s="119" t="str">
        <f>Settings!$B$3&amp;".mit.t2.effcp"</f>
        <v>egy.mit.t2.effcp</v>
      </c>
      <c r="L34" s="152">
        <f>IF($D$15="-",0,INDEX(CPAT_National!L$6:L$133,MATCH($G34&amp;"|"&amp;$D$15,CPAT_National!$B$6:$B$133,0)))</f>
        <v>0</v>
      </c>
      <c r="M34" s="152">
        <f>IF($D$15="-",0,INDEX(CPAT_National!M$6:M$133,MATCH($G34&amp;"|"&amp;$D$15,CPAT_National!$B$6:$B$133,0)))</f>
        <v>0</v>
      </c>
      <c r="N34" s="152">
        <f>IF($D$15="-",0,INDEX(CPAT_National!N$6:N$133,MATCH($G34&amp;"|"&amp;$D$15,CPAT_National!$B$6:$B$133,0)))</f>
        <v>0</v>
      </c>
      <c r="O34" s="152">
        <f>IF($D$15="-",0,INDEX(CPAT_National!O$6:O$133,MATCH($G34&amp;"|"&amp;$D$15,CPAT_National!$B$6:$B$133,0)))</f>
        <v>0</v>
      </c>
      <c r="P34" s="152">
        <f>IF($D$15="-",0,INDEX(CPAT_National!P$6:P$133,MATCH($G34&amp;"|"&amp;$D$15,CPAT_National!$B$6:$B$133,0)))</f>
        <v>0</v>
      </c>
      <c r="Q34" s="152">
        <f>IF($D$15="-",0,INDEX(CPAT_National!Q$6:Q$133,MATCH($G34&amp;"|"&amp;$D$15,CPAT_National!$B$6:$B$133,0)))</f>
        <v>0</v>
      </c>
      <c r="R34" s="152">
        <f>IF($D$15="-",0,INDEX(CPAT_National!R$6:R$133,MATCH($G34&amp;"|"&amp;$D$15,CPAT_National!$B$6:$B$133,0)))</f>
        <v>0</v>
      </c>
      <c r="S34" s="152">
        <f>IF($D$15="-",0,INDEX(CPAT_National!S$6:S$133,MATCH($G34&amp;"|"&amp;$D$15,CPAT_National!$B$6:$B$133,0)))</f>
        <v>0</v>
      </c>
      <c r="T34" s="152">
        <f>IF($D$15="-",0,INDEX(CPAT_National!T$6:T$133,MATCH($G34&amp;"|"&amp;$D$15,CPAT_National!$B$6:$B$133,0)))</f>
        <v>0</v>
      </c>
      <c r="U34" s="152">
        <f>IF($D$15="-",0,INDEX(CPAT_National!U$6:U$133,MATCH($G34&amp;"|"&amp;$D$15,CPAT_National!$B$6:$B$133,0)))</f>
        <v>0</v>
      </c>
      <c r="V34" s="152">
        <f>IF($D$15="-",0,INDEX(CPAT_National!V$6:V$133,MATCH($G34&amp;"|"&amp;$D$15,CPAT_National!$B$6:$B$133,0)))</f>
        <v>0</v>
      </c>
      <c r="W34" s="152">
        <f>IF($D$15="-",0,INDEX(CPAT_National!W$6:W$133,MATCH($G34&amp;"|"&amp;$D$15,CPAT_National!$B$6:$B$133,0)))</f>
        <v>0</v>
      </c>
      <c r="X34" s="152">
        <f>IF($D$15="-",0,INDEX(CPAT_National!X$6:X$133,MATCH($G34&amp;"|"&amp;$D$15,CPAT_National!$B$6:$B$133,0)))</f>
        <v>0</v>
      </c>
      <c r="Y34" s="152">
        <f>IF($D$15="-",0,INDEX(CPAT_National!Y$6:Y$133,MATCH($G34&amp;"|"&amp;$D$15,CPAT_National!$B$6:$B$133,0)))</f>
        <v>0</v>
      </c>
      <c r="Z34" s="152">
        <f>IF($D$15="-",0,INDEX(CPAT_National!Z$6:Z$133,MATCH($G34&amp;"|"&amp;$D$15,CPAT_National!$B$6:$B$133,0)))</f>
        <v>0</v>
      </c>
      <c r="AA34" s="152">
        <f>IF($D$15="-",0,INDEX(CPAT_National!AA$6:AA$133,MATCH($G34&amp;"|"&amp;$D$15,CPAT_National!$B$6:$B$133,0)))</f>
        <v>0</v>
      </c>
      <c r="AB34" s="152">
        <f>IF($D$15="-",0,INDEX(CPAT_National!AB$6:AB$133,MATCH($G34&amp;"|"&amp;$D$15,CPAT_National!$B$6:$B$133,0)))</f>
        <v>0</v>
      </c>
      <c r="AC34" s="152">
        <f>IF($D$15="-",0,INDEX(CPAT_National!AC$6:AC$133,MATCH($G34&amp;"|"&amp;$D$15,CPAT_National!$B$6:$B$133,0)))</f>
        <v>0</v>
      </c>
      <c r="AD34" s="152">
        <f>IF($D$15="-",0,INDEX(CPAT_National!AD$6:AD$133,MATCH($G34&amp;"|"&amp;$D$15,CPAT_National!$B$6:$B$133,0)))</f>
        <v>0</v>
      </c>
      <c r="AE34" s="152">
        <f>IF($D$15="-",0,INDEX(CPAT_National!AE$6:AE$133,MATCH($G34&amp;"|"&amp;$D$15,CPAT_National!$B$6:$B$133,0)))</f>
        <v>0</v>
      </c>
    </row>
    <row r="35" spans="2:31" x14ac:dyDescent="0.35">
      <c r="B35" s="115" t="s">
        <v>3474</v>
      </c>
      <c r="C35" s="115" t="s">
        <v>3475</v>
      </c>
      <c r="D35" s="115" t="s">
        <v>3487</v>
      </c>
      <c r="E35" s="115" t="s">
        <v>3408</v>
      </c>
      <c r="F35" s="115" t="s">
        <v>3477</v>
      </c>
      <c r="G35" s="115" t="s">
        <v>3445</v>
      </c>
      <c r="H35" s="119" t="str">
        <f>Settings!$B$3&amp;".mit.t2.rev1"</f>
        <v>egy.mit.t2.rev1</v>
      </c>
      <c r="L35" s="152">
        <f>IF($D$15="-",0,INDEX(CPAT_National!L$6:L$133,MATCH($G35&amp;"|"&amp;$D$15,CPAT_National!$B$6:$B$133,0)))</f>
        <v>0</v>
      </c>
      <c r="M35" s="152">
        <f>IF($D$15="-",0,INDEX(CPAT_National!M$6:M$133,MATCH($G35&amp;"|"&amp;$D$15,CPAT_National!$B$6:$B$133,0)))</f>
        <v>0</v>
      </c>
      <c r="N35" s="152">
        <f>IF($D$15="-",0,INDEX(CPAT_National!N$6:N$133,MATCH($G35&amp;"|"&amp;$D$15,CPAT_National!$B$6:$B$133,0)))</f>
        <v>0</v>
      </c>
      <c r="O35" s="152">
        <f>IF($D$15="-",0,INDEX(CPAT_National!O$6:O$133,MATCH($G35&amp;"|"&amp;$D$15,CPAT_National!$B$6:$B$133,0)))</f>
        <v>0</v>
      </c>
      <c r="P35" s="152">
        <f>IF($D$15="-",0,INDEX(CPAT_National!P$6:P$133,MATCH($G35&amp;"|"&amp;$D$15,CPAT_National!$B$6:$B$133,0)))</f>
        <v>0</v>
      </c>
      <c r="Q35" s="152">
        <f>IF($D$15="-",0,INDEX(CPAT_National!Q$6:Q$133,MATCH($G35&amp;"|"&amp;$D$15,CPAT_National!$B$6:$B$133,0)))</f>
        <v>0</v>
      </c>
      <c r="R35" s="152">
        <f>IF($D$15="-",0,INDEX(CPAT_National!R$6:R$133,MATCH($G35&amp;"|"&amp;$D$15,CPAT_National!$B$6:$B$133,0)))</f>
        <v>0</v>
      </c>
      <c r="S35" s="152">
        <f>IF($D$15="-",0,INDEX(CPAT_National!S$6:S$133,MATCH($G35&amp;"|"&amp;$D$15,CPAT_National!$B$6:$B$133,0)))</f>
        <v>0</v>
      </c>
      <c r="T35" s="152">
        <f>IF($D$15="-",0,INDEX(CPAT_National!T$6:T$133,MATCH($G35&amp;"|"&amp;$D$15,CPAT_National!$B$6:$B$133,0)))</f>
        <v>0</v>
      </c>
      <c r="U35" s="152">
        <f>IF($D$15="-",0,INDEX(CPAT_National!U$6:U$133,MATCH($G35&amp;"|"&amp;$D$15,CPAT_National!$B$6:$B$133,0)))</f>
        <v>0</v>
      </c>
      <c r="V35" s="152">
        <f>IF($D$15="-",0,INDEX(CPAT_National!V$6:V$133,MATCH($G35&amp;"|"&amp;$D$15,CPAT_National!$B$6:$B$133,0)))</f>
        <v>0</v>
      </c>
      <c r="W35" s="152">
        <f>IF($D$15="-",0,INDEX(CPAT_National!W$6:W$133,MATCH($G35&amp;"|"&amp;$D$15,CPAT_National!$B$6:$B$133,0)))</f>
        <v>0</v>
      </c>
      <c r="X35" s="152">
        <f>IF($D$15="-",0,INDEX(CPAT_National!X$6:X$133,MATCH($G35&amp;"|"&amp;$D$15,CPAT_National!$B$6:$B$133,0)))</f>
        <v>0</v>
      </c>
      <c r="Y35" s="152">
        <f>IF($D$15="-",0,INDEX(CPAT_National!Y$6:Y$133,MATCH($G35&amp;"|"&amp;$D$15,CPAT_National!$B$6:$B$133,0)))</f>
        <v>0</v>
      </c>
      <c r="Z35" s="152">
        <f>IF($D$15="-",0,INDEX(CPAT_National!Z$6:Z$133,MATCH($G35&amp;"|"&amp;$D$15,CPAT_National!$B$6:$B$133,0)))</f>
        <v>0</v>
      </c>
      <c r="AA35" s="152">
        <f>IF($D$15="-",0,INDEX(CPAT_National!AA$6:AA$133,MATCH($G35&amp;"|"&amp;$D$15,CPAT_National!$B$6:$B$133,0)))</f>
        <v>0</v>
      </c>
      <c r="AB35" s="152">
        <f>IF($D$15="-",0,INDEX(CPAT_National!AB$6:AB$133,MATCH($G35&amp;"|"&amp;$D$15,CPAT_National!$B$6:$B$133,0)))</f>
        <v>0</v>
      </c>
      <c r="AC35" s="152">
        <f>IF($D$15="-",0,INDEX(CPAT_National!AC$6:AC$133,MATCH($G35&amp;"|"&amp;$D$15,CPAT_National!$B$6:$B$133,0)))</f>
        <v>0</v>
      </c>
      <c r="AD35" s="152">
        <f>IF($D$15="-",0,INDEX(CPAT_National!AD$6:AD$133,MATCH($G35&amp;"|"&amp;$D$15,CPAT_National!$B$6:$B$133,0)))</f>
        <v>0</v>
      </c>
      <c r="AE35" s="152">
        <f>IF($D$15="-",0,INDEX(CPAT_National!AE$6:AE$133,MATCH($G35&amp;"|"&amp;$D$15,CPAT_National!$B$6:$B$133,0)))</f>
        <v>0</v>
      </c>
    </row>
    <row r="36" spans="2:31" x14ac:dyDescent="0.35">
      <c r="B36" s="115" t="s">
        <v>3474</v>
      </c>
      <c r="C36" s="115" t="s">
        <v>3475</v>
      </c>
      <c r="D36" s="115" t="s">
        <v>3488</v>
      </c>
      <c r="E36" s="115" t="s">
        <v>3408</v>
      </c>
      <c r="F36" s="115" t="s">
        <v>3477</v>
      </c>
      <c r="G36" s="115" t="s">
        <v>3451</v>
      </c>
      <c r="H36" s="119" t="str">
        <f>Settings!$B$3&amp;".mit.t2.rev2"</f>
        <v>egy.mit.t2.rev2</v>
      </c>
      <c r="L36" s="152">
        <f>IF($D$15="-",0,INDEX(CPAT_National!L$6:L$133,MATCH($G36&amp;"|"&amp;$D$15,CPAT_National!$B$6:$B$133,0)))</f>
        <v>0</v>
      </c>
      <c r="M36" s="152">
        <f>IF($D$15="-",0,INDEX(CPAT_National!M$6:M$133,MATCH($G36&amp;"|"&amp;$D$15,CPAT_National!$B$6:$B$133,0)))</f>
        <v>0</v>
      </c>
      <c r="N36" s="152">
        <f>IF($D$15="-",0,INDEX(CPAT_National!N$6:N$133,MATCH($G36&amp;"|"&amp;$D$15,CPAT_National!$B$6:$B$133,0)))</f>
        <v>0</v>
      </c>
      <c r="O36" s="152">
        <f>IF($D$15="-",0,INDEX(CPAT_National!O$6:O$133,MATCH($G36&amp;"|"&amp;$D$15,CPAT_National!$B$6:$B$133,0)))</f>
        <v>0</v>
      </c>
      <c r="P36" s="152">
        <f>IF($D$15="-",0,INDEX(CPAT_National!P$6:P$133,MATCH($G36&amp;"|"&amp;$D$15,CPAT_National!$B$6:$B$133,0)))</f>
        <v>0</v>
      </c>
      <c r="Q36" s="152">
        <f>IF($D$15="-",0,INDEX(CPAT_National!Q$6:Q$133,MATCH($G36&amp;"|"&amp;$D$15,CPAT_National!$B$6:$B$133,0)))</f>
        <v>0</v>
      </c>
      <c r="R36" s="152">
        <f>IF($D$15="-",0,INDEX(CPAT_National!R$6:R$133,MATCH($G36&amp;"|"&amp;$D$15,CPAT_National!$B$6:$B$133,0)))</f>
        <v>0</v>
      </c>
      <c r="S36" s="152">
        <f>IF($D$15="-",0,INDEX(CPAT_National!S$6:S$133,MATCH($G36&amp;"|"&amp;$D$15,CPAT_National!$B$6:$B$133,0)))</f>
        <v>0</v>
      </c>
      <c r="T36" s="152">
        <f>IF($D$15="-",0,INDEX(CPAT_National!T$6:T$133,MATCH($G36&amp;"|"&amp;$D$15,CPAT_National!$B$6:$B$133,0)))</f>
        <v>0</v>
      </c>
      <c r="U36" s="152">
        <f>IF($D$15="-",0,INDEX(CPAT_National!U$6:U$133,MATCH($G36&amp;"|"&amp;$D$15,CPAT_National!$B$6:$B$133,0)))</f>
        <v>0</v>
      </c>
      <c r="V36" s="152">
        <f>IF($D$15="-",0,INDEX(CPAT_National!V$6:V$133,MATCH($G36&amp;"|"&amp;$D$15,CPAT_National!$B$6:$B$133,0)))</f>
        <v>0</v>
      </c>
      <c r="W36" s="152">
        <f>IF($D$15="-",0,INDEX(CPAT_National!W$6:W$133,MATCH($G36&amp;"|"&amp;$D$15,CPAT_National!$B$6:$B$133,0)))</f>
        <v>0</v>
      </c>
      <c r="X36" s="152">
        <f>IF($D$15="-",0,INDEX(CPAT_National!X$6:X$133,MATCH($G36&amp;"|"&amp;$D$15,CPAT_National!$B$6:$B$133,0)))</f>
        <v>0</v>
      </c>
      <c r="Y36" s="152">
        <f>IF($D$15="-",0,INDEX(CPAT_National!Y$6:Y$133,MATCH($G36&amp;"|"&amp;$D$15,CPAT_National!$B$6:$B$133,0)))</f>
        <v>0</v>
      </c>
      <c r="Z36" s="152">
        <f>IF($D$15="-",0,INDEX(CPAT_National!Z$6:Z$133,MATCH($G36&amp;"|"&amp;$D$15,CPAT_National!$B$6:$B$133,0)))</f>
        <v>0</v>
      </c>
      <c r="AA36" s="152">
        <f>IF($D$15="-",0,INDEX(CPAT_National!AA$6:AA$133,MATCH($G36&amp;"|"&amp;$D$15,CPAT_National!$B$6:$B$133,0)))</f>
        <v>0</v>
      </c>
      <c r="AB36" s="152">
        <f>IF($D$15="-",0,INDEX(CPAT_National!AB$6:AB$133,MATCH($G36&amp;"|"&amp;$D$15,CPAT_National!$B$6:$B$133,0)))</f>
        <v>0</v>
      </c>
      <c r="AC36" s="152">
        <f>IF($D$15="-",0,INDEX(CPAT_National!AC$6:AC$133,MATCH($G36&amp;"|"&amp;$D$15,CPAT_National!$B$6:$B$133,0)))</f>
        <v>0</v>
      </c>
      <c r="AD36" s="152">
        <f>IF($D$15="-",0,INDEX(CPAT_National!AD$6:AD$133,MATCH($G36&amp;"|"&amp;$D$15,CPAT_National!$B$6:$B$133,0)))</f>
        <v>0</v>
      </c>
      <c r="AE36" s="152">
        <f>IF($D$15="-",0,INDEX(CPAT_National!AE$6:AE$133,MATCH($G36&amp;"|"&amp;$D$15,CPAT_National!$B$6:$B$133,0)))</f>
        <v>0</v>
      </c>
    </row>
    <row r="37" spans="2:31" x14ac:dyDescent="0.35">
      <c r="B37" s="115" t="s">
        <v>3474</v>
      </c>
      <c r="C37" s="115" t="s">
        <v>3475</v>
      </c>
      <c r="D37" s="115" t="s">
        <v>3489</v>
      </c>
      <c r="E37" s="115" t="s">
        <v>3408</v>
      </c>
      <c r="F37" s="115" t="s">
        <v>3477</v>
      </c>
      <c r="G37" s="115" t="s">
        <v>3409</v>
      </c>
      <c r="H37" s="119" t="str">
        <f>Settings!$B$3&amp;".mit.t2.rcoa"</f>
        <v>egy.mit.t2.rcoa</v>
      </c>
      <c r="L37" s="152">
        <f>IF($D$15="-",0,INDEX(CPAT_National!L$6:L$133,MATCH($G37&amp;"|"&amp;$D$15,CPAT_National!$B$6:$B$133,0)))</f>
        <v>0</v>
      </c>
      <c r="M37" s="152">
        <f>IF($D$15="-",0,INDEX(CPAT_National!M$6:M$133,MATCH($G37&amp;"|"&amp;$D$15,CPAT_National!$B$6:$B$133,0)))</f>
        <v>0</v>
      </c>
      <c r="N37" s="152">
        <f>IF($D$15="-",0,INDEX(CPAT_National!N$6:N$133,MATCH($G37&amp;"|"&amp;$D$15,CPAT_National!$B$6:$B$133,0)))</f>
        <v>0</v>
      </c>
      <c r="O37" s="152">
        <f>IF($D$15="-",0,INDEX(CPAT_National!O$6:O$133,MATCH($G37&amp;"|"&amp;$D$15,CPAT_National!$B$6:$B$133,0)))</f>
        <v>0</v>
      </c>
      <c r="P37" s="152">
        <f>IF($D$15="-",0,INDEX(CPAT_National!P$6:P$133,MATCH($G37&amp;"|"&amp;$D$15,CPAT_National!$B$6:$B$133,0)))</f>
        <v>0</v>
      </c>
      <c r="Q37" s="152">
        <f>IF($D$15="-",0,INDEX(CPAT_National!Q$6:Q$133,MATCH($G37&amp;"|"&amp;$D$15,CPAT_National!$B$6:$B$133,0)))</f>
        <v>0</v>
      </c>
      <c r="R37" s="152">
        <f>IF($D$15="-",0,INDEX(CPAT_National!R$6:R$133,MATCH($G37&amp;"|"&amp;$D$15,CPAT_National!$B$6:$B$133,0)))</f>
        <v>0</v>
      </c>
      <c r="S37" s="152">
        <f>IF($D$15="-",0,INDEX(CPAT_National!S$6:S$133,MATCH($G37&amp;"|"&amp;$D$15,CPAT_National!$B$6:$B$133,0)))</f>
        <v>0</v>
      </c>
      <c r="T37" s="152">
        <f>IF($D$15="-",0,INDEX(CPAT_National!T$6:T$133,MATCH($G37&amp;"|"&amp;$D$15,CPAT_National!$B$6:$B$133,0)))</f>
        <v>0</v>
      </c>
      <c r="U37" s="152">
        <f>IF($D$15="-",0,INDEX(CPAT_National!U$6:U$133,MATCH($G37&amp;"|"&amp;$D$15,CPAT_National!$B$6:$B$133,0)))</f>
        <v>0</v>
      </c>
      <c r="V37" s="152">
        <f>IF($D$15="-",0,INDEX(CPAT_National!V$6:V$133,MATCH($G37&amp;"|"&amp;$D$15,CPAT_National!$B$6:$B$133,0)))</f>
        <v>0</v>
      </c>
      <c r="W37" s="152">
        <f>IF($D$15="-",0,INDEX(CPAT_National!W$6:W$133,MATCH($G37&amp;"|"&amp;$D$15,CPAT_National!$B$6:$B$133,0)))</f>
        <v>0</v>
      </c>
      <c r="X37" s="152">
        <f>IF($D$15="-",0,INDEX(CPAT_National!X$6:X$133,MATCH($G37&amp;"|"&amp;$D$15,CPAT_National!$B$6:$B$133,0)))</f>
        <v>0</v>
      </c>
      <c r="Y37" s="152">
        <f>IF($D$15="-",0,INDEX(CPAT_National!Y$6:Y$133,MATCH($G37&amp;"|"&amp;$D$15,CPAT_National!$B$6:$B$133,0)))</f>
        <v>0</v>
      </c>
      <c r="Z37" s="152">
        <f>IF($D$15="-",0,INDEX(CPAT_National!Z$6:Z$133,MATCH($G37&amp;"|"&amp;$D$15,CPAT_National!$B$6:$B$133,0)))</f>
        <v>0</v>
      </c>
      <c r="AA37" s="152">
        <f>IF($D$15="-",0,INDEX(CPAT_National!AA$6:AA$133,MATCH($G37&amp;"|"&amp;$D$15,CPAT_National!$B$6:$B$133,0)))</f>
        <v>0</v>
      </c>
      <c r="AB37" s="152">
        <f>IF($D$15="-",0,INDEX(CPAT_National!AB$6:AB$133,MATCH($G37&amp;"|"&amp;$D$15,CPAT_National!$B$6:$B$133,0)))</f>
        <v>0</v>
      </c>
      <c r="AC37" s="152">
        <f>IF($D$15="-",0,INDEX(CPAT_National!AC$6:AC$133,MATCH($G37&amp;"|"&amp;$D$15,CPAT_National!$B$6:$B$133,0)))</f>
        <v>0</v>
      </c>
      <c r="AD37" s="152">
        <f>IF($D$15="-",0,INDEX(CPAT_National!AD$6:AD$133,MATCH($G37&amp;"|"&amp;$D$15,CPAT_National!$B$6:$B$133,0)))</f>
        <v>0</v>
      </c>
      <c r="AE37" s="152">
        <f>IF($D$15="-",0,INDEX(CPAT_National!AE$6:AE$133,MATCH($G37&amp;"|"&amp;$D$15,CPAT_National!$B$6:$B$133,0)))</f>
        <v>0</v>
      </c>
    </row>
    <row r="38" spans="2:31" x14ac:dyDescent="0.35">
      <c r="B38" s="115" t="s">
        <v>3474</v>
      </c>
      <c r="C38" s="115" t="s">
        <v>3475</v>
      </c>
      <c r="D38" s="115" t="s">
        <v>3490</v>
      </c>
      <c r="E38" s="115" t="s">
        <v>3408</v>
      </c>
      <c r="F38" s="115" t="s">
        <v>3477</v>
      </c>
      <c r="G38" s="115" t="s">
        <v>3415</v>
      </c>
      <c r="H38" s="119" t="str">
        <f>Settings!$B$3&amp;".mit.t2.rdie"</f>
        <v>egy.mit.t2.rdie</v>
      </c>
      <c r="L38" s="152">
        <f>IF($D$15="-",0,INDEX(CPAT_National!L$6:L$133,MATCH($G38&amp;"|"&amp;$D$15,CPAT_National!$B$6:$B$133,0)))</f>
        <v>0</v>
      </c>
      <c r="M38" s="152">
        <f>IF($D$15="-",0,INDEX(CPAT_National!M$6:M$133,MATCH($G38&amp;"|"&amp;$D$15,CPAT_National!$B$6:$B$133,0)))</f>
        <v>0</v>
      </c>
      <c r="N38" s="152">
        <f>IF($D$15="-",0,INDEX(CPAT_National!N$6:N$133,MATCH($G38&amp;"|"&amp;$D$15,CPAT_National!$B$6:$B$133,0)))</f>
        <v>0</v>
      </c>
      <c r="O38" s="152">
        <f>IF($D$15="-",0,INDEX(CPAT_National!O$6:O$133,MATCH($G38&amp;"|"&amp;$D$15,CPAT_National!$B$6:$B$133,0)))</f>
        <v>0</v>
      </c>
      <c r="P38" s="152">
        <f>IF($D$15="-",0,INDEX(CPAT_National!P$6:P$133,MATCH($G38&amp;"|"&amp;$D$15,CPAT_National!$B$6:$B$133,0)))</f>
        <v>0</v>
      </c>
      <c r="Q38" s="152">
        <f>IF($D$15="-",0,INDEX(CPAT_National!Q$6:Q$133,MATCH($G38&amp;"|"&amp;$D$15,CPAT_National!$B$6:$B$133,0)))</f>
        <v>0</v>
      </c>
      <c r="R38" s="152">
        <f>IF($D$15="-",0,INDEX(CPAT_National!R$6:R$133,MATCH($G38&amp;"|"&amp;$D$15,CPAT_National!$B$6:$B$133,0)))</f>
        <v>0</v>
      </c>
      <c r="S38" s="152">
        <f>IF($D$15="-",0,INDEX(CPAT_National!S$6:S$133,MATCH($G38&amp;"|"&amp;$D$15,CPAT_National!$B$6:$B$133,0)))</f>
        <v>0</v>
      </c>
      <c r="T38" s="152">
        <f>IF($D$15="-",0,INDEX(CPAT_National!T$6:T$133,MATCH($G38&amp;"|"&amp;$D$15,CPAT_National!$B$6:$B$133,0)))</f>
        <v>0</v>
      </c>
      <c r="U38" s="152">
        <f>IF($D$15="-",0,INDEX(CPAT_National!U$6:U$133,MATCH($G38&amp;"|"&amp;$D$15,CPAT_National!$B$6:$B$133,0)))</f>
        <v>0</v>
      </c>
      <c r="V38" s="152">
        <f>IF($D$15="-",0,INDEX(CPAT_National!V$6:V$133,MATCH($G38&amp;"|"&amp;$D$15,CPAT_National!$B$6:$B$133,0)))</f>
        <v>0</v>
      </c>
      <c r="W38" s="152">
        <f>IF($D$15="-",0,INDEX(CPAT_National!W$6:W$133,MATCH($G38&amp;"|"&amp;$D$15,CPAT_National!$B$6:$B$133,0)))</f>
        <v>0</v>
      </c>
      <c r="X38" s="152">
        <f>IF($D$15="-",0,INDEX(CPAT_National!X$6:X$133,MATCH($G38&amp;"|"&amp;$D$15,CPAT_National!$B$6:$B$133,0)))</f>
        <v>0</v>
      </c>
      <c r="Y38" s="152">
        <f>IF($D$15="-",0,INDEX(CPAT_National!Y$6:Y$133,MATCH($G38&amp;"|"&amp;$D$15,CPAT_National!$B$6:$B$133,0)))</f>
        <v>0</v>
      </c>
      <c r="Z38" s="152">
        <f>IF($D$15="-",0,INDEX(CPAT_National!Z$6:Z$133,MATCH($G38&amp;"|"&amp;$D$15,CPAT_National!$B$6:$B$133,0)))</f>
        <v>0</v>
      </c>
      <c r="AA38" s="152">
        <f>IF($D$15="-",0,INDEX(CPAT_National!AA$6:AA$133,MATCH($G38&amp;"|"&amp;$D$15,CPAT_National!$B$6:$B$133,0)))</f>
        <v>0</v>
      </c>
      <c r="AB38" s="152">
        <f>IF($D$15="-",0,INDEX(CPAT_National!AB$6:AB$133,MATCH($G38&amp;"|"&amp;$D$15,CPAT_National!$B$6:$B$133,0)))</f>
        <v>0</v>
      </c>
      <c r="AC38" s="152">
        <f>IF($D$15="-",0,INDEX(CPAT_National!AC$6:AC$133,MATCH($G38&amp;"|"&amp;$D$15,CPAT_National!$B$6:$B$133,0)))</f>
        <v>0</v>
      </c>
      <c r="AD38" s="152">
        <f>IF($D$15="-",0,INDEX(CPAT_National!AD$6:AD$133,MATCH($G38&amp;"|"&amp;$D$15,CPAT_National!$B$6:$B$133,0)))</f>
        <v>0</v>
      </c>
      <c r="AE38" s="152">
        <f>IF($D$15="-",0,INDEX(CPAT_National!AE$6:AE$133,MATCH($G38&amp;"|"&amp;$D$15,CPAT_National!$B$6:$B$133,0)))</f>
        <v>0</v>
      </c>
    </row>
    <row r="39" spans="2:31" x14ac:dyDescent="0.35">
      <c r="B39" s="115" t="s">
        <v>3474</v>
      </c>
      <c r="C39" s="115" t="s">
        <v>3475</v>
      </c>
      <c r="D39" s="115" t="s">
        <v>3491</v>
      </c>
      <c r="E39" s="115" t="s">
        <v>3408</v>
      </c>
      <c r="F39" s="115" t="s">
        <v>3477</v>
      </c>
      <c r="G39" s="115" t="s">
        <v>3421</v>
      </c>
      <c r="H39" s="119" t="str">
        <f>Settings!$B$3&amp;".mit.t2.rgso"</f>
        <v>egy.mit.t2.rgso</v>
      </c>
      <c r="L39" s="152">
        <f>IF($D$15="-",0,INDEX(CPAT_National!L$6:L$133,MATCH($G39&amp;"|"&amp;$D$15,CPAT_National!$B$6:$B$133,0)))</f>
        <v>0</v>
      </c>
      <c r="M39" s="152">
        <f>IF($D$15="-",0,INDEX(CPAT_National!M$6:M$133,MATCH($G39&amp;"|"&amp;$D$15,CPAT_National!$B$6:$B$133,0)))</f>
        <v>0</v>
      </c>
      <c r="N39" s="152">
        <f>IF($D$15="-",0,INDEX(CPAT_National!N$6:N$133,MATCH($G39&amp;"|"&amp;$D$15,CPAT_National!$B$6:$B$133,0)))</f>
        <v>0</v>
      </c>
      <c r="O39" s="152">
        <f>IF($D$15="-",0,INDEX(CPAT_National!O$6:O$133,MATCH($G39&amp;"|"&amp;$D$15,CPAT_National!$B$6:$B$133,0)))</f>
        <v>0</v>
      </c>
      <c r="P39" s="152">
        <f>IF($D$15="-",0,INDEX(CPAT_National!P$6:P$133,MATCH($G39&amp;"|"&amp;$D$15,CPAT_National!$B$6:$B$133,0)))</f>
        <v>0</v>
      </c>
      <c r="Q39" s="152">
        <f>IF($D$15="-",0,INDEX(CPAT_National!Q$6:Q$133,MATCH($G39&amp;"|"&amp;$D$15,CPAT_National!$B$6:$B$133,0)))</f>
        <v>0</v>
      </c>
      <c r="R39" s="152">
        <f>IF($D$15="-",0,INDEX(CPAT_National!R$6:R$133,MATCH($G39&amp;"|"&amp;$D$15,CPAT_National!$B$6:$B$133,0)))</f>
        <v>0</v>
      </c>
      <c r="S39" s="152">
        <f>IF($D$15="-",0,INDEX(CPAT_National!S$6:S$133,MATCH($G39&amp;"|"&amp;$D$15,CPAT_National!$B$6:$B$133,0)))</f>
        <v>0</v>
      </c>
      <c r="T39" s="152">
        <f>IF($D$15="-",0,INDEX(CPAT_National!T$6:T$133,MATCH($G39&amp;"|"&amp;$D$15,CPAT_National!$B$6:$B$133,0)))</f>
        <v>0</v>
      </c>
      <c r="U39" s="152">
        <f>IF($D$15="-",0,INDEX(CPAT_National!U$6:U$133,MATCH($G39&amp;"|"&amp;$D$15,CPAT_National!$B$6:$B$133,0)))</f>
        <v>0</v>
      </c>
      <c r="V39" s="152">
        <f>IF($D$15="-",0,INDEX(CPAT_National!V$6:V$133,MATCH($G39&amp;"|"&amp;$D$15,CPAT_National!$B$6:$B$133,0)))</f>
        <v>0</v>
      </c>
      <c r="W39" s="152">
        <f>IF($D$15="-",0,INDEX(CPAT_National!W$6:W$133,MATCH($G39&amp;"|"&amp;$D$15,CPAT_National!$B$6:$B$133,0)))</f>
        <v>0</v>
      </c>
      <c r="X39" s="152">
        <f>IF($D$15="-",0,INDEX(CPAT_National!X$6:X$133,MATCH($G39&amp;"|"&amp;$D$15,CPAT_National!$B$6:$B$133,0)))</f>
        <v>0</v>
      </c>
      <c r="Y39" s="152">
        <f>IF($D$15="-",0,INDEX(CPAT_National!Y$6:Y$133,MATCH($G39&amp;"|"&amp;$D$15,CPAT_National!$B$6:$B$133,0)))</f>
        <v>0</v>
      </c>
      <c r="Z39" s="152">
        <f>IF($D$15="-",0,INDEX(CPAT_National!Z$6:Z$133,MATCH($G39&amp;"|"&amp;$D$15,CPAT_National!$B$6:$B$133,0)))</f>
        <v>0</v>
      </c>
      <c r="AA39" s="152">
        <f>IF($D$15="-",0,INDEX(CPAT_National!AA$6:AA$133,MATCH($G39&amp;"|"&amp;$D$15,CPAT_National!$B$6:$B$133,0)))</f>
        <v>0</v>
      </c>
      <c r="AB39" s="152">
        <f>IF($D$15="-",0,INDEX(CPAT_National!AB$6:AB$133,MATCH($G39&amp;"|"&amp;$D$15,CPAT_National!$B$6:$B$133,0)))</f>
        <v>0</v>
      </c>
      <c r="AC39" s="152">
        <f>IF($D$15="-",0,INDEX(CPAT_National!AC$6:AC$133,MATCH($G39&amp;"|"&amp;$D$15,CPAT_National!$B$6:$B$133,0)))</f>
        <v>0</v>
      </c>
      <c r="AD39" s="152">
        <f>IF($D$15="-",0,INDEX(CPAT_National!AD$6:AD$133,MATCH($G39&amp;"|"&amp;$D$15,CPAT_National!$B$6:$B$133,0)))</f>
        <v>0</v>
      </c>
      <c r="AE39" s="152">
        <f>IF($D$15="-",0,INDEX(CPAT_National!AE$6:AE$133,MATCH($G39&amp;"|"&amp;$D$15,CPAT_National!$B$6:$B$133,0)))</f>
        <v>0</v>
      </c>
    </row>
    <row r="40" spans="2:31" x14ac:dyDescent="0.35">
      <c r="B40" s="115" t="s">
        <v>3474</v>
      </c>
      <c r="C40" s="115" t="s">
        <v>3475</v>
      </c>
      <c r="D40" s="115" t="s">
        <v>3492</v>
      </c>
      <c r="E40" s="115" t="s">
        <v>3408</v>
      </c>
      <c r="F40" s="115" t="s">
        <v>3477</v>
      </c>
      <c r="G40" s="115" t="s">
        <v>3427</v>
      </c>
      <c r="H40" s="119" t="str">
        <f>Settings!$B$3&amp;".mit.t2.rlpk"</f>
        <v>egy.mit.t2.rlpk</v>
      </c>
      <c r="L40" s="152">
        <f>IF($D$15="-",0,INDEX(CPAT_National!L$6:L$133,MATCH($G40&amp;"|"&amp;$D$15,CPAT_National!$B$6:$B$133,0)))</f>
        <v>0</v>
      </c>
      <c r="M40" s="152">
        <f>IF($D$15="-",0,INDEX(CPAT_National!M$6:M$133,MATCH($G40&amp;"|"&amp;$D$15,CPAT_National!$B$6:$B$133,0)))</f>
        <v>0</v>
      </c>
      <c r="N40" s="152">
        <f>IF($D$15="-",0,INDEX(CPAT_National!N$6:N$133,MATCH($G40&amp;"|"&amp;$D$15,CPAT_National!$B$6:$B$133,0)))</f>
        <v>0</v>
      </c>
      <c r="O40" s="152">
        <f>IF($D$15="-",0,INDEX(CPAT_National!O$6:O$133,MATCH($G40&amp;"|"&amp;$D$15,CPAT_National!$B$6:$B$133,0)))</f>
        <v>0</v>
      </c>
      <c r="P40" s="152">
        <f>IF($D$15="-",0,INDEX(CPAT_National!P$6:P$133,MATCH($G40&amp;"|"&amp;$D$15,CPAT_National!$B$6:$B$133,0)))</f>
        <v>0</v>
      </c>
      <c r="Q40" s="152">
        <f>IF($D$15="-",0,INDEX(CPAT_National!Q$6:Q$133,MATCH($G40&amp;"|"&amp;$D$15,CPAT_National!$B$6:$B$133,0)))</f>
        <v>0</v>
      </c>
      <c r="R40" s="152">
        <f>IF($D$15="-",0,INDEX(CPAT_National!R$6:R$133,MATCH($G40&amp;"|"&amp;$D$15,CPAT_National!$B$6:$B$133,0)))</f>
        <v>0</v>
      </c>
      <c r="S40" s="152">
        <f>IF($D$15="-",0,INDEX(CPAT_National!S$6:S$133,MATCH($G40&amp;"|"&amp;$D$15,CPAT_National!$B$6:$B$133,0)))</f>
        <v>0</v>
      </c>
      <c r="T40" s="152">
        <f>IF($D$15="-",0,INDEX(CPAT_National!T$6:T$133,MATCH($G40&amp;"|"&amp;$D$15,CPAT_National!$B$6:$B$133,0)))</f>
        <v>0</v>
      </c>
      <c r="U40" s="152">
        <f>IF($D$15="-",0,INDEX(CPAT_National!U$6:U$133,MATCH($G40&amp;"|"&amp;$D$15,CPAT_National!$B$6:$B$133,0)))</f>
        <v>0</v>
      </c>
      <c r="V40" s="152">
        <f>IF($D$15="-",0,INDEX(CPAT_National!V$6:V$133,MATCH($G40&amp;"|"&amp;$D$15,CPAT_National!$B$6:$B$133,0)))</f>
        <v>0</v>
      </c>
      <c r="W40" s="152">
        <f>IF($D$15="-",0,INDEX(CPAT_National!W$6:W$133,MATCH($G40&amp;"|"&amp;$D$15,CPAT_National!$B$6:$B$133,0)))</f>
        <v>0</v>
      </c>
      <c r="X40" s="152">
        <f>IF($D$15="-",0,INDEX(CPAT_National!X$6:X$133,MATCH($G40&amp;"|"&amp;$D$15,CPAT_National!$B$6:$B$133,0)))</f>
        <v>0</v>
      </c>
      <c r="Y40" s="152">
        <f>IF($D$15="-",0,INDEX(CPAT_National!Y$6:Y$133,MATCH($G40&amp;"|"&amp;$D$15,CPAT_National!$B$6:$B$133,0)))</f>
        <v>0</v>
      </c>
      <c r="Z40" s="152">
        <f>IF($D$15="-",0,INDEX(CPAT_National!Z$6:Z$133,MATCH($G40&amp;"|"&amp;$D$15,CPAT_National!$B$6:$B$133,0)))</f>
        <v>0</v>
      </c>
      <c r="AA40" s="152">
        <f>IF($D$15="-",0,INDEX(CPAT_National!AA$6:AA$133,MATCH($G40&amp;"|"&amp;$D$15,CPAT_National!$B$6:$B$133,0)))</f>
        <v>0</v>
      </c>
      <c r="AB40" s="152">
        <f>IF($D$15="-",0,INDEX(CPAT_National!AB$6:AB$133,MATCH($G40&amp;"|"&amp;$D$15,CPAT_National!$B$6:$B$133,0)))</f>
        <v>0</v>
      </c>
      <c r="AC40" s="152">
        <f>IF($D$15="-",0,INDEX(CPAT_National!AC$6:AC$133,MATCH($G40&amp;"|"&amp;$D$15,CPAT_National!$B$6:$B$133,0)))</f>
        <v>0</v>
      </c>
      <c r="AD40" s="152">
        <f>IF($D$15="-",0,INDEX(CPAT_National!AD$6:AD$133,MATCH($G40&amp;"|"&amp;$D$15,CPAT_National!$B$6:$B$133,0)))</f>
        <v>0</v>
      </c>
      <c r="AE40" s="152">
        <f>IF($D$15="-",0,INDEX(CPAT_National!AE$6:AE$133,MATCH($G40&amp;"|"&amp;$D$15,CPAT_National!$B$6:$B$133,0)))</f>
        <v>0</v>
      </c>
    </row>
    <row r="41" spans="2:31" x14ac:dyDescent="0.35">
      <c r="B41" s="115" t="s">
        <v>3474</v>
      </c>
      <c r="C41" s="115" t="s">
        <v>3475</v>
      </c>
      <c r="D41" s="115" t="s">
        <v>3493</v>
      </c>
      <c r="E41" s="115" t="s">
        <v>3408</v>
      </c>
      <c r="F41" s="115" t="s">
        <v>3477</v>
      </c>
      <c r="G41" s="115" t="s">
        <v>3433</v>
      </c>
      <c r="H41" s="119" t="str">
        <f>Settings!$B$3&amp;".mit.t2.rnga"</f>
        <v>egy.mit.t2.rnga</v>
      </c>
      <c r="L41" s="152">
        <f>IF($D$15="-",0,INDEX(CPAT_National!L$6:L$133,MATCH($G41&amp;"|"&amp;$D$15,CPAT_National!$B$6:$B$133,0)))</f>
        <v>0</v>
      </c>
      <c r="M41" s="152">
        <f>IF($D$15="-",0,INDEX(CPAT_National!M$6:M$133,MATCH($G41&amp;"|"&amp;$D$15,CPAT_National!$B$6:$B$133,0)))</f>
        <v>0</v>
      </c>
      <c r="N41" s="152">
        <f>IF($D$15="-",0,INDEX(CPAT_National!N$6:N$133,MATCH($G41&amp;"|"&amp;$D$15,CPAT_National!$B$6:$B$133,0)))</f>
        <v>0</v>
      </c>
      <c r="O41" s="152">
        <f>IF($D$15="-",0,INDEX(CPAT_National!O$6:O$133,MATCH($G41&amp;"|"&amp;$D$15,CPAT_National!$B$6:$B$133,0)))</f>
        <v>0</v>
      </c>
      <c r="P41" s="152">
        <f>IF($D$15="-",0,INDEX(CPAT_National!P$6:P$133,MATCH($G41&amp;"|"&amp;$D$15,CPAT_National!$B$6:$B$133,0)))</f>
        <v>0</v>
      </c>
      <c r="Q41" s="152">
        <f>IF($D$15="-",0,INDEX(CPAT_National!Q$6:Q$133,MATCH($G41&amp;"|"&amp;$D$15,CPAT_National!$B$6:$B$133,0)))</f>
        <v>0</v>
      </c>
      <c r="R41" s="152">
        <f>IF($D$15="-",0,INDEX(CPAT_National!R$6:R$133,MATCH($G41&amp;"|"&amp;$D$15,CPAT_National!$B$6:$B$133,0)))</f>
        <v>0</v>
      </c>
      <c r="S41" s="152">
        <f>IF($D$15="-",0,INDEX(CPAT_National!S$6:S$133,MATCH($G41&amp;"|"&amp;$D$15,CPAT_National!$B$6:$B$133,0)))</f>
        <v>0</v>
      </c>
      <c r="T41" s="152">
        <f>IF($D$15="-",0,INDEX(CPAT_National!T$6:T$133,MATCH($G41&amp;"|"&amp;$D$15,CPAT_National!$B$6:$B$133,0)))</f>
        <v>0</v>
      </c>
      <c r="U41" s="152">
        <f>IF($D$15="-",0,INDEX(CPAT_National!U$6:U$133,MATCH($G41&amp;"|"&amp;$D$15,CPAT_National!$B$6:$B$133,0)))</f>
        <v>0</v>
      </c>
      <c r="V41" s="152">
        <f>IF($D$15="-",0,INDEX(CPAT_National!V$6:V$133,MATCH($G41&amp;"|"&amp;$D$15,CPAT_National!$B$6:$B$133,0)))</f>
        <v>0</v>
      </c>
      <c r="W41" s="152">
        <f>IF($D$15="-",0,INDEX(CPAT_National!W$6:W$133,MATCH($G41&amp;"|"&amp;$D$15,CPAT_National!$B$6:$B$133,0)))</f>
        <v>0</v>
      </c>
      <c r="X41" s="152">
        <f>IF($D$15="-",0,INDEX(CPAT_National!X$6:X$133,MATCH($G41&amp;"|"&amp;$D$15,CPAT_National!$B$6:$B$133,0)))</f>
        <v>0</v>
      </c>
      <c r="Y41" s="152">
        <f>IF($D$15="-",0,INDEX(CPAT_National!Y$6:Y$133,MATCH($G41&amp;"|"&amp;$D$15,CPAT_National!$B$6:$B$133,0)))</f>
        <v>0</v>
      </c>
      <c r="Z41" s="152">
        <f>IF($D$15="-",0,INDEX(CPAT_National!Z$6:Z$133,MATCH($G41&amp;"|"&amp;$D$15,CPAT_National!$B$6:$B$133,0)))</f>
        <v>0</v>
      </c>
      <c r="AA41" s="152">
        <f>IF($D$15="-",0,INDEX(CPAT_National!AA$6:AA$133,MATCH($G41&amp;"|"&amp;$D$15,CPAT_National!$B$6:$B$133,0)))</f>
        <v>0</v>
      </c>
      <c r="AB41" s="152">
        <f>IF($D$15="-",0,INDEX(CPAT_National!AB$6:AB$133,MATCH($G41&amp;"|"&amp;$D$15,CPAT_National!$B$6:$B$133,0)))</f>
        <v>0</v>
      </c>
      <c r="AC41" s="152">
        <f>IF($D$15="-",0,INDEX(CPAT_National!AC$6:AC$133,MATCH($G41&amp;"|"&amp;$D$15,CPAT_National!$B$6:$B$133,0)))</f>
        <v>0</v>
      </c>
      <c r="AD41" s="152">
        <f>IF($D$15="-",0,INDEX(CPAT_National!AD$6:AD$133,MATCH($G41&amp;"|"&amp;$D$15,CPAT_National!$B$6:$B$133,0)))</f>
        <v>0</v>
      </c>
      <c r="AE41" s="152">
        <f>IF($D$15="-",0,INDEX(CPAT_National!AE$6:AE$133,MATCH($G41&amp;"|"&amp;$D$15,CPAT_National!$B$6:$B$133,0)))</f>
        <v>0</v>
      </c>
    </row>
    <row r="42" spans="2:31" x14ac:dyDescent="0.35">
      <c r="B42" s="115" t="s">
        <v>3474</v>
      </c>
      <c r="C42" s="115" t="s">
        <v>3475</v>
      </c>
      <c r="D42" s="115" t="s">
        <v>3494</v>
      </c>
      <c r="E42" s="115" t="s">
        <v>3408</v>
      </c>
      <c r="F42" s="115" t="s">
        <v>3477</v>
      </c>
      <c r="G42" s="115" t="s">
        <v>3439</v>
      </c>
      <c r="H42" s="119" t="str">
        <f>Settings!$B$3&amp;".mit.t2.roil"</f>
        <v>egy.mit.t2.roil</v>
      </c>
      <c r="L42" s="152">
        <f>IF($D$15="-",0,INDEX(CPAT_National!L$6:L$133,MATCH($G42&amp;"|"&amp;$D$15,CPAT_National!$B$6:$B$133,0)))</f>
        <v>0</v>
      </c>
      <c r="M42" s="152">
        <f>IF($D$15="-",0,INDEX(CPAT_National!M$6:M$133,MATCH($G42&amp;"|"&amp;$D$15,CPAT_National!$B$6:$B$133,0)))</f>
        <v>0</v>
      </c>
      <c r="N42" s="152">
        <f>IF($D$15="-",0,INDEX(CPAT_National!N$6:N$133,MATCH($G42&amp;"|"&amp;$D$15,CPAT_National!$B$6:$B$133,0)))</f>
        <v>0</v>
      </c>
      <c r="O42" s="152">
        <f>IF($D$15="-",0,INDEX(CPAT_National!O$6:O$133,MATCH($G42&amp;"|"&amp;$D$15,CPAT_National!$B$6:$B$133,0)))</f>
        <v>0</v>
      </c>
      <c r="P42" s="152">
        <f>IF($D$15="-",0,INDEX(CPAT_National!P$6:P$133,MATCH($G42&amp;"|"&amp;$D$15,CPAT_National!$B$6:$B$133,0)))</f>
        <v>0</v>
      </c>
      <c r="Q42" s="152">
        <f>IF($D$15="-",0,INDEX(CPAT_National!Q$6:Q$133,MATCH($G42&amp;"|"&amp;$D$15,CPAT_National!$B$6:$B$133,0)))</f>
        <v>0</v>
      </c>
      <c r="R42" s="152">
        <f>IF($D$15="-",0,INDEX(CPAT_National!R$6:R$133,MATCH($G42&amp;"|"&amp;$D$15,CPAT_National!$B$6:$B$133,0)))</f>
        <v>0</v>
      </c>
      <c r="S42" s="152">
        <f>IF($D$15="-",0,INDEX(CPAT_National!S$6:S$133,MATCH($G42&amp;"|"&amp;$D$15,CPAT_National!$B$6:$B$133,0)))</f>
        <v>0</v>
      </c>
      <c r="T42" s="152">
        <f>IF($D$15="-",0,INDEX(CPAT_National!T$6:T$133,MATCH($G42&amp;"|"&amp;$D$15,CPAT_National!$B$6:$B$133,0)))</f>
        <v>0</v>
      </c>
      <c r="U42" s="152">
        <f>IF($D$15="-",0,INDEX(CPAT_National!U$6:U$133,MATCH($G42&amp;"|"&amp;$D$15,CPAT_National!$B$6:$B$133,0)))</f>
        <v>0</v>
      </c>
      <c r="V42" s="152">
        <f>IF($D$15="-",0,INDEX(CPAT_National!V$6:V$133,MATCH($G42&amp;"|"&amp;$D$15,CPAT_National!$B$6:$B$133,0)))</f>
        <v>0</v>
      </c>
      <c r="W42" s="152">
        <f>IF($D$15="-",0,INDEX(CPAT_National!W$6:W$133,MATCH($G42&amp;"|"&amp;$D$15,CPAT_National!$B$6:$B$133,0)))</f>
        <v>0</v>
      </c>
      <c r="X42" s="152">
        <f>IF($D$15="-",0,INDEX(CPAT_National!X$6:X$133,MATCH($G42&amp;"|"&amp;$D$15,CPAT_National!$B$6:$B$133,0)))</f>
        <v>0</v>
      </c>
      <c r="Y42" s="152">
        <f>IF($D$15="-",0,INDEX(CPAT_National!Y$6:Y$133,MATCH($G42&amp;"|"&amp;$D$15,CPAT_National!$B$6:$B$133,0)))</f>
        <v>0</v>
      </c>
      <c r="Z42" s="152">
        <f>IF($D$15="-",0,INDEX(CPAT_National!Z$6:Z$133,MATCH($G42&amp;"|"&amp;$D$15,CPAT_National!$B$6:$B$133,0)))</f>
        <v>0</v>
      </c>
      <c r="AA42" s="152">
        <f>IF($D$15="-",0,INDEX(CPAT_National!AA$6:AA$133,MATCH($G42&amp;"|"&amp;$D$15,CPAT_National!$B$6:$B$133,0)))</f>
        <v>0</v>
      </c>
      <c r="AB42" s="152">
        <f>IF($D$15="-",0,INDEX(CPAT_National!AB$6:AB$133,MATCH($G42&amp;"|"&amp;$D$15,CPAT_National!$B$6:$B$133,0)))</f>
        <v>0</v>
      </c>
      <c r="AC42" s="152">
        <f>IF($D$15="-",0,INDEX(CPAT_National!AC$6:AC$133,MATCH($G42&amp;"|"&amp;$D$15,CPAT_National!$B$6:$B$133,0)))</f>
        <v>0</v>
      </c>
      <c r="AD42" s="152">
        <f>IF($D$15="-",0,INDEX(CPAT_National!AD$6:AD$133,MATCH($G42&amp;"|"&amp;$D$15,CPAT_National!$B$6:$B$133,0)))</f>
        <v>0</v>
      </c>
      <c r="AE42" s="152">
        <f>IF($D$15="-",0,INDEX(CPAT_National!AE$6:AE$133,MATCH($G42&amp;"|"&amp;$D$15,CPAT_National!$B$6:$B$133,0)))</f>
        <v>0</v>
      </c>
    </row>
    <row r="43" spans="2:31" x14ac:dyDescent="0.35">
      <c r="B43" s="115" t="s">
        <v>3474</v>
      </c>
      <c r="C43" s="115" t="s">
        <v>3475</v>
      </c>
      <c r="D43" s="115" t="s">
        <v>3495</v>
      </c>
      <c r="E43" s="115" t="s">
        <v>3262</v>
      </c>
      <c r="F43" s="115" t="s">
        <v>3477</v>
      </c>
      <c r="G43" s="115" t="s">
        <v>3264</v>
      </c>
      <c r="H43" s="119" t="str">
        <f>Settings!$B$3&amp;".mit.t2.d2464"</f>
        <v>egy.mit.t2.d2464</v>
      </c>
      <c r="L43" s="152">
        <f>IF($D$15="-",0,INDEX(CPAT_National!L$6:L$133,MATCH($G43&amp;"|"&amp;$D$15,CPAT_National!$B$6:$B$133,0)))</f>
        <v>0</v>
      </c>
      <c r="M43" s="152">
        <f>IF($D$15="-",0,INDEX(CPAT_National!M$6:M$133,MATCH($G43&amp;"|"&amp;$D$15,CPAT_National!$B$6:$B$133,0)))</f>
        <v>0</v>
      </c>
      <c r="N43" s="152">
        <f>IF($D$15="-",0,INDEX(CPAT_National!N$6:N$133,MATCH($G43&amp;"|"&amp;$D$15,CPAT_National!$B$6:$B$133,0)))</f>
        <v>0</v>
      </c>
      <c r="O43" s="152">
        <f>IF($D$15="-",0,INDEX(CPAT_National!O$6:O$133,MATCH($G43&amp;"|"&amp;$D$15,CPAT_National!$B$6:$B$133,0)))</f>
        <v>0</v>
      </c>
      <c r="P43" s="152">
        <f>IF($D$15="-",0,INDEX(CPAT_National!P$6:P$133,MATCH($G43&amp;"|"&amp;$D$15,CPAT_National!$B$6:$B$133,0)))</f>
        <v>0</v>
      </c>
      <c r="Q43" s="152">
        <f>IF($D$15="-",0,INDEX(CPAT_National!Q$6:Q$133,MATCH($G43&amp;"|"&amp;$D$15,CPAT_National!$B$6:$B$133,0)))</f>
        <v>0</v>
      </c>
      <c r="R43" s="152">
        <f>IF($D$15="-",0,INDEX(CPAT_National!R$6:R$133,MATCH($G43&amp;"|"&amp;$D$15,CPAT_National!$B$6:$B$133,0)))</f>
        <v>0</v>
      </c>
      <c r="S43" s="152">
        <f>IF($D$15="-",0,INDEX(CPAT_National!S$6:S$133,MATCH($G43&amp;"|"&amp;$D$15,CPAT_National!$B$6:$B$133,0)))</f>
        <v>0</v>
      </c>
      <c r="T43" s="152">
        <f>IF($D$15="-",0,INDEX(CPAT_National!T$6:T$133,MATCH($G43&amp;"|"&amp;$D$15,CPAT_National!$B$6:$B$133,0)))</f>
        <v>0</v>
      </c>
      <c r="U43" s="152">
        <f>IF($D$15="-",0,INDEX(CPAT_National!U$6:U$133,MATCH($G43&amp;"|"&amp;$D$15,CPAT_National!$B$6:$B$133,0)))</f>
        <v>0</v>
      </c>
      <c r="V43" s="152">
        <f>IF($D$15="-",0,INDEX(CPAT_National!V$6:V$133,MATCH($G43&amp;"|"&amp;$D$15,CPAT_National!$B$6:$B$133,0)))</f>
        <v>0</v>
      </c>
      <c r="W43" s="152">
        <f>IF($D$15="-",0,INDEX(CPAT_National!W$6:W$133,MATCH($G43&amp;"|"&amp;$D$15,CPAT_National!$B$6:$B$133,0)))</f>
        <v>0</v>
      </c>
      <c r="X43" s="152">
        <f>IF($D$15="-",0,INDEX(CPAT_National!X$6:X$133,MATCH($G43&amp;"|"&amp;$D$15,CPAT_National!$B$6:$B$133,0)))</f>
        <v>0</v>
      </c>
      <c r="Y43" s="152">
        <f>IF($D$15="-",0,INDEX(CPAT_National!Y$6:Y$133,MATCH($G43&amp;"|"&amp;$D$15,CPAT_National!$B$6:$B$133,0)))</f>
        <v>0</v>
      </c>
      <c r="Z43" s="152">
        <f>IF($D$15="-",0,INDEX(CPAT_National!Z$6:Z$133,MATCH($G43&amp;"|"&amp;$D$15,CPAT_National!$B$6:$B$133,0)))</f>
        <v>0</v>
      </c>
      <c r="AA43" s="152">
        <f>IF($D$15="-",0,INDEX(CPAT_National!AA$6:AA$133,MATCH($G43&amp;"|"&amp;$D$15,CPAT_National!$B$6:$B$133,0)))</f>
        <v>0</v>
      </c>
      <c r="AB43" s="152">
        <f>IF($D$15="-",0,INDEX(CPAT_National!AB$6:AB$133,MATCH($G43&amp;"|"&amp;$D$15,CPAT_National!$B$6:$B$133,0)))</f>
        <v>0</v>
      </c>
      <c r="AC43" s="152">
        <f>IF($D$15="-",0,INDEX(CPAT_National!AC$6:AC$133,MATCH($G43&amp;"|"&amp;$D$15,CPAT_National!$B$6:$B$133,0)))</f>
        <v>0</v>
      </c>
      <c r="AD43" s="152">
        <f>IF($D$15="-",0,INDEX(CPAT_National!AD$6:AD$133,MATCH($G43&amp;"|"&amp;$D$15,CPAT_National!$B$6:$B$133,0)))</f>
        <v>0</v>
      </c>
      <c r="AE43" s="152">
        <f>IF($D$15="-",0,INDEX(CPAT_National!AE$6:AE$133,MATCH($G43&amp;"|"&amp;$D$15,CPAT_National!$B$6:$B$133,0)))</f>
        <v>0</v>
      </c>
    </row>
    <row r="44" spans="2:31" x14ac:dyDescent="0.35">
      <c r="B44" s="115" t="s">
        <v>3474</v>
      </c>
      <c r="C44" s="115" t="s">
        <v>3475</v>
      </c>
      <c r="D44" s="115" t="s">
        <v>3496</v>
      </c>
      <c r="E44" s="115" t="s">
        <v>3262</v>
      </c>
      <c r="F44" s="115" t="s">
        <v>3477</v>
      </c>
      <c r="G44" s="115" t="s">
        <v>3276</v>
      </c>
      <c r="H44" s="119" t="str">
        <f>Settings!$B$3&amp;".mit.t2.d65"</f>
        <v>egy.mit.t2.d65</v>
      </c>
      <c r="L44" s="152">
        <f>IF($D$15="-",0,INDEX(CPAT_National!L$6:L$133,MATCH($G44&amp;"|"&amp;$D$15,CPAT_National!$B$6:$B$133,0)))</f>
        <v>0</v>
      </c>
      <c r="M44" s="152">
        <f>IF($D$15="-",0,INDEX(CPAT_National!M$6:M$133,MATCH($G44&amp;"|"&amp;$D$15,CPAT_National!$B$6:$B$133,0)))</f>
        <v>0</v>
      </c>
      <c r="N44" s="152">
        <f>IF($D$15="-",0,INDEX(CPAT_National!N$6:N$133,MATCH($G44&amp;"|"&amp;$D$15,CPAT_National!$B$6:$B$133,0)))</f>
        <v>0</v>
      </c>
      <c r="O44" s="152">
        <f>IF($D$15="-",0,INDEX(CPAT_National!O$6:O$133,MATCH($G44&amp;"|"&amp;$D$15,CPAT_National!$B$6:$B$133,0)))</f>
        <v>0</v>
      </c>
      <c r="P44" s="152">
        <f>IF($D$15="-",0,INDEX(CPAT_National!P$6:P$133,MATCH($G44&amp;"|"&amp;$D$15,CPAT_National!$B$6:$B$133,0)))</f>
        <v>0</v>
      </c>
      <c r="Q44" s="152">
        <f>IF($D$15="-",0,INDEX(CPAT_National!Q$6:Q$133,MATCH($G44&amp;"|"&amp;$D$15,CPAT_National!$B$6:$B$133,0)))</f>
        <v>0</v>
      </c>
      <c r="R44" s="152">
        <f>IF($D$15="-",0,INDEX(CPAT_National!R$6:R$133,MATCH($G44&amp;"|"&amp;$D$15,CPAT_National!$B$6:$B$133,0)))</f>
        <v>0</v>
      </c>
      <c r="S44" s="152">
        <f>IF($D$15="-",0,INDEX(CPAT_National!S$6:S$133,MATCH($G44&amp;"|"&amp;$D$15,CPAT_National!$B$6:$B$133,0)))</f>
        <v>0</v>
      </c>
      <c r="T44" s="152">
        <f>IF($D$15="-",0,INDEX(CPAT_National!T$6:T$133,MATCH($G44&amp;"|"&amp;$D$15,CPAT_National!$B$6:$B$133,0)))</f>
        <v>0</v>
      </c>
      <c r="U44" s="152">
        <f>IF($D$15="-",0,INDEX(CPAT_National!U$6:U$133,MATCH($G44&amp;"|"&amp;$D$15,CPAT_National!$B$6:$B$133,0)))</f>
        <v>0</v>
      </c>
      <c r="V44" s="152">
        <f>IF($D$15="-",0,INDEX(CPAT_National!V$6:V$133,MATCH($G44&amp;"|"&amp;$D$15,CPAT_National!$B$6:$B$133,0)))</f>
        <v>0</v>
      </c>
      <c r="W44" s="152">
        <f>IF($D$15="-",0,INDEX(CPAT_National!W$6:W$133,MATCH($G44&amp;"|"&amp;$D$15,CPAT_National!$B$6:$B$133,0)))</f>
        <v>0</v>
      </c>
      <c r="X44" s="152">
        <f>IF($D$15="-",0,INDEX(CPAT_National!X$6:X$133,MATCH($G44&amp;"|"&amp;$D$15,CPAT_National!$B$6:$B$133,0)))</f>
        <v>0</v>
      </c>
      <c r="Y44" s="152">
        <f>IF($D$15="-",0,INDEX(CPAT_National!Y$6:Y$133,MATCH($G44&amp;"|"&amp;$D$15,CPAT_National!$B$6:$B$133,0)))</f>
        <v>0</v>
      </c>
      <c r="Z44" s="152">
        <f>IF($D$15="-",0,INDEX(CPAT_National!Z$6:Z$133,MATCH($G44&amp;"|"&amp;$D$15,CPAT_National!$B$6:$B$133,0)))</f>
        <v>0</v>
      </c>
      <c r="AA44" s="152">
        <f>IF($D$15="-",0,INDEX(CPAT_National!AA$6:AA$133,MATCH($G44&amp;"|"&amp;$D$15,CPAT_National!$B$6:$B$133,0)))</f>
        <v>0</v>
      </c>
      <c r="AB44" s="152">
        <f>IF($D$15="-",0,INDEX(CPAT_National!AB$6:AB$133,MATCH($G44&amp;"|"&amp;$D$15,CPAT_National!$B$6:$B$133,0)))</f>
        <v>0</v>
      </c>
      <c r="AC44" s="152">
        <f>IF($D$15="-",0,INDEX(CPAT_National!AC$6:AC$133,MATCH($G44&amp;"|"&amp;$D$15,CPAT_National!$B$6:$B$133,0)))</f>
        <v>0</v>
      </c>
      <c r="AD44" s="152">
        <f>IF($D$15="-",0,INDEX(CPAT_National!AD$6:AD$133,MATCH($G44&amp;"|"&amp;$D$15,CPAT_National!$B$6:$B$133,0)))</f>
        <v>0</v>
      </c>
      <c r="AE44" s="152">
        <f>IF($D$15="-",0,INDEX(CPAT_National!AE$6:AE$133,MATCH($G44&amp;"|"&amp;$D$15,CPAT_National!$B$6:$B$133,0)))</f>
        <v>0</v>
      </c>
    </row>
    <row r="45" spans="2:31" x14ac:dyDescent="0.35">
      <c r="B45" s="115" t="s">
        <v>3474</v>
      </c>
      <c r="C45" s="115" t="s">
        <v>3475</v>
      </c>
      <c r="D45" s="115" t="s">
        <v>3497</v>
      </c>
      <c r="E45" s="115" t="s">
        <v>3262</v>
      </c>
      <c r="F45" s="115" t="s">
        <v>3477</v>
      </c>
      <c r="G45" s="115" t="s">
        <v>3282</v>
      </c>
      <c r="H45" s="119" t="str">
        <f>Settings!$B$3&amp;".mit.t2.du24"</f>
        <v>egy.mit.t2.du24</v>
      </c>
      <c r="L45" s="152">
        <f>IF($D$15="-",0,INDEX(CPAT_National!L$6:L$133,MATCH($G45&amp;"|"&amp;$D$15,CPAT_National!$B$6:$B$133,0)))</f>
        <v>0</v>
      </c>
      <c r="M45" s="152">
        <f>IF($D$15="-",0,INDEX(CPAT_National!M$6:M$133,MATCH($G45&amp;"|"&amp;$D$15,CPAT_National!$B$6:$B$133,0)))</f>
        <v>0</v>
      </c>
      <c r="N45" s="152">
        <f>IF($D$15="-",0,INDEX(CPAT_National!N$6:N$133,MATCH($G45&amp;"|"&amp;$D$15,CPAT_National!$B$6:$B$133,0)))</f>
        <v>0</v>
      </c>
      <c r="O45" s="152">
        <f>IF($D$15="-",0,INDEX(CPAT_National!O$6:O$133,MATCH($G45&amp;"|"&amp;$D$15,CPAT_National!$B$6:$B$133,0)))</f>
        <v>0</v>
      </c>
      <c r="P45" s="152">
        <f>IF($D$15="-",0,INDEX(CPAT_National!P$6:P$133,MATCH($G45&amp;"|"&amp;$D$15,CPAT_National!$B$6:$B$133,0)))</f>
        <v>0</v>
      </c>
      <c r="Q45" s="152">
        <f>IF($D$15="-",0,INDEX(CPAT_National!Q$6:Q$133,MATCH($G45&amp;"|"&amp;$D$15,CPAT_National!$B$6:$B$133,0)))</f>
        <v>0</v>
      </c>
      <c r="R45" s="152">
        <f>IF($D$15="-",0,INDEX(CPAT_National!R$6:R$133,MATCH($G45&amp;"|"&amp;$D$15,CPAT_National!$B$6:$B$133,0)))</f>
        <v>0</v>
      </c>
      <c r="S45" s="152">
        <f>IF($D$15="-",0,INDEX(CPAT_National!S$6:S$133,MATCH($G45&amp;"|"&amp;$D$15,CPAT_National!$B$6:$B$133,0)))</f>
        <v>0</v>
      </c>
      <c r="T45" s="152">
        <f>IF($D$15="-",0,INDEX(CPAT_National!T$6:T$133,MATCH($G45&amp;"|"&amp;$D$15,CPAT_National!$B$6:$B$133,0)))</f>
        <v>0</v>
      </c>
      <c r="U45" s="152">
        <f>IF($D$15="-",0,INDEX(CPAT_National!U$6:U$133,MATCH($G45&amp;"|"&amp;$D$15,CPAT_National!$B$6:$B$133,0)))</f>
        <v>0</v>
      </c>
      <c r="V45" s="152">
        <f>IF($D$15="-",0,INDEX(CPAT_National!V$6:V$133,MATCH($G45&amp;"|"&amp;$D$15,CPAT_National!$B$6:$B$133,0)))</f>
        <v>0</v>
      </c>
      <c r="W45" s="152">
        <f>IF($D$15="-",0,INDEX(CPAT_National!W$6:W$133,MATCH($G45&amp;"|"&amp;$D$15,CPAT_National!$B$6:$B$133,0)))</f>
        <v>0</v>
      </c>
      <c r="X45" s="152">
        <f>IF($D$15="-",0,INDEX(CPAT_National!X$6:X$133,MATCH($G45&amp;"|"&amp;$D$15,CPAT_National!$B$6:$B$133,0)))</f>
        <v>0</v>
      </c>
      <c r="Y45" s="152">
        <f>IF($D$15="-",0,INDEX(CPAT_National!Y$6:Y$133,MATCH($G45&amp;"|"&amp;$D$15,CPAT_National!$B$6:$B$133,0)))</f>
        <v>0</v>
      </c>
      <c r="Z45" s="152">
        <f>IF($D$15="-",0,INDEX(CPAT_National!Z$6:Z$133,MATCH($G45&amp;"|"&amp;$D$15,CPAT_National!$B$6:$B$133,0)))</f>
        <v>0</v>
      </c>
      <c r="AA45" s="152">
        <f>IF($D$15="-",0,INDEX(CPAT_National!AA$6:AA$133,MATCH($G45&amp;"|"&amp;$D$15,CPAT_National!$B$6:$B$133,0)))</f>
        <v>0</v>
      </c>
      <c r="AB45" s="152">
        <f>IF($D$15="-",0,INDEX(CPAT_National!AB$6:AB$133,MATCH($G45&amp;"|"&amp;$D$15,CPAT_National!$B$6:$B$133,0)))</f>
        <v>0</v>
      </c>
      <c r="AC45" s="152">
        <f>IF($D$15="-",0,INDEX(CPAT_National!AC$6:AC$133,MATCH($G45&amp;"|"&amp;$D$15,CPAT_National!$B$6:$B$133,0)))</f>
        <v>0</v>
      </c>
      <c r="AD45" s="152">
        <f>IF($D$15="-",0,INDEX(CPAT_National!AD$6:AD$133,MATCH($G45&amp;"|"&amp;$D$15,CPAT_National!$B$6:$B$133,0)))</f>
        <v>0</v>
      </c>
      <c r="AE45" s="152">
        <f>IF($D$15="-",0,INDEX(CPAT_National!AE$6:AE$133,MATCH($G45&amp;"|"&amp;$D$15,CPAT_National!$B$6:$B$133,0)))</f>
        <v>0</v>
      </c>
    </row>
    <row r="46" spans="2:31" x14ac:dyDescent="0.35">
      <c r="B46" s="115" t="s">
        <v>3474</v>
      </c>
      <c r="C46" s="115" t="s">
        <v>3475</v>
      </c>
      <c r="D46" s="115" t="s">
        <v>3498</v>
      </c>
      <c r="E46" s="115" t="s">
        <v>3262</v>
      </c>
      <c r="F46" s="115" t="s">
        <v>3477</v>
      </c>
      <c r="G46" s="115" t="s">
        <v>3295</v>
      </c>
      <c r="H46" s="119" t="str">
        <f>Settings!$B$3&amp;".mit.t2.mort"</f>
        <v>egy.mit.t2.mort</v>
      </c>
      <c r="L46" s="152">
        <f>IF($D$15="-",0,INDEX(CPAT_National!L$6:L$133,MATCH($G46&amp;"|"&amp;$D$15,CPAT_National!$B$6:$B$133,0)))</f>
        <v>0</v>
      </c>
      <c r="M46" s="152">
        <f>IF($D$15="-",0,INDEX(CPAT_National!M$6:M$133,MATCH($G46&amp;"|"&amp;$D$15,CPAT_National!$B$6:$B$133,0)))</f>
        <v>0</v>
      </c>
      <c r="N46" s="152">
        <f>IF($D$15="-",0,INDEX(CPAT_National!N$6:N$133,MATCH($G46&amp;"|"&amp;$D$15,CPAT_National!$B$6:$B$133,0)))</f>
        <v>0</v>
      </c>
      <c r="O46" s="152">
        <f>IF($D$15="-",0,INDEX(CPAT_National!O$6:O$133,MATCH($G46&amp;"|"&amp;$D$15,CPAT_National!$B$6:$B$133,0)))</f>
        <v>0</v>
      </c>
      <c r="P46" s="152">
        <f>IF($D$15="-",0,INDEX(CPAT_National!P$6:P$133,MATCH($G46&amp;"|"&amp;$D$15,CPAT_National!$B$6:$B$133,0)))</f>
        <v>0</v>
      </c>
      <c r="Q46" s="152">
        <f>IF($D$15="-",0,INDEX(CPAT_National!Q$6:Q$133,MATCH($G46&amp;"|"&amp;$D$15,CPAT_National!$B$6:$B$133,0)))</f>
        <v>0</v>
      </c>
      <c r="R46" s="152">
        <f>IF($D$15="-",0,INDEX(CPAT_National!R$6:R$133,MATCH($G46&amp;"|"&amp;$D$15,CPAT_National!$B$6:$B$133,0)))</f>
        <v>0</v>
      </c>
      <c r="S46" s="152">
        <f>IF($D$15="-",0,INDEX(CPAT_National!S$6:S$133,MATCH($G46&amp;"|"&amp;$D$15,CPAT_National!$B$6:$B$133,0)))</f>
        <v>0</v>
      </c>
      <c r="T46" s="152">
        <f>IF($D$15="-",0,INDEX(CPAT_National!T$6:T$133,MATCH($G46&amp;"|"&amp;$D$15,CPAT_National!$B$6:$B$133,0)))</f>
        <v>0</v>
      </c>
      <c r="U46" s="152">
        <f>IF($D$15="-",0,INDEX(CPAT_National!U$6:U$133,MATCH($G46&amp;"|"&amp;$D$15,CPAT_National!$B$6:$B$133,0)))</f>
        <v>0</v>
      </c>
      <c r="V46" s="152">
        <f>IF($D$15="-",0,INDEX(CPAT_National!V$6:V$133,MATCH($G46&amp;"|"&amp;$D$15,CPAT_National!$B$6:$B$133,0)))</f>
        <v>0</v>
      </c>
      <c r="W46" s="152">
        <f>IF($D$15="-",0,INDEX(CPAT_National!W$6:W$133,MATCH($G46&amp;"|"&amp;$D$15,CPAT_National!$B$6:$B$133,0)))</f>
        <v>0</v>
      </c>
      <c r="X46" s="152">
        <f>IF($D$15="-",0,INDEX(CPAT_National!X$6:X$133,MATCH($G46&amp;"|"&amp;$D$15,CPAT_National!$B$6:$B$133,0)))</f>
        <v>0</v>
      </c>
      <c r="Y46" s="152">
        <f>IF($D$15="-",0,INDEX(CPAT_National!Y$6:Y$133,MATCH($G46&amp;"|"&amp;$D$15,CPAT_National!$B$6:$B$133,0)))</f>
        <v>0</v>
      </c>
      <c r="Z46" s="152">
        <f>IF($D$15="-",0,INDEX(CPAT_National!Z$6:Z$133,MATCH($G46&amp;"|"&amp;$D$15,CPAT_National!$B$6:$B$133,0)))</f>
        <v>0</v>
      </c>
      <c r="AA46" s="152">
        <f>IF($D$15="-",0,INDEX(CPAT_National!AA$6:AA$133,MATCH($G46&amp;"|"&amp;$D$15,CPAT_National!$B$6:$B$133,0)))</f>
        <v>0</v>
      </c>
      <c r="AB46" s="152">
        <f>IF($D$15="-",0,INDEX(CPAT_National!AB$6:AB$133,MATCH($G46&amp;"|"&amp;$D$15,CPAT_National!$B$6:$B$133,0)))</f>
        <v>0</v>
      </c>
      <c r="AC46" s="152">
        <f>IF($D$15="-",0,INDEX(CPAT_National!AC$6:AC$133,MATCH($G46&amp;"|"&amp;$D$15,CPAT_National!$B$6:$B$133,0)))</f>
        <v>0</v>
      </c>
      <c r="AD46" s="152">
        <f>IF($D$15="-",0,INDEX(CPAT_National!AD$6:AD$133,MATCH($G46&amp;"|"&amp;$D$15,CPAT_National!$B$6:$B$133,0)))</f>
        <v>0</v>
      </c>
      <c r="AE46" s="152">
        <f>IF($D$15="-",0,INDEX(CPAT_National!AE$6:AE$133,MATCH($G46&amp;"|"&amp;$D$15,CPAT_National!$B$6:$B$133,0)))</f>
        <v>0</v>
      </c>
    </row>
    <row r="47" spans="2:31" x14ac:dyDescent="0.35">
      <c r="B47" s="115" t="s">
        <v>3499</v>
      </c>
      <c r="C47" s="115" t="s">
        <v>3475</v>
      </c>
      <c r="D47" s="115" t="s">
        <v>3500</v>
      </c>
      <c r="E47" s="115" t="s">
        <v>3408</v>
      </c>
      <c r="H47" s="119" t="str">
        <f>Settings!$B$3&amp;".mit.t2.revctax"</f>
        <v>egy.mit.t2.revctax</v>
      </c>
      <c r="I47" s="115" t="s">
        <v>3501</v>
      </c>
      <c r="L47" s="152">
        <f t="shared" ref="L47:AE47" si="0">SUM(L37:L42)</f>
        <v>0</v>
      </c>
      <c r="M47" s="152">
        <f t="shared" si="0"/>
        <v>0</v>
      </c>
      <c r="N47" s="152">
        <f t="shared" si="0"/>
        <v>0</v>
      </c>
      <c r="O47" s="152">
        <f t="shared" si="0"/>
        <v>0</v>
      </c>
      <c r="P47" s="152">
        <f t="shared" si="0"/>
        <v>0</v>
      </c>
      <c r="Q47" s="152">
        <f t="shared" si="0"/>
        <v>0</v>
      </c>
      <c r="R47" s="152">
        <f t="shared" si="0"/>
        <v>0</v>
      </c>
      <c r="S47" s="152">
        <f t="shared" si="0"/>
        <v>0</v>
      </c>
      <c r="T47" s="152">
        <f t="shared" si="0"/>
        <v>0</v>
      </c>
      <c r="U47" s="152">
        <f t="shared" si="0"/>
        <v>0</v>
      </c>
      <c r="V47" s="152">
        <f t="shared" si="0"/>
        <v>0</v>
      </c>
      <c r="W47" s="152">
        <f t="shared" si="0"/>
        <v>0</v>
      </c>
      <c r="X47" s="152">
        <f t="shared" si="0"/>
        <v>0</v>
      </c>
      <c r="Y47" s="152">
        <f t="shared" si="0"/>
        <v>0</v>
      </c>
      <c r="Z47" s="152">
        <f t="shared" si="0"/>
        <v>0</v>
      </c>
      <c r="AA47" s="152">
        <f t="shared" si="0"/>
        <v>0</v>
      </c>
      <c r="AB47" s="152">
        <f t="shared" si="0"/>
        <v>0</v>
      </c>
      <c r="AC47" s="152">
        <f t="shared" si="0"/>
        <v>0</v>
      </c>
      <c r="AD47" s="152">
        <f t="shared" si="0"/>
        <v>0</v>
      </c>
      <c r="AE47" s="152">
        <f t="shared" si="0"/>
        <v>0</v>
      </c>
    </row>
    <row r="48" spans="2:31" x14ac:dyDescent="0.35">
      <c r="B48" s="115" t="s">
        <v>3499</v>
      </c>
      <c r="C48" s="115" t="s">
        <v>3475</v>
      </c>
      <c r="D48" s="115" t="s">
        <v>3502</v>
      </c>
      <c r="E48" s="115" t="s">
        <v>3262</v>
      </c>
      <c r="H48" s="119" t="str">
        <f>Settings!$B$3&amp;".mit.t2.deaths"</f>
        <v>egy.mit.t2.deaths</v>
      </c>
      <c r="I48" s="115" t="s">
        <v>3503</v>
      </c>
      <c r="L48" s="152">
        <f t="shared" ref="L48:AE48" si="1">SUM(L43:L45)</f>
        <v>0</v>
      </c>
      <c r="M48" s="152">
        <f t="shared" si="1"/>
        <v>0</v>
      </c>
      <c r="N48" s="152">
        <f t="shared" si="1"/>
        <v>0</v>
      </c>
      <c r="O48" s="152">
        <f t="shared" si="1"/>
        <v>0</v>
      </c>
      <c r="P48" s="152">
        <f t="shared" si="1"/>
        <v>0</v>
      </c>
      <c r="Q48" s="152">
        <f t="shared" si="1"/>
        <v>0</v>
      </c>
      <c r="R48" s="152">
        <f t="shared" si="1"/>
        <v>0</v>
      </c>
      <c r="S48" s="152">
        <f t="shared" si="1"/>
        <v>0</v>
      </c>
      <c r="T48" s="152">
        <f t="shared" si="1"/>
        <v>0</v>
      </c>
      <c r="U48" s="152">
        <f t="shared" si="1"/>
        <v>0</v>
      </c>
      <c r="V48" s="152">
        <f t="shared" si="1"/>
        <v>0</v>
      </c>
      <c r="W48" s="152">
        <f t="shared" si="1"/>
        <v>0</v>
      </c>
      <c r="X48" s="152">
        <f t="shared" si="1"/>
        <v>0</v>
      </c>
      <c r="Y48" s="152">
        <f t="shared" si="1"/>
        <v>0</v>
      </c>
      <c r="Z48" s="152">
        <f t="shared" si="1"/>
        <v>0</v>
      </c>
      <c r="AA48" s="152">
        <f t="shared" si="1"/>
        <v>0</v>
      </c>
      <c r="AB48" s="152">
        <f t="shared" si="1"/>
        <v>0</v>
      </c>
      <c r="AC48" s="152">
        <f t="shared" si="1"/>
        <v>0</v>
      </c>
      <c r="AD48" s="152">
        <f t="shared" si="1"/>
        <v>0</v>
      </c>
      <c r="AE48" s="152">
        <f t="shared" si="1"/>
        <v>0</v>
      </c>
    </row>
    <row r="49" spans="1:35" x14ac:dyDescent="0.35">
      <c r="B49" s="115" t="s">
        <v>3499</v>
      </c>
      <c r="C49" s="115" t="s">
        <v>3475</v>
      </c>
      <c r="D49" s="115" t="s">
        <v>3504</v>
      </c>
      <c r="E49" s="115" t="s">
        <v>1852</v>
      </c>
      <c r="H49" s="119" t="str">
        <f>Settings!$B$3&amp;".mit.t2.dghg"</f>
        <v>egy.mit.t2.dghg</v>
      </c>
      <c r="L49" s="152">
        <f t="shared" ref="L49:AE49" si="2">L26-L25</f>
        <v>0</v>
      </c>
      <c r="M49" s="152">
        <f t="shared" si="2"/>
        <v>0</v>
      </c>
      <c r="N49" s="152">
        <f t="shared" si="2"/>
        <v>0</v>
      </c>
      <c r="O49" s="152">
        <f t="shared" si="2"/>
        <v>0</v>
      </c>
      <c r="P49" s="152">
        <f t="shared" si="2"/>
        <v>0</v>
      </c>
      <c r="Q49" s="152">
        <f t="shared" si="2"/>
        <v>0</v>
      </c>
      <c r="R49" s="152">
        <f t="shared" si="2"/>
        <v>0</v>
      </c>
      <c r="S49" s="152">
        <f t="shared" si="2"/>
        <v>0</v>
      </c>
      <c r="T49" s="152">
        <f t="shared" si="2"/>
        <v>0</v>
      </c>
      <c r="U49" s="152">
        <f t="shared" si="2"/>
        <v>0</v>
      </c>
      <c r="V49" s="152">
        <f t="shared" si="2"/>
        <v>0</v>
      </c>
      <c r="W49" s="152">
        <f t="shared" si="2"/>
        <v>0</v>
      </c>
      <c r="X49" s="152">
        <f t="shared" si="2"/>
        <v>0</v>
      </c>
      <c r="Y49" s="152">
        <f t="shared" si="2"/>
        <v>0</v>
      </c>
      <c r="Z49" s="152">
        <f t="shared" si="2"/>
        <v>0</v>
      </c>
      <c r="AA49" s="152">
        <f t="shared" si="2"/>
        <v>0</v>
      </c>
      <c r="AB49" s="152">
        <f t="shared" si="2"/>
        <v>0</v>
      </c>
      <c r="AC49" s="152">
        <f t="shared" si="2"/>
        <v>0</v>
      </c>
      <c r="AD49" s="152">
        <f t="shared" si="2"/>
        <v>0</v>
      </c>
      <c r="AE49" s="152">
        <f t="shared" si="2"/>
        <v>0</v>
      </c>
    </row>
    <row r="50" spans="1:35" x14ac:dyDescent="0.35">
      <c r="B50" s="115" t="s">
        <v>3499</v>
      </c>
      <c r="C50" s="115" t="s">
        <v>3475</v>
      </c>
      <c r="D50" s="115" t="s">
        <v>3505</v>
      </c>
      <c r="E50" s="115" t="s">
        <v>1852</v>
      </c>
      <c r="H50" s="119" t="str">
        <f>Settings!$B$3&amp;".mit.t2.dipr"</f>
        <v>egy.mit.t2.dipr</v>
      </c>
      <c r="I50" s="115" t="s">
        <v>3506</v>
      </c>
      <c r="L50" s="152">
        <f t="shared" ref="L50:AE50" si="3">L28-L27</f>
        <v>0</v>
      </c>
      <c r="M50" s="152">
        <f t="shared" si="3"/>
        <v>0</v>
      </c>
      <c r="N50" s="152">
        <f t="shared" si="3"/>
        <v>0</v>
      </c>
      <c r="O50" s="152">
        <f t="shared" si="3"/>
        <v>0</v>
      </c>
      <c r="P50" s="152">
        <f t="shared" si="3"/>
        <v>0</v>
      </c>
      <c r="Q50" s="152">
        <f t="shared" si="3"/>
        <v>0</v>
      </c>
      <c r="R50" s="152">
        <f t="shared" si="3"/>
        <v>0</v>
      </c>
      <c r="S50" s="152">
        <f t="shared" si="3"/>
        <v>0</v>
      </c>
      <c r="T50" s="152">
        <f t="shared" si="3"/>
        <v>0</v>
      </c>
      <c r="U50" s="152">
        <f t="shared" si="3"/>
        <v>0</v>
      </c>
      <c r="V50" s="152">
        <f t="shared" si="3"/>
        <v>0</v>
      </c>
      <c r="W50" s="152">
        <f t="shared" si="3"/>
        <v>0</v>
      </c>
      <c r="X50" s="152">
        <f t="shared" si="3"/>
        <v>0</v>
      </c>
      <c r="Y50" s="152">
        <f t="shared" si="3"/>
        <v>0</v>
      </c>
      <c r="Z50" s="152">
        <f t="shared" si="3"/>
        <v>0</v>
      </c>
      <c r="AA50" s="152">
        <f t="shared" si="3"/>
        <v>0</v>
      </c>
      <c r="AB50" s="152">
        <f t="shared" si="3"/>
        <v>0</v>
      </c>
      <c r="AC50" s="152">
        <f t="shared" si="3"/>
        <v>0</v>
      </c>
      <c r="AD50" s="152">
        <f t="shared" si="3"/>
        <v>0</v>
      </c>
      <c r="AE50" s="152">
        <f t="shared" si="3"/>
        <v>0</v>
      </c>
    </row>
    <row r="51" spans="1:35" x14ac:dyDescent="0.35">
      <c r="B51" s="115" t="s">
        <v>3499</v>
      </c>
      <c r="C51" s="115" t="s">
        <v>3475</v>
      </c>
      <c r="D51" s="115" t="s">
        <v>3507</v>
      </c>
      <c r="E51" s="115" t="s">
        <v>2068</v>
      </c>
      <c r="H51" s="119" t="str">
        <f>Settings!$B$3&amp;".mit.t2.denr"</f>
        <v>egy.mit.t2.denr</v>
      </c>
      <c r="L51" s="152">
        <f t="shared" ref="L51:AE51" si="4">L30-L29</f>
        <v>0</v>
      </c>
      <c r="M51" s="152">
        <f t="shared" si="4"/>
        <v>0</v>
      </c>
      <c r="N51" s="152">
        <f t="shared" si="4"/>
        <v>0</v>
      </c>
      <c r="O51" s="152">
        <f t="shared" si="4"/>
        <v>0</v>
      </c>
      <c r="P51" s="152">
        <f t="shared" si="4"/>
        <v>0</v>
      </c>
      <c r="Q51" s="152">
        <f t="shared" si="4"/>
        <v>0</v>
      </c>
      <c r="R51" s="152">
        <f t="shared" si="4"/>
        <v>0</v>
      </c>
      <c r="S51" s="152">
        <f t="shared" si="4"/>
        <v>0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  <c r="Z51" s="152">
        <f t="shared" si="4"/>
        <v>0</v>
      </c>
      <c r="AA51" s="152">
        <f t="shared" si="4"/>
        <v>0</v>
      </c>
      <c r="AB51" s="152">
        <f t="shared" si="4"/>
        <v>0</v>
      </c>
      <c r="AC51" s="152">
        <f t="shared" si="4"/>
        <v>0</v>
      </c>
      <c r="AD51" s="152">
        <f t="shared" si="4"/>
        <v>0</v>
      </c>
      <c r="AE51" s="152">
        <f t="shared" si="4"/>
        <v>0</v>
      </c>
    </row>
    <row r="52" spans="1:35" x14ac:dyDescent="0.35">
      <c r="B52" s="115" t="s">
        <v>3499</v>
      </c>
      <c r="C52" s="115" t="s">
        <v>3475</v>
      </c>
      <c r="D52" s="115" t="s">
        <v>3508</v>
      </c>
      <c r="E52" s="115" t="s">
        <v>2068</v>
      </c>
      <c r="H52" s="119" t="str">
        <f>Settings!$B$3&amp;".mit.t2.dind"</f>
        <v>egy.mit.t2.dind</v>
      </c>
      <c r="L52" s="152">
        <f t="shared" ref="L52:AE52" si="5">L32-L31</f>
        <v>0</v>
      </c>
      <c r="M52" s="152">
        <f t="shared" si="5"/>
        <v>0</v>
      </c>
      <c r="N52" s="152">
        <f t="shared" si="5"/>
        <v>0</v>
      </c>
      <c r="O52" s="152">
        <f t="shared" si="5"/>
        <v>0</v>
      </c>
      <c r="P52" s="152">
        <f t="shared" si="5"/>
        <v>0</v>
      </c>
      <c r="Q52" s="152">
        <f t="shared" si="5"/>
        <v>0</v>
      </c>
      <c r="R52" s="152">
        <f t="shared" si="5"/>
        <v>0</v>
      </c>
      <c r="S52" s="152">
        <f t="shared" si="5"/>
        <v>0</v>
      </c>
      <c r="T52" s="152">
        <f t="shared" si="5"/>
        <v>0</v>
      </c>
      <c r="U52" s="152">
        <f t="shared" si="5"/>
        <v>0</v>
      </c>
      <c r="V52" s="152">
        <f t="shared" si="5"/>
        <v>0</v>
      </c>
      <c r="W52" s="152">
        <f t="shared" si="5"/>
        <v>0</v>
      </c>
      <c r="X52" s="152">
        <f t="shared" si="5"/>
        <v>0</v>
      </c>
      <c r="Y52" s="152">
        <f t="shared" si="5"/>
        <v>0</v>
      </c>
      <c r="Z52" s="152">
        <f t="shared" si="5"/>
        <v>0</v>
      </c>
      <c r="AA52" s="152">
        <f t="shared" si="5"/>
        <v>0</v>
      </c>
      <c r="AB52" s="152">
        <f t="shared" si="5"/>
        <v>0</v>
      </c>
      <c r="AC52" s="152">
        <f t="shared" si="5"/>
        <v>0</v>
      </c>
      <c r="AD52" s="152">
        <f t="shared" si="5"/>
        <v>0</v>
      </c>
      <c r="AE52" s="152">
        <f t="shared" si="5"/>
        <v>0</v>
      </c>
    </row>
    <row r="53" spans="1:35" x14ac:dyDescent="0.35">
      <c r="B53" s="115" t="s">
        <v>3499</v>
      </c>
      <c r="C53" s="115" t="s">
        <v>3475</v>
      </c>
      <c r="D53" s="115" t="s">
        <v>3509</v>
      </c>
      <c r="E53" s="115" t="s">
        <v>3408</v>
      </c>
      <c r="H53" s="119" t="str">
        <f>Settings!$B$3&amp;".mit.t2.drev"</f>
        <v>egy.mit.t2.drev</v>
      </c>
      <c r="L53" s="152">
        <f t="shared" ref="L53:AE53" si="6">L36-L35</f>
        <v>0</v>
      </c>
      <c r="M53" s="152">
        <f t="shared" si="6"/>
        <v>0</v>
      </c>
      <c r="N53" s="152">
        <f t="shared" si="6"/>
        <v>0</v>
      </c>
      <c r="O53" s="152">
        <f t="shared" si="6"/>
        <v>0</v>
      </c>
      <c r="P53" s="152">
        <f t="shared" si="6"/>
        <v>0</v>
      </c>
      <c r="Q53" s="152">
        <f t="shared" si="6"/>
        <v>0</v>
      </c>
      <c r="R53" s="152">
        <f t="shared" si="6"/>
        <v>0</v>
      </c>
      <c r="S53" s="152">
        <f t="shared" si="6"/>
        <v>0</v>
      </c>
      <c r="T53" s="152">
        <f t="shared" si="6"/>
        <v>0</v>
      </c>
      <c r="U53" s="152">
        <f t="shared" si="6"/>
        <v>0</v>
      </c>
      <c r="V53" s="152">
        <f t="shared" si="6"/>
        <v>0</v>
      </c>
      <c r="W53" s="152">
        <f t="shared" si="6"/>
        <v>0</v>
      </c>
      <c r="X53" s="152">
        <f t="shared" si="6"/>
        <v>0</v>
      </c>
      <c r="Y53" s="152">
        <f t="shared" si="6"/>
        <v>0</v>
      </c>
      <c r="Z53" s="152">
        <f t="shared" si="6"/>
        <v>0</v>
      </c>
      <c r="AA53" s="152">
        <f t="shared" si="6"/>
        <v>0</v>
      </c>
      <c r="AB53" s="152">
        <f t="shared" si="6"/>
        <v>0</v>
      </c>
      <c r="AC53" s="152">
        <f t="shared" si="6"/>
        <v>0</v>
      </c>
      <c r="AD53" s="152">
        <f t="shared" si="6"/>
        <v>0</v>
      </c>
      <c r="AE53" s="152">
        <f t="shared" si="6"/>
        <v>0</v>
      </c>
    </row>
    <row r="54" spans="1:35" x14ac:dyDescent="0.35">
      <c r="B54" s="115" t="s">
        <v>3657</v>
      </c>
      <c r="C54" s="115" t="s">
        <v>3475</v>
      </c>
      <c r="D54" s="115" t="s">
        <v>3658</v>
      </c>
      <c r="E54" s="115" t="s">
        <v>79</v>
      </c>
      <c r="F54" s="115" t="s">
        <v>3659</v>
      </c>
      <c r="H54" s="119" t="str">
        <f>Settings!$B$3&amp;".mit.t2.kap"</f>
        <v>egy.mit.t2.kap</v>
      </c>
      <c r="L54" s="152">
        <f t="shared" ref="L54:AE54" si="7">IF(OR($D$15="-",$D$16="All sectors"),1,IF(OR(L33=0,L31=0),1,MIN(1,L34/L33*L29/L31)))</f>
        <v>1</v>
      </c>
      <c r="M54" s="152">
        <f t="shared" si="7"/>
        <v>1</v>
      </c>
      <c r="N54" s="152">
        <f t="shared" si="7"/>
        <v>1</v>
      </c>
      <c r="O54" s="152">
        <f t="shared" si="7"/>
        <v>1</v>
      </c>
      <c r="P54" s="152">
        <f t="shared" si="7"/>
        <v>1</v>
      </c>
      <c r="Q54" s="152">
        <f t="shared" si="7"/>
        <v>1</v>
      </c>
      <c r="R54" s="152">
        <f t="shared" si="7"/>
        <v>1</v>
      </c>
      <c r="S54" s="152">
        <f t="shared" si="7"/>
        <v>1</v>
      </c>
      <c r="T54" s="152">
        <f t="shared" si="7"/>
        <v>1</v>
      </c>
      <c r="U54" s="152">
        <f t="shared" si="7"/>
        <v>1</v>
      </c>
      <c r="V54" s="152">
        <f t="shared" si="7"/>
        <v>1</v>
      </c>
      <c r="W54" s="152">
        <f t="shared" si="7"/>
        <v>1</v>
      </c>
      <c r="X54" s="152">
        <f t="shared" si="7"/>
        <v>1</v>
      </c>
      <c r="Y54" s="152">
        <f t="shared" si="7"/>
        <v>1</v>
      </c>
      <c r="Z54" s="152">
        <f t="shared" si="7"/>
        <v>1</v>
      </c>
      <c r="AA54" s="152">
        <f t="shared" si="7"/>
        <v>1</v>
      </c>
      <c r="AB54" s="152">
        <f t="shared" si="7"/>
        <v>1</v>
      </c>
      <c r="AC54" s="152">
        <f t="shared" si="7"/>
        <v>1</v>
      </c>
      <c r="AD54" s="152">
        <f t="shared" si="7"/>
        <v>1</v>
      </c>
      <c r="AE54" s="152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5" t="s">
        <v>3150</v>
      </c>
      <c r="C59" s="115" t="s">
        <v>4</v>
      </c>
      <c r="D59" s="115" t="s">
        <v>3660</v>
      </c>
      <c r="E59" s="115" t="s">
        <v>2068</v>
      </c>
      <c r="F59" s="115" t="s">
        <v>3662</v>
      </c>
      <c r="H59" s="119" t="str">
        <f>Settings!$B$3&amp;".mit.t2.ek1"</f>
        <v>egy.mit.t2.ek1</v>
      </c>
      <c r="L59" s="121">
        <f>MAX(IPPU_Industry!L51,IPPU_Industry!L52)+MAX(IPPU_Industry!L56,IPPU_Industry!L57)+MAX(IPPU_Industry!L61,IPPU_Industry!L62)+MAX(IPPU_Industry!L66,IPPU_Industry!L67)</f>
        <v>20.83918407271338</v>
      </c>
      <c r="M59" s="121">
        <f>MAX(IPPU_Industry!M51,IPPU_Industry!M52)+MAX(IPPU_Industry!M56,IPPU_Industry!M57)+MAX(IPPU_Industry!M61,IPPU_Industry!M62)+MAX(IPPU_Industry!M66,IPPU_Industry!M67)</f>
        <v>20.67721507612675</v>
      </c>
      <c r="N59" s="121">
        <f>MAX(IPPU_Industry!N51,IPPU_Industry!N52)+MAX(IPPU_Industry!N56,IPPU_Industry!N57)+MAX(IPPU_Industry!N61,IPPU_Industry!N62)+MAX(IPPU_Industry!N66,IPPU_Industry!N67)</f>
        <v>21.697764570821519</v>
      </c>
      <c r="O59" s="121">
        <f>MAX(IPPU_Industry!O51,IPPU_Industry!O52)+MAX(IPPU_Industry!O56,IPPU_Industry!O57)+MAX(IPPU_Industry!O61,IPPU_Industry!O62)+MAX(IPPU_Industry!O66,IPPU_Industry!O67)</f>
        <v>22.469646316251197</v>
      </c>
      <c r="P59" s="121">
        <f>MAX(IPPU_Industry!P51,IPPU_Industry!P52)+MAX(IPPU_Industry!P56,IPPU_Industry!P57)+MAX(IPPU_Industry!P61,IPPU_Industry!P62)+MAX(IPPU_Industry!P66,IPPU_Industry!P67)</f>
        <v>23.158920073315894</v>
      </c>
      <c r="Q59" s="121">
        <f>MAX(IPPU_Industry!Q51,IPPU_Industry!Q52)+MAX(IPPU_Industry!Q56,IPPU_Industry!Q57)+MAX(IPPU_Industry!Q61,IPPU_Industry!Q62)+MAX(IPPU_Industry!Q66,IPPU_Industry!Q67)</f>
        <v>23.923701807803141</v>
      </c>
      <c r="R59" s="121">
        <f>MAX(IPPU_Industry!R51,IPPU_Industry!R52)+MAX(IPPU_Industry!R56,IPPU_Industry!R57)+MAX(IPPU_Industry!R61,IPPU_Industry!R62)+MAX(IPPU_Industry!R66,IPPU_Industry!R67)</f>
        <v>24.755087383944943</v>
      </c>
      <c r="S59" s="121">
        <f>MAX(IPPU_Industry!S51,IPPU_Industry!S52)+MAX(IPPU_Industry!S56,IPPU_Industry!S57)+MAX(IPPU_Industry!S61,IPPU_Industry!S62)+MAX(IPPU_Industry!S66,IPPU_Industry!S67)</f>
        <v>25.60028920327699</v>
      </c>
      <c r="T59" s="121">
        <f>MAX(IPPU_Industry!T51,IPPU_Industry!T52)+MAX(IPPU_Industry!T56,IPPU_Industry!T57)+MAX(IPPU_Industry!T61,IPPU_Industry!T62)+MAX(IPPU_Industry!T66,IPPU_Industry!T67)</f>
        <v>26.455270599905141</v>
      </c>
      <c r="U59" s="121">
        <f>MAX(IPPU_Industry!U51,IPPU_Industry!U52)+MAX(IPPU_Industry!U56,IPPU_Industry!U57)+MAX(IPPU_Industry!U61,IPPU_Industry!U62)+MAX(IPPU_Industry!U66,IPPU_Industry!U67)</f>
        <v>27.335317560789679</v>
      </c>
      <c r="V59" s="121">
        <f>MAX(IPPU_Industry!V51,IPPU_Industry!V52)+MAX(IPPU_Industry!V56,IPPU_Industry!V57)+MAX(IPPU_Industry!V61,IPPU_Industry!V62)+MAX(IPPU_Industry!V66,IPPU_Industry!V67)</f>
        <v>28.237220842576157</v>
      </c>
      <c r="W59" s="121">
        <f>MAX(IPPU_Industry!W51,IPPU_Industry!W52)+MAX(IPPU_Industry!W56,IPPU_Industry!W57)+MAX(IPPU_Industry!W61,IPPU_Industry!W62)+MAX(IPPU_Industry!W66,IPPU_Industry!W67)</f>
        <v>29.166255480282349</v>
      </c>
      <c r="X59" s="121">
        <f>MAX(IPPU_Industry!X51,IPPU_Industry!X52)+MAX(IPPU_Industry!X56,IPPU_Industry!X57)+MAX(IPPU_Industry!X61,IPPU_Industry!X62)+MAX(IPPU_Industry!X66,IPPU_Industry!X67)</f>
        <v>30.123149765366598</v>
      </c>
      <c r="Y59" s="121">
        <f>MAX(IPPU_Industry!Y51,IPPU_Industry!Y52)+MAX(IPPU_Industry!Y56,IPPU_Industry!Y57)+MAX(IPPU_Industry!Y61,IPPU_Industry!Y62)+MAX(IPPU_Industry!Y66,IPPU_Industry!Y67)</f>
        <v>31.108652858750965</v>
      </c>
      <c r="Z59" s="121">
        <f>MAX(IPPU_Industry!Z51,IPPU_Industry!Z52)+MAX(IPPU_Industry!Z56,IPPU_Industry!Z57)+MAX(IPPU_Industry!Z61,IPPU_Industry!Z62)+MAX(IPPU_Industry!Z66,IPPU_Industry!Z67)</f>
        <v>32.123535534910978</v>
      </c>
      <c r="AA59" s="121">
        <f>MAX(IPPU_Industry!AA51,IPPU_Industry!AA52)+MAX(IPPU_Industry!AA56,IPPU_Industry!AA57)+MAX(IPPU_Industry!AA61,IPPU_Industry!AA62)+MAX(IPPU_Industry!AA66,IPPU_Industry!AA67)</f>
        <v>33.168590944993802</v>
      </c>
      <c r="AB59" s="121">
        <f>MAX(IPPU_Industry!AB51,IPPU_Industry!AB52)+MAX(IPPU_Industry!AB56,IPPU_Industry!AB57)+MAX(IPPU_Industry!AB61,IPPU_Industry!AB62)+MAX(IPPU_Industry!AB66,IPPU_Industry!AB67)</f>
        <v>34.244635399359936</v>
      </c>
      <c r="AC59" s="121">
        <f>MAX(IPPU_Industry!AC51,IPPU_Industry!AC52)+MAX(IPPU_Industry!AC56,IPPU_Industry!AC57)+MAX(IPPU_Industry!AC61,IPPU_Industry!AC62)+MAX(IPPU_Industry!AC66,IPPU_Industry!AC67)</f>
        <v>35.352509169996772</v>
      </c>
      <c r="AD59" s="121">
        <f>MAX(IPPU_Industry!AD51,IPPU_Industry!AD52)+MAX(IPPU_Industry!AD56,IPPU_Industry!AD57)+MAX(IPPU_Industry!AD61,IPPU_Industry!AD62)+MAX(IPPU_Industry!AD66,IPPU_Industry!AD67)</f>
        <v>36.493077313305449</v>
      </c>
      <c r="AE59" s="121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5" t="s">
        <v>3150</v>
      </c>
      <c r="C60" s="115" t="s">
        <v>4</v>
      </c>
      <c r="D60" s="115" t="s">
        <v>3661</v>
      </c>
      <c r="E60" s="115" t="s">
        <v>2068</v>
      </c>
      <c r="F60" s="115" t="s">
        <v>3663</v>
      </c>
      <c r="H60" s="119" t="str">
        <f>Settings!$B$3&amp;".mit.t2.ek2"</f>
        <v>egy.mit.t2.ek2</v>
      </c>
      <c r="L60" s="121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21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21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21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21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21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21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21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21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21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21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21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21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21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21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21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21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21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21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21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5" t="s">
        <v>3150</v>
      </c>
      <c r="C61" s="115" t="s">
        <v>4</v>
      </c>
      <c r="D61" s="115" t="s">
        <v>3511</v>
      </c>
      <c r="E61" s="115" t="s">
        <v>2068</v>
      </c>
      <c r="H61" s="119" t="str">
        <f>Settings!$B$3&amp;".mit.t2.dek"</f>
        <v>egy.mit.t2.dek</v>
      </c>
      <c r="L61" s="121">
        <f t="shared" ref="L61:AE61" si="8">L60-L59</f>
        <v>0</v>
      </c>
      <c r="M61" s="121">
        <f t="shared" si="8"/>
        <v>0</v>
      </c>
      <c r="N61" s="121">
        <f t="shared" si="8"/>
        <v>0</v>
      </c>
      <c r="O61" s="121">
        <f t="shared" si="8"/>
        <v>0</v>
      </c>
      <c r="P61" s="121">
        <f t="shared" si="8"/>
        <v>0</v>
      </c>
      <c r="Q61" s="121">
        <f t="shared" si="8"/>
        <v>-1.8034823734254672</v>
      </c>
      <c r="R61" s="121">
        <f t="shared" si="8"/>
        <v>-3.4038282715434818</v>
      </c>
      <c r="S61" s="121">
        <f t="shared" si="8"/>
        <v>-4.8656915372554792</v>
      </c>
      <c r="T61" s="121">
        <f t="shared" si="8"/>
        <v>-6.2225478602626296</v>
      </c>
      <c r="U61" s="121">
        <f t="shared" si="8"/>
        <v>-7.5066267443782131</v>
      </c>
      <c r="V61" s="121">
        <f t="shared" si="8"/>
        <v>-8.7157186760409893</v>
      </c>
      <c r="W61" s="121">
        <f t="shared" si="8"/>
        <v>-9.8758285091552231</v>
      </c>
      <c r="X61" s="121">
        <f t="shared" si="8"/>
        <v>-10.996332382813595</v>
      </c>
      <c r="Y61" s="121">
        <f t="shared" si="8"/>
        <v>-12.083160385890309</v>
      </c>
      <c r="Z61" s="121">
        <f t="shared" si="8"/>
        <v>-13.1383314216598</v>
      </c>
      <c r="AA61" s="121">
        <f t="shared" si="8"/>
        <v>-14.165699701689586</v>
      </c>
      <c r="AB61" s="121">
        <f t="shared" si="8"/>
        <v>-15.169163772360289</v>
      </c>
      <c r="AC61" s="121">
        <f t="shared" si="8"/>
        <v>-16.15454877901696</v>
      </c>
      <c r="AD61" s="121">
        <f t="shared" si="8"/>
        <v>-17.126796024833798</v>
      </c>
      <c r="AE61" s="121">
        <f t="shared" si="8"/>
        <v>-18.08974541351477</v>
      </c>
    </row>
    <row r="62" spans="1:35" x14ac:dyDescent="0.35">
      <c r="B62" s="115" t="s">
        <v>3150</v>
      </c>
      <c r="C62" s="115" t="s">
        <v>4</v>
      </c>
      <c r="D62" s="115" t="s">
        <v>3512</v>
      </c>
      <c r="E62" s="115" t="s">
        <v>2068</v>
      </c>
      <c r="F62" s="115" t="s">
        <v>3513</v>
      </c>
      <c r="H62" s="119" t="str">
        <f>Settings!$B$3&amp;".mit.t2.indx"</f>
        <v>egy.mit.t2.indx</v>
      </c>
      <c r="L62" s="121">
        <f>IPPU_Industry!L11</f>
        <v>59.804205879849356</v>
      </c>
      <c r="M62" s="121">
        <f>IPPU_Industry!M11</f>
        <v>48.931828957170424</v>
      </c>
      <c r="N62" s="121">
        <f>IPPU_Industry!N11</f>
        <v>57.158576789144817</v>
      </c>
      <c r="O62" s="121">
        <f>IPPU_Industry!O11</f>
        <v>63.720179343286866</v>
      </c>
      <c r="P62" s="121">
        <f>IPPU_Industry!P11</f>
        <v>61.946242160955606</v>
      </c>
      <c r="Q62" s="121">
        <f>IPPU_Industry!Q11</f>
        <v>67.559423563084593</v>
      </c>
      <c r="R62" s="121">
        <f>IPPU_Industry!R11</f>
        <v>70.271483517026113</v>
      </c>
      <c r="S62" s="121">
        <f>IPPU_Industry!S11</f>
        <v>72.898243967174636</v>
      </c>
      <c r="T62" s="121">
        <f>IPPU_Industry!T11</f>
        <v>75.384269563412914</v>
      </c>
      <c r="U62" s="121">
        <f>IPPU_Industry!U11</f>
        <v>77.910341033518762</v>
      </c>
      <c r="V62" s="121">
        <f>IPPU_Industry!V11</f>
        <v>80.451479009297159</v>
      </c>
      <c r="W62" s="121">
        <f>IPPU_Industry!W11</f>
        <v>83.040753204531725</v>
      </c>
      <c r="X62" s="121">
        <f>IPPU_Industry!X11</f>
        <v>85.677916059881724</v>
      </c>
      <c r="Y62" s="121">
        <f>IPPU_Industry!Y11</f>
        <v>88.362687782476257</v>
      </c>
      <c r="Z62" s="121">
        <f>IPPU_Industry!Z11</f>
        <v>91.094755740472323</v>
      </c>
      <c r="AA62" s="121">
        <f>IPPU_Industry!AA11</f>
        <v>93.873773761327016</v>
      </c>
      <c r="AB62" s="121">
        <f>IPPU_Industry!AB11</f>
        <v>96.699361329439938</v>
      </c>
      <c r="AC62" s="121">
        <f>IPPU_Industry!AC11</f>
        <v>99.571102679005023</v>
      </c>
      <c r="AD62" s="121">
        <f>IPPU_Industry!AD11</f>
        <v>102.4885457780901</v>
      </c>
      <c r="AE62" s="121">
        <f>IPPU_Industry!AE11</f>
        <v>105.45120120012244</v>
      </c>
    </row>
    <row r="63" spans="1:35" x14ac:dyDescent="0.35">
      <c r="B63" s="115" t="s">
        <v>3150</v>
      </c>
      <c r="C63" s="115" t="s">
        <v>4</v>
      </c>
      <c r="D63" s="115" t="s">
        <v>3514</v>
      </c>
      <c r="E63" s="115" t="s">
        <v>2068</v>
      </c>
      <c r="H63" s="119" t="str">
        <f>Settings!$B$3&amp;".mit.t2.nk1"</f>
        <v>egy.mit.t2.nk1</v>
      </c>
      <c r="L63" s="121">
        <f t="shared" ref="L63:AE63" si="9">L62-L59</f>
        <v>38.965021807135976</v>
      </c>
      <c r="M63" s="121">
        <f t="shared" si="9"/>
        <v>28.254613881043674</v>
      </c>
      <c r="N63" s="121">
        <f t="shared" si="9"/>
        <v>35.460812218323298</v>
      </c>
      <c r="O63" s="121">
        <f t="shared" si="9"/>
        <v>41.250533027035672</v>
      </c>
      <c r="P63" s="121">
        <f t="shared" si="9"/>
        <v>38.787322087639708</v>
      </c>
      <c r="Q63" s="121">
        <f t="shared" si="9"/>
        <v>43.635721755281452</v>
      </c>
      <c r="R63" s="121">
        <f t="shared" si="9"/>
        <v>45.516396133081173</v>
      </c>
      <c r="S63" s="121">
        <f t="shared" si="9"/>
        <v>47.29795476389765</v>
      </c>
      <c r="T63" s="121">
        <f t="shared" si="9"/>
        <v>48.928998963507773</v>
      </c>
      <c r="U63" s="121">
        <f t="shared" si="9"/>
        <v>50.575023472729086</v>
      </c>
      <c r="V63" s="121">
        <f t="shared" si="9"/>
        <v>52.214258166721002</v>
      </c>
      <c r="W63" s="121">
        <f t="shared" si="9"/>
        <v>53.87449772424938</v>
      </c>
      <c r="X63" s="121">
        <f t="shared" si="9"/>
        <v>55.554766294515126</v>
      </c>
      <c r="Y63" s="121">
        <f t="shared" si="9"/>
        <v>57.254034923725293</v>
      </c>
      <c r="Z63" s="121">
        <f t="shared" si="9"/>
        <v>58.971220205561345</v>
      </c>
      <c r="AA63" s="121">
        <f t="shared" si="9"/>
        <v>60.705182816333213</v>
      </c>
      <c r="AB63" s="121">
        <f t="shared" si="9"/>
        <v>62.454725930080002</v>
      </c>
      <c r="AC63" s="121">
        <f t="shared" si="9"/>
        <v>64.218593509008258</v>
      </c>
      <c r="AD63" s="121">
        <f t="shared" si="9"/>
        <v>65.995468464784651</v>
      </c>
      <c r="AE63" s="121">
        <f t="shared" si="9"/>
        <v>67.783970686305878</v>
      </c>
    </row>
    <row r="64" spans="1:35" x14ac:dyDescent="0.35">
      <c r="B64" s="115" t="s">
        <v>3150</v>
      </c>
      <c r="C64" s="115" t="s">
        <v>4</v>
      </c>
      <c r="D64" s="115" t="s">
        <v>3664</v>
      </c>
      <c r="E64" s="115" t="s">
        <v>2068</v>
      </c>
      <c r="H64" s="119" t="str">
        <f>Settings!$B$3&amp;".mit.t2.dnk"</f>
        <v>egy.mit.t2.dnk</v>
      </c>
      <c r="L64" s="121">
        <f t="shared" ref="L64:AE64" si="10">IF($D$15="-",0,IF(OR(L31=0,L54=0),0,L63*L52/L31/L54))</f>
        <v>0</v>
      </c>
      <c r="M64" s="121">
        <f t="shared" si="10"/>
        <v>0</v>
      </c>
      <c r="N64" s="121">
        <f t="shared" si="10"/>
        <v>0</v>
      </c>
      <c r="O64" s="121">
        <f t="shared" si="10"/>
        <v>0</v>
      </c>
      <c r="P64" s="121">
        <f t="shared" si="10"/>
        <v>0</v>
      </c>
      <c r="Q64" s="121">
        <f t="shared" si="10"/>
        <v>0</v>
      </c>
      <c r="R64" s="121">
        <f t="shared" si="10"/>
        <v>0</v>
      </c>
      <c r="S64" s="121">
        <f t="shared" si="10"/>
        <v>0</v>
      </c>
      <c r="T64" s="121">
        <f t="shared" si="10"/>
        <v>0</v>
      </c>
      <c r="U64" s="121">
        <f t="shared" si="10"/>
        <v>0</v>
      </c>
      <c r="V64" s="121">
        <f t="shared" si="10"/>
        <v>0</v>
      </c>
      <c r="W64" s="121">
        <f t="shared" si="10"/>
        <v>0</v>
      </c>
      <c r="X64" s="121">
        <f t="shared" si="10"/>
        <v>0</v>
      </c>
      <c r="Y64" s="121">
        <f t="shared" si="10"/>
        <v>0</v>
      </c>
      <c r="Z64" s="121">
        <f t="shared" si="10"/>
        <v>0</v>
      </c>
      <c r="AA64" s="121">
        <f t="shared" si="10"/>
        <v>0</v>
      </c>
      <c r="AB64" s="121">
        <f t="shared" si="10"/>
        <v>0</v>
      </c>
      <c r="AC64" s="121">
        <f t="shared" si="10"/>
        <v>0</v>
      </c>
      <c r="AD64" s="121">
        <f t="shared" si="10"/>
        <v>0</v>
      </c>
      <c r="AE64" s="121">
        <f t="shared" si="10"/>
        <v>0</v>
      </c>
    </row>
    <row r="65" spans="1:35" x14ac:dyDescent="0.35">
      <c r="B65" s="115" t="s">
        <v>3150</v>
      </c>
      <c r="C65" s="115" t="s">
        <v>4</v>
      </c>
      <c r="D65" s="115" t="s">
        <v>3515</v>
      </c>
      <c r="E65" s="115" t="s">
        <v>2068</v>
      </c>
      <c r="H65" s="119" t="str">
        <f>Settings!$B$3&amp;".mit.t2.dik"</f>
        <v>egy.mit.t2.dik</v>
      </c>
      <c r="L65" s="121">
        <f t="shared" ref="L65:AE65" si="11">L61+L64</f>
        <v>0</v>
      </c>
      <c r="M65" s="121">
        <f t="shared" si="11"/>
        <v>0</v>
      </c>
      <c r="N65" s="121">
        <f t="shared" si="11"/>
        <v>0</v>
      </c>
      <c r="O65" s="121">
        <f t="shared" si="11"/>
        <v>0</v>
      </c>
      <c r="P65" s="121">
        <f t="shared" si="11"/>
        <v>0</v>
      </c>
      <c r="Q65" s="121">
        <f t="shared" si="11"/>
        <v>-1.8034823734254672</v>
      </c>
      <c r="R65" s="121">
        <f t="shared" si="11"/>
        <v>-3.4038282715434818</v>
      </c>
      <c r="S65" s="121">
        <f t="shared" si="11"/>
        <v>-4.8656915372554792</v>
      </c>
      <c r="T65" s="121">
        <f t="shared" si="11"/>
        <v>-6.2225478602626296</v>
      </c>
      <c r="U65" s="121">
        <f t="shared" si="11"/>
        <v>-7.5066267443782131</v>
      </c>
      <c r="V65" s="121">
        <f t="shared" si="11"/>
        <v>-8.7157186760409893</v>
      </c>
      <c r="W65" s="121">
        <f t="shared" si="11"/>
        <v>-9.8758285091552231</v>
      </c>
      <c r="X65" s="121">
        <f t="shared" si="11"/>
        <v>-10.996332382813595</v>
      </c>
      <c r="Y65" s="121">
        <f t="shared" si="11"/>
        <v>-12.083160385890309</v>
      </c>
      <c r="Z65" s="121">
        <f t="shared" si="11"/>
        <v>-13.1383314216598</v>
      </c>
      <c r="AA65" s="121">
        <f t="shared" si="11"/>
        <v>-14.165699701689586</v>
      </c>
      <c r="AB65" s="121">
        <f t="shared" si="11"/>
        <v>-15.169163772360289</v>
      </c>
      <c r="AC65" s="121">
        <f t="shared" si="11"/>
        <v>-16.15454877901696</v>
      </c>
      <c r="AD65" s="121">
        <f t="shared" si="11"/>
        <v>-17.126796024833798</v>
      </c>
      <c r="AE65" s="121">
        <f t="shared" si="11"/>
        <v>-18.08974541351477</v>
      </c>
    </row>
    <row r="66" spans="1:35" x14ac:dyDescent="0.35">
      <c r="B66" s="115" t="s">
        <v>3150</v>
      </c>
      <c r="C66" s="115" t="s">
        <v>4</v>
      </c>
      <c r="D66" s="115" t="s">
        <v>3516</v>
      </c>
      <c r="E66" s="115" t="s">
        <v>1852</v>
      </c>
      <c r="F66" s="115" t="s">
        <v>3517</v>
      </c>
      <c r="H66" s="119" t="str">
        <f>Settings!$B$3&amp;".mit.t2.ik1"</f>
        <v>egy.mit.t2.ik1</v>
      </c>
      <c r="L66" s="121">
        <f>IPPU_Industry!L26</f>
        <v>52.200349760476598</v>
      </c>
      <c r="M66" s="121">
        <f>IPPU_Industry!M26</f>
        <v>56.903431130804279</v>
      </c>
      <c r="N66" s="121">
        <f>IPPU_Industry!N26</f>
        <v>66.470418277289212</v>
      </c>
      <c r="O66" s="121">
        <f>IPPU_Industry!O26</f>
        <v>74.100987315984753</v>
      </c>
      <c r="P66" s="121">
        <f>IPPU_Industry!P26</f>
        <v>72.038053752362728</v>
      </c>
      <c r="Q66" s="121">
        <f>IPPU_Industry!Q26</f>
        <v>78.565692063620887</v>
      </c>
      <c r="R66" s="121">
        <f>IPPU_Industry!R26</f>
        <v>81.719580240308588</v>
      </c>
      <c r="S66" s="121">
        <f>IPPU_Industry!S26</f>
        <v>84.774272565481596</v>
      </c>
      <c r="T66" s="121">
        <f>IPPU_Industry!T26</f>
        <v>87.665302582544385</v>
      </c>
      <c r="U66" s="121">
        <f>IPPU_Industry!U26</f>
        <v>90.60290244329093</v>
      </c>
      <c r="V66" s="121">
        <f>IPPU_Industry!V26</f>
        <v>93.558023330457104</v>
      </c>
      <c r="W66" s="121">
        <f>IPPU_Industry!W26</f>
        <v>96.569122424591995</v>
      </c>
      <c r="X66" s="121">
        <f>IPPU_Industry!X26</f>
        <v>99.635911835866054</v>
      </c>
      <c r="Y66" s="121">
        <f>IPPU_Industry!Y26</f>
        <v>102.75806618967755</v>
      </c>
      <c r="Z66" s="121">
        <f>IPPU_Industry!Z26</f>
        <v>105.93522192257653</v>
      </c>
      <c r="AA66" s="121">
        <f>IPPU_Industry!AA26</f>
        <v>109.16697646621689</v>
      </c>
      <c r="AB66" s="121">
        <f>IPPU_Industry!AB26</f>
        <v>112.45288731428481</v>
      </c>
      <c r="AC66" s="121">
        <f>IPPU_Industry!AC26</f>
        <v>115.79247096756482</v>
      </c>
      <c r="AD66" s="121">
        <f>IPPU_Industry!AD26</f>
        <v>119.18520175251334</v>
      </c>
      <c r="AE66" s="121">
        <f>IPPU_Industry!AE26</f>
        <v>122.63051050889524</v>
      </c>
    </row>
    <row r="67" spans="1:35" x14ac:dyDescent="0.35">
      <c r="B67" s="115" t="s">
        <v>3150</v>
      </c>
      <c r="C67" s="115" t="s">
        <v>4</v>
      </c>
      <c r="D67" s="115" t="s">
        <v>3518</v>
      </c>
      <c r="E67" s="115" t="s">
        <v>1852</v>
      </c>
      <c r="F67" s="115" t="s">
        <v>3519</v>
      </c>
      <c r="H67" s="119" t="str">
        <f>Settings!$B$3&amp;".mit.t2.ik2"</f>
        <v>egy.mit.t2.ik2</v>
      </c>
      <c r="L67" s="121">
        <f>IPPU_Industry!L43</f>
        <v>52.200349760476598</v>
      </c>
      <c r="M67" s="121">
        <f>IPPU_Industry!M43</f>
        <v>56.903431130804279</v>
      </c>
      <c r="N67" s="121">
        <f>IPPU_Industry!N43</f>
        <v>66.470418277289212</v>
      </c>
      <c r="O67" s="121">
        <f>IPPU_Industry!O43</f>
        <v>74.100987315984753</v>
      </c>
      <c r="P67" s="121">
        <f>IPPU_Industry!P43</f>
        <v>72.038053752362728</v>
      </c>
      <c r="Q67" s="121">
        <f>IPPU_Industry!Q43</f>
        <v>78.565692063620887</v>
      </c>
      <c r="R67" s="121">
        <f>IPPU_Industry!R43</f>
        <v>81.719580240308588</v>
      </c>
      <c r="S67" s="121">
        <f>IPPU_Industry!S43</f>
        <v>84.774272565481596</v>
      </c>
      <c r="T67" s="121">
        <f>IPPU_Industry!T43</f>
        <v>87.665302582544385</v>
      </c>
      <c r="U67" s="121">
        <f>IPPU_Industry!U43</f>
        <v>90.60290244329093</v>
      </c>
      <c r="V67" s="121">
        <f>IPPU_Industry!V43</f>
        <v>93.558023330457104</v>
      </c>
      <c r="W67" s="121">
        <f>IPPU_Industry!W43</f>
        <v>96.569122424591995</v>
      </c>
      <c r="X67" s="121">
        <f>IPPU_Industry!X43</f>
        <v>99.635911835866054</v>
      </c>
      <c r="Y67" s="121">
        <f>IPPU_Industry!Y43</f>
        <v>102.75806618967755</v>
      </c>
      <c r="Z67" s="121">
        <f>IPPU_Industry!Z43</f>
        <v>105.93522192257653</v>
      </c>
      <c r="AA67" s="121">
        <f>IPPU_Industry!AA43</f>
        <v>109.16697646621689</v>
      </c>
      <c r="AB67" s="121">
        <f>IPPU_Industry!AB43</f>
        <v>112.45288731428481</v>
      </c>
      <c r="AC67" s="121">
        <f>IPPU_Industry!AC43</f>
        <v>115.79247096756482</v>
      </c>
      <c r="AD67" s="121">
        <f>IPPU_Industry!AD43</f>
        <v>119.18520175251334</v>
      </c>
      <c r="AE67" s="121">
        <f>IPPU_Industry!AE43</f>
        <v>122.63051050889524</v>
      </c>
    </row>
    <row r="68" spans="1:35" x14ac:dyDescent="0.35">
      <c r="B68" s="115" t="s">
        <v>3150</v>
      </c>
      <c r="C68" s="115" t="s">
        <v>4</v>
      </c>
      <c r="D68" s="115" t="s">
        <v>3520</v>
      </c>
      <c r="E68" s="115" t="s">
        <v>1852</v>
      </c>
      <c r="H68" s="119" t="str">
        <f>Settings!$B$3&amp;".mit.t2.dik_p"</f>
        <v>egy.mit.t2.dik_p</v>
      </c>
      <c r="L68" s="121">
        <f t="shared" ref="L68:AE68" si="12">L67-L66</f>
        <v>0</v>
      </c>
      <c r="M68" s="121">
        <f t="shared" si="12"/>
        <v>0</v>
      </c>
      <c r="N68" s="121">
        <f t="shared" si="12"/>
        <v>0</v>
      </c>
      <c r="O68" s="121">
        <f t="shared" si="12"/>
        <v>0</v>
      </c>
      <c r="P68" s="121">
        <f t="shared" si="12"/>
        <v>0</v>
      </c>
      <c r="Q68" s="121">
        <f t="shared" si="12"/>
        <v>0</v>
      </c>
      <c r="R68" s="121">
        <f t="shared" si="12"/>
        <v>0</v>
      </c>
      <c r="S68" s="121">
        <f t="shared" si="12"/>
        <v>0</v>
      </c>
      <c r="T68" s="121">
        <f t="shared" si="12"/>
        <v>0</v>
      </c>
      <c r="U68" s="121">
        <f t="shared" si="12"/>
        <v>0</v>
      </c>
      <c r="V68" s="121">
        <f t="shared" si="12"/>
        <v>0</v>
      </c>
      <c r="W68" s="121">
        <f t="shared" si="12"/>
        <v>0</v>
      </c>
      <c r="X68" s="121">
        <f t="shared" si="12"/>
        <v>0</v>
      </c>
      <c r="Y68" s="121">
        <f t="shared" si="12"/>
        <v>0</v>
      </c>
      <c r="Z68" s="121">
        <f t="shared" si="12"/>
        <v>0</v>
      </c>
      <c r="AA68" s="121">
        <f t="shared" si="12"/>
        <v>0</v>
      </c>
      <c r="AB68" s="121">
        <f t="shared" si="12"/>
        <v>0</v>
      </c>
      <c r="AC68" s="121">
        <f t="shared" si="12"/>
        <v>0</v>
      </c>
      <c r="AD68" s="121">
        <f t="shared" si="12"/>
        <v>0</v>
      </c>
      <c r="AE68" s="121">
        <f t="shared" si="12"/>
        <v>0</v>
      </c>
    </row>
    <row r="69" spans="1:35" x14ac:dyDescent="0.35">
      <c r="B69" s="115" t="s">
        <v>3150</v>
      </c>
      <c r="C69" s="115" t="s">
        <v>4</v>
      </c>
      <c r="D69" s="115" t="s">
        <v>3521</v>
      </c>
      <c r="E69" s="115" t="s">
        <v>1852</v>
      </c>
      <c r="F69" s="115" t="s">
        <v>3522</v>
      </c>
      <c r="H69" s="119" t="str">
        <f>Settings!$B$3&amp;".mit.t2.bp1"</f>
        <v>egy.mit.t2.bp1</v>
      </c>
      <c r="L69" s="121">
        <f>Mitigation_Industry!L390</f>
        <v>26.751620146588561</v>
      </c>
      <c r="M69" s="121">
        <f>Mitigation_Industry!M390</f>
        <v>27.646438017449757</v>
      </c>
      <c r="N69" s="121">
        <f>Mitigation_Industry!N390</f>
        <v>28.571608133999998</v>
      </c>
      <c r="O69" s="121">
        <f>Mitigation_Industry!O390</f>
        <v>29.528179985927999</v>
      </c>
      <c r="P69" s="121">
        <f>Mitigation_Industry!P390</f>
        <v>30.517240342133586</v>
      </c>
      <c r="Q69" s="121">
        <f>Mitigation_Industry!Q390</f>
        <v>31.539914624858142</v>
      </c>
      <c r="R69" s="121">
        <f>Mitigation_Industry!R390</f>
        <v>32.597368336956976</v>
      </c>
      <c r="S69" s="121">
        <f>Mitigation_Industry!S390</f>
        <v>33.690808544489862</v>
      </c>
      <c r="T69" s="121">
        <f>Mitigation_Industry!T390</f>
        <v>34.821485416900551</v>
      </c>
      <c r="U69" s="121">
        <f>Mitigation_Industry!U390</f>
        <v>35.990693827155248</v>
      </c>
      <c r="V69" s="121">
        <f>Mitigation_Industry!V390</f>
        <v>37.19977501431368</v>
      </c>
      <c r="W69" s="121">
        <f>Mitigation_Industry!W390</f>
        <v>38.450118311115105</v>
      </c>
      <c r="X69" s="121">
        <f>Mitigation_Industry!X390</f>
        <v>39.743162939274711</v>
      </c>
      <c r="Y69" s="121">
        <f>Mitigation_Industry!Y390</f>
        <v>41.08039987530541</v>
      </c>
      <c r="Z69" s="121">
        <f>Mitigation_Industry!Z390</f>
        <v>42.463373789803512</v>
      </c>
      <c r="AA69" s="121">
        <f>Mitigation_Industry!AA390</f>
        <v>43.893685063268059</v>
      </c>
      <c r="AB69" s="121">
        <f>Mitigation_Industry!AB390</f>
        <v>45.372991881658805</v>
      </c>
      <c r="AC69" s="121">
        <f>Mitigation_Industry!AC390</f>
        <v>46.903012415041424</v>
      </c>
      <c r="AD69" s="121">
        <f>Mitigation_Industry!AD390</f>
        <v>48.485527082817555</v>
      </c>
      <c r="AE69" s="121">
        <f>Mitigation_Industry!AE390</f>
        <v>50.122380909193787</v>
      </c>
    </row>
    <row r="70" spans="1:35" x14ac:dyDescent="0.35">
      <c r="B70" s="115" t="s">
        <v>3150</v>
      </c>
      <c r="C70" s="115" t="s">
        <v>4</v>
      </c>
      <c r="D70" s="115" t="s">
        <v>3523</v>
      </c>
      <c r="E70" s="115" t="s">
        <v>1852</v>
      </c>
      <c r="F70" s="115" t="s">
        <v>3524</v>
      </c>
      <c r="H70" s="119" t="str">
        <f>Settings!$B$3&amp;".mit.t2.be1"</f>
        <v>egy.mit.t2.be1</v>
      </c>
      <c r="L70" s="121">
        <f>Mitigation_Industry!L380</f>
        <v>48.086991333544489</v>
      </c>
      <c r="M70" s="121">
        <f>Mitigation_Industry!M380</f>
        <v>49.677032012339083</v>
      </c>
      <c r="N70" s="121">
        <f>Mitigation_Industry!N380</f>
        <v>51.320891261</v>
      </c>
      <c r="O70" s="121">
        <f>Mitigation_Industry!O380</f>
        <v>53.020436367115991</v>
      </c>
      <c r="P70" s="121">
        <f>Mitigation_Industry!P380</f>
        <v>54.77760125723205</v>
      </c>
      <c r="Q70" s="121">
        <f>Mitigation_Industry!Q380</f>
        <v>56.594388955214242</v>
      </c>
      <c r="R70" s="121">
        <f>Mitigation_Industry!R380</f>
        <v>58.472874134897971</v>
      </c>
      <c r="S70" s="121">
        <f>Mitigation_Industry!S380</f>
        <v>60.415205770798046</v>
      </c>
      <c r="T70" s="121">
        <f>Mitigation_Industry!T380</f>
        <v>62.423609890817644</v>
      </c>
      <c r="U70" s="121">
        <f>Mitigation_Industry!U380</f>
        <v>64.500392435059069</v>
      </c>
      <c r="V70" s="121">
        <f>Mitigation_Industry!V380</f>
        <v>66.647942225012031</v>
      </c>
      <c r="W70" s="121">
        <f>Mitigation_Industry!W380</f>
        <v>68.868734047575941</v>
      </c>
      <c r="X70" s="121">
        <f>Mitigation_Industry!X380</f>
        <v>71.165331858561302</v>
      </c>
      <c r="Y70" s="121">
        <f>Mitigation_Industry!Y380</f>
        <v>73.540392110512528</v>
      </c>
      <c r="Z70" s="121">
        <f>Mitigation_Industry!Z380</f>
        <v>75.996667209899613</v>
      </c>
      <c r="AA70" s="121">
        <f>Mitigation_Industry!AA380</f>
        <v>78.537009108942158</v>
      </c>
      <c r="AB70" s="121">
        <f>Mitigation_Industry!AB380</f>
        <v>81.164373037552508</v>
      </c>
      <c r="AC70" s="121">
        <f>Mitigation_Industry!AC380</f>
        <v>83.881821381120091</v>
      </c>
      <c r="AD70" s="121">
        <f>Mitigation_Industry!AD380</f>
        <v>86.692527710104301</v>
      </c>
      <c r="AE70" s="121">
        <f>Mitigation_Industry!AE380</f>
        <v>89.599780967658063</v>
      </c>
    </row>
    <row r="71" spans="1:35" x14ac:dyDescent="0.35">
      <c r="B71" s="115" t="s">
        <v>3150</v>
      </c>
      <c r="C71" s="115" t="s">
        <v>4</v>
      </c>
      <c r="D71" s="115" t="s">
        <v>3525</v>
      </c>
      <c r="E71" s="115" t="s">
        <v>16</v>
      </c>
      <c r="F71" s="115" t="s">
        <v>3526</v>
      </c>
      <c r="H71" s="119" t="str">
        <f>Settings!$B$3&amp;".mit.t2.cp"</f>
        <v>egy.mit.t2.cp</v>
      </c>
      <c r="L71" s="121">
        <f>Scenarios!L42</f>
        <v>0</v>
      </c>
      <c r="M71" s="121">
        <f>Scenarios!M42</f>
        <v>0</v>
      </c>
      <c r="N71" s="121">
        <f>Scenarios!N42</f>
        <v>0</v>
      </c>
      <c r="O71" s="121">
        <f>Scenarios!O42</f>
        <v>0</v>
      </c>
      <c r="P71" s="121">
        <f>Scenarios!P42</f>
        <v>0</v>
      </c>
      <c r="Q71" s="121">
        <f>Scenarios!Q42</f>
        <v>12.5</v>
      </c>
      <c r="R71" s="121">
        <f>Scenarios!R42</f>
        <v>25</v>
      </c>
      <c r="S71" s="121">
        <f>Scenarios!S42</f>
        <v>37.5</v>
      </c>
      <c r="T71" s="121">
        <f>Scenarios!T42</f>
        <v>50</v>
      </c>
      <c r="U71" s="121">
        <f>Scenarios!U42</f>
        <v>62.5</v>
      </c>
      <c r="V71" s="121">
        <f>Scenarios!V42</f>
        <v>75</v>
      </c>
      <c r="W71" s="121">
        <f>Scenarios!W42</f>
        <v>87.5</v>
      </c>
      <c r="X71" s="121">
        <f>Scenarios!X42</f>
        <v>100</v>
      </c>
      <c r="Y71" s="121">
        <f>Scenarios!Y42</f>
        <v>112.5</v>
      </c>
      <c r="Z71" s="121">
        <f>Scenarios!Z42</f>
        <v>125</v>
      </c>
      <c r="AA71" s="121">
        <f>Scenarios!AA42</f>
        <v>137.5</v>
      </c>
      <c r="AB71" s="121">
        <f>Scenarios!AB42</f>
        <v>150</v>
      </c>
      <c r="AC71" s="121">
        <f>Scenarios!AC42</f>
        <v>162.5</v>
      </c>
      <c r="AD71" s="121">
        <f>Scenarios!AD42</f>
        <v>175</v>
      </c>
      <c r="AE71" s="121">
        <f>Scenarios!AE42</f>
        <v>187.5</v>
      </c>
    </row>
    <row r="72" spans="1:35" x14ac:dyDescent="0.35">
      <c r="B72" s="115" t="s">
        <v>3150</v>
      </c>
      <c r="C72" s="115" t="s">
        <v>4</v>
      </c>
      <c r="D72" s="115" t="s">
        <v>3527</v>
      </c>
      <c r="E72" s="115" t="s">
        <v>79</v>
      </c>
      <c r="F72" s="115" t="s">
        <v>3528</v>
      </c>
      <c r="H72" s="119" t="str">
        <f>Settings!$B$3&amp;".mit.t2.encov"</f>
        <v>egy.mit.t2.encov</v>
      </c>
      <c r="L72" s="121">
        <f>Scenarios!L45</f>
        <v>1</v>
      </c>
      <c r="M72" s="121">
        <f>Scenarios!M45</f>
        <v>1</v>
      </c>
      <c r="N72" s="121">
        <f>Scenarios!N45</f>
        <v>1</v>
      </c>
      <c r="O72" s="121">
        <f>Scenarios!O45</f>
        <v>1</v>
      </c>
      <c r="P72" s="121">
        <f>Scenarios!P45</f>
        <v>1</v>
      </c>
      <c r="Q72" s="121">
        <f>Scenarios!Q45</f>
        <v>1</v>
      </c>
      <c r="R72" s="121">
        <f>Scenarios!R45</f>
        <v>1</v>
      </c>
      <c r="S72" s="121">
        <f>Scenarios!S45</f>
        <v>1</v>
      </c>
      <c r="T72" s="121">
        <f>Scenarios!T45</f>
        <v>1</v>
      </c>
      <c r="U72" s="121">
        <f>Scenarios!U45</f>
        <v>1</v>
      </c>
      <c r="V72" s="121">
        <f>Scenarios!V45</f>
        <v>1</v>
      </c>
      <c r="W72" s="121">
        <f>Scenarios!W45</f>
        <v>1</v>
      </c>
      <c r="X72" s="121">
        <f>Scenarios!X45</f>
        <v>1</v>
      </c>
      <c r="Y72" s="121">
        <f>Scenarios!Y45</f>
        <v>1</v>
      </c>
      <c r="Z72" s="121">
        <f>Scenarios!Z45</f>
        <v>1</v>
      </c>
      <c r="AA72" s="121">
        <f>Scenarios!AA45</f>
        <v>1</v>
      </c>
      <c r="AB72" s="121">
        <f>Scenarios!AB45</f>
        <v>1</v>
      </c>
      <c r="AC72" s="121">
        <f>Scenarios!AC45</f>
        <v>1</v>
      </c>
      <c r="AD72" s="121">
        <f>Scenarios!AD45</f>
        <v>1</v>
      </c>
      <c r="AE72" s="121">
        <f>Scenarios!AE45</f>
        <v>1</v>
      </c>
    </row>
    <row r="73" spans="1:35" x14ac:dyDescent="0.35">
      <c r="B73" s="115" t="s">
        <v>3150</v>
      </c>
      <c r="C73" s="115" t="s">
        <v>4</v>
      </c>
      <c r="D73" s="115" t="s">
        <v>3529</v>
      </c>
      <c r="E73" s="115" t="s">
        <v>3408</v>
      </c>
      <c r="F73" s="115" t="s">
        <v>3530</v>
      </c>
      <c r="H73" s="119" t="str">
        <f>Settings!$B$3&amp;".mit.t2.revp"</f>
        <v>egy.mit.t2.revp</v>
      </c>
      <c r="L73" s="121">
        <f>Mitigation_Industry!L782/1000</f>
        <v>0</v>
      </c>
      <c r="M73" s="121">
        <f>Mitigation_Industry!M782/1000</f>
        <v>0</v>
      </c>
      <c r="N73" s="121">
        <f>Mitigation_Industry!N782/1000</f>
        <v>0</v>
      </c>
      <c r="O73" s="121">
        <f>Mitigation_Industry!O782/1000</f>
        <v>0</v>
      </c>
      <c r="P73" s="121">
        <f>Mitigation_Industry!P782/1000</f>
        <v>0</v>
      </c>
      <c r="Q73" s="121">
        <f>Mitigation_Industry!Q782/1000</f>
        <v>0</v>
      </c>
      <c r="R73" s="121">
        <f>Mitigation_Industry!R782/1000</f>
        <v>0</v>
      </c>
      <c r="S73" s="121">
        <f>Mitigation_Industry!S782/1000</f>
        <v>0</v>
      </c>
      <c r="T73" s="121">
        <f>Mitigation_Industry!T782/1000</f>
        <v>0</v>
      </c>
      <c r="U73" s="121">
        <f>Mitigation_Industry!U782/1000</f>
        <v>0</v>
      </c>
      <c r="V73" s="121">
        <f>Mitigation_Industry!V782/1000</f>
        <v>0</v>
      </c>
      <c r="W73" s="121">
        <f>Mitigation_Industry!W782/1000</f>
        <v>0</v>
      </c>
      <c r="X73" s="121">
        <f>Mitigation_Industry!X782/1000</f>
        <v>0</v>
      </c>
      <c r="Y73" s="121">
        <f>Mitigation_Industry!Y782/1000</f>
        <v>0</v>
      </c>
      <c r="Z73" s="121">
        <f>Mitigation_Industry!Z782/1000</f>
        <v>0</v>
      </c>
      <c r="AA73" s="121">
        <f>Mitigation_Industry!AA782/1000</f>
        <v>0</v>
      </c>
      <c r="AB73" s="121">
        <f>Mitigation_Industry!AB782/1000</f>
        <v>0</v>
      </c>
      <c r="AC73" s="121">
        <f>Mitigation_Industry!AC782/1000</f>
        <v>0</v>
      </c>
      <c r="AD73" s="121">
        <f>Mitigation_Industry!AD782/1000</f>
        <v>0</v>
      </c>
      <c r="AE73" s="121">
        <f>Mitigation_Industry!AE782/1000</f>
        <v>0</v>
      </c>
    </row>
    <row r="74" spans="1:35" x14ac:dyDescent="0.35">
      <c r="B74" s="115" t="s">
        <v>3150</v>
      </c>
      <c r="C74" s="115" t="s">
        <v>4</v>
      </c>
      <c r="D74" s="115" t="s">
        <v>3531</v>
      </c>
      <c r="E74" s="115" t="s">
        <v>3408</v>
      </c>
      <c r="F74" s="115" t="s">
        <v>3532</v>
      </c>
      <c r="H74" s="119" t="str">
        <f>Settings!$B$3&amp;".mit.t2.obr"</f>
        <v>egy.mit.t2.obr</v>
      </c>
      <c r="L74" s="121">
        <f>Rebate_Industry!L217/1000</f>
        <v>0</v>
      </c>
      <c r="M74" s="121">
        <f>Rebate_Industry!M217/1000</f>
        <v>0</v>
      </c>
      <c r="N74" s="121">
        <f>Rebate_Industry!N217/1000</f>
        <v>0</v>
      </c>
      <c r="O74" s="121">
        <f>Rebate_Industry!O217/1000</f>
        <v>0</v>
      </c>
      <c r="P74" s="121">
        <f>Rebate_Industry!P217/1000</f>
        <v>0</v>
      </c>
      <c r="Q74" s="121">
        <f>Rebate_Industry!Q217/1000</f>
        <v>0</v>
      </c>
      <c r="R74" s="121">
        <f>Rebate_Industry!R217/1000</f>
        <v>0</v>
      </c>
      <c r="S74" s="121">
        <f>Rebate_Industry!S217/1000</f>
        <v>0</v>
      </c>
      <c r="T74" s="121">
        <f>Rebate_Industry!T217/1000</f>
        <v>0</v>
      </c>
      <c r="U74" s="121">
        <f>Rebate_Industry!U217/1000</f>
        <v>0</v>
      </c>
      <c r="V74" s="121">
        <f>Rebate_Industry!V217/1000</f>
        <v>0</v>
      </c>
      <c r="W74" s="121">
        <f>Rebate_Industry!W217/1000</f>
        <v>0</v>
      </c>
      <c r="X74" s="121">
        <f>Rebate_Industry!X217/1000</f>
        <v>0</v>
      </c>
      <c r="Y74" s="121">
        <f>Rebate_Industry!Y217/1000</f>
        <v>0</v>
      </c>
      <c r="Z74" s="121">
        <f>Rebate_Industry!Z217/1000</f>
        <v>0</v>
      </c>
      <c r="AA74" s="121">
        <f>Rebate_Industry!AA217/1000</f>
        <v>0</v>
      </c>
      <c r="AB74" s="121">
        <f>Rebate_Industry!AB217/1000</f>
        <v>0</v>
      </c>
      <c r="AC74" s="121">
        <f>Rebate_Industry!AC217/1000</f>
        <v>0</v>
      </c>
      <c r="AD74" s="121">
        <f>Rebate_Industry!AD217/1000</f>
        <v>0</v>
      </c>
      <c r="AE74" s="121">
        <f>Rebate_Industry!AE217/1000</f>
        <v>0</v>
      </c>
    </row>
    <row r="75" spans="1:35" x14ac:dyDescent="0.35">
      <c r="B75" s="115" t="s">
        <v>3150</v>
      </c>
      <c r="C75" s="115" t="s">
        <v>4</v>
      </c>
      <c r="D75" s="115" t="s">
        <v>3533</v>
      </c>
      <c r="E75" s="115" t="s">
        <v>3408</v>
      </c>
      <c r="F75" s="115" t="s">
        <v>3534</v>
      </c>
      <c r="H75" s="119" t="str">
        <f>Settings!$B$3&amp;".mit.t2.fund"</f>
        <v>egy.mit.t2.fund</v>
      </c>
      <c r="L75" s="121">
        <f>Fund_Industry!L329/1000</f>
        <v>0</v>
      </c>
      <c r="M75" s="121">
        <f>Fund_Industry!M329/1000</f>
        <v>0</v>
      </c>
      <c r="N75" s="121">
        <f>Fund_Industry!N329/1000</f>
        <v>0</v>
      </c>
      <c r="O75" s="121">
        <f>Fund_Industry!O329/1000</f>
        <v>0</v>
      </c>
      <c r="P75" s="121">
        <f>Fund_Industry!P329/1000</f>
        <v>0</v>
      </c>
      <c r="Q75" s="121">
        <f>Fund_Industry!Q329/1000</f>
        <v>0</v>
      </c>
      <c r="R75" s="121">
        <f>Fund_Industry!R329/1000</f>
        <v>0</v>
      </c>
      <c r="S75" s="121">
        <f>Fund_Industry!S329/1000</f>
        <v>0</v>
      </c>
      <c r="T75" s="121">
        <f>Fund_Industry!T329/1000</f>
        <v>0</v>
      </c>
      <c r="U75" s="121">
        <f>Fund_Industry!U329/1000</f>
        <v>0</v>
      </c>
      <c r="V75" s="121">
        <f>Fund_Industry!V329/1000</f>
        <v>0</v>
      </c>
      <c r="W75" s="121">
        <f>Fund_Industry!W329/1000</f>
        <v>0</v>
      </c>
      <c r="X75" s="121">
        <f>Fund_Industry!X329/1000</f>
        <v>0</v>
      </c>
      <c r="Y75" s="121">
        <f>Fund_Industry!Y329/1000</f>
        <v>0</v>
      </c>
      <c r="Z75" s="121">
        <f>Fund_Industry!Z329/1000</f>
        <v>0</v>
      </c>
      <c r="AA75" s="121">
        <f>Fund_Industry!AA329/1000</f>
        <v>0</v>
      </c>
      <c r="AB75" s="121">
        <f>Fund_Industry!AB329/1000</f>
        <v>0</v>
      </c>
      <c r="AC75" s="121">
        <f>Fund_Industry!AC329/1000</f>
        <v>0</v>
      </c>
      <c r="AD75" s="121">
        <f>Fund_Industry!AD329/1000</f>
        <v>0</v>
      </c>
      <c r="AE75" s="121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5" t="s">
        <v>3536</v>
      </c>
      <c r="C81" s="115" t="s">
        <v>3537</v>
      </c>
      <c r="D81" s="115" t="s">
        <v>3538</v>
      </c>
      <c r="E81" s="115" t="s">
        <v>1852</v>
      </c>
      <c r="H81" s="119" t="str">
        <f>Settings!$B$3&amp;".mit.t2.col.ripr"</f>
        <v>egy.mit.t2.col.ripr</v>
      </c>
      <c r="L81" s="121">
        <f t="shared" ref="L81:AE81" si="13">IF($D$15="-",0,L68-L50)</f>
        <v>0</v>
      </c>
      <c r="M81" s="121">
        <f t="shared" si="13"/>
        <v>0</v>
      </c>
      <c r="N81" s="121">
        <f t="shared" si="13"/>
        <v>0</v>
      </c>
      <c r="O81" s="121">
        <f t="shared" si="13"/>
        <v>0</v>
      </c>
      <c r="P81" s="121">
        <f t="shared" si="13"/>
        <v>0</v>
      </c>
      <c r="Q81" s="121">
        <f t="shared" si="13"/>
        <v>0</v>
      </c>
      <c r="R81" s="121">
        <f t="shared" si="13"/>
        <v>0</v>
      </c>
      <c r="S81" s="121">
        <f t="shared" si="13"/>
        <v>0</v>
      </c>
      <c r="T81" s="121">
        <f t="shared" si="13"/>
        <v>0</v>
      </c>
      <c r="U81" s="121">
        <f t="shared" si="13"/>
        <v>0</v>
      </c>
      <c r="V81" s="121">
        <f t="shared" si="13"/>
        <v>0</v>
      </c>
      <c r="W81" s="121">
        <f t="shared" si="13"/>
        <v>0</v>
      </c>
      <c r="X81" s="121">
        <f t="shared" si="13"/>
        <v>0</v>
      </c>
      <c r="Y81" s="121">
        <f t="shared" si="13"/>
        <v>0</v>
      </c>
      <c r="Z81" s="121">
        <f t="shared" si="13"/>
        <v>0</v>
      </c>
      <c r="AA81" s="121">
        <f t="shared" si="13"/>
        <v>0</v>
      </c>
      <c r="AB81" s="121">
        <f t="shared" si="13"/>
        <v>0</v>
      </c>
      <c r="AC81" s="121">
        <f t="shared" si="13"/>
        <v>0</v>
      </c>
      <c r="AD81" s="121">
        <f t="shared" si="13"/>
        <v>0</v>
      </c>
      <c r="AE81" s="121">
        <f t="shared" si="13"/>
        <v>0</v>
      </c>
    </row>
    <row r="82" spans="2:35" x14ac:dyDescent="0.35">
      <c r="B82" s="115" t="s">
        <v>3536</v>
      </c>
      <c r="C82" s="115" t="s">
        <v>3537</v>
      </c>
      <c r="D82" s="115" t="s">
        <v>3539</v>
      </c>
      <c r="E82" s="115" t="s">
        <v>1852</v>
      </c>
      <c r="H82" s="119" t="str">
        <f>Settings!$B$3&amp;".mit.t2.col.rind"</f>
        <v>egy.mit.t2.col.rind</v>
      </c>
      <c r="L82" s="121">
        <f t="shared" ref="L82:AE82" si="14">IF($D$15="-",0,L65-L52)</f>
        <v>0</v>
      </c>
      <c r="M82" s="121">
        <f t="shared" si="14"/>
        <v>0</v>
      </c>
      <c r="N82" s="121">
        <f t="shared" si="14"/>
        <v>0</v>
      </c>
      <c r="O82" s="121">
        <f t="shared" si="14"/>
        <v>0</v>
      </c>
      <c r="P82" s="121">
        <f t="shared" si="14"/>
        <v>0</v>
      </c>
      <c r="Q82" s="121">
        <f t="shared" si="14"/>
        <v>0</v>
      </c>
      <c r="R82" s="121">
        <f t="shared" si="14"/>
        <v>0</v>
      </c>
      <c r="S82" s="121">
        <f t="shared" si="14"/>
        <v>0</v>
      </c>
      <c r="T82" s="121">
        <f t="shared" si="14"/>
        <v>0</v>
      </c>
      <c r="U82" s="121">
        <f t="shared" si="14"/>
        <v>0</v>
      </c>
      <c r="V82" s="121">
        <f t="shared" si="14"/>
        <v>0</v>
      </c>
      <c r="W82" s="121">
        <f t="shared" si="14"/>
        <v>0</v>
      </c>
      <c r="X82" s="121">
        <f t="shared" si="14"/>
        <v>0</v>
      </c>
      <c r="Y82" s="121">
        <f t="shared" si="14"/>
        <v>0</v>
      </c>
      <c r="Z82" s="121">
        <f t="shared" si="14"/>
        <v>0</v>
      </c>
      <c r="AA82" s="121">
        <f t="shared" si="14"/>
        <v>0</v>
      </c>
      <c r="AB82" s="121">
        <f t="shared" si="14"/>
        <v>0</v>
      </c>
      <c r="AC82" s="121">
        <f t="shared" si="14"/>
        <v>0</v>
      </c>
      <c r="AD82" s="121">
        <f t="shared" si="14"/>
        <v>0</v>
      </c>
      <c r="AE82" s="121">
        <f t="shared" si="14"/>
        <v>0</v>
      </c>
    </row>
    <row r="83" spans="2:35" ht="13.9" x14ac:dyDescent="0.4">
      <c r="B83" s="124" t="s">
        <v>3540</v>
      </c>
      <c r="C83" s="124" t="s">
        <v>3537</v>
      </c>
      <c r="D83" s="124" t="s">
        <v>3541</v>
      </c>
      <c r="E83" s="124" t="s">
        <v>1852</v>
      </c>
      <c r="F83" s="124"/>
      <c r="G83" s="124"/>
      <c r="H83" s="145" t="str">
        <f>Settings!$B$3&amp;".mit.t2.col.k"</f>
        <v>egy.mit.t2.col.k</v>
      </c>
      <c r="I83" s="124"/>
      <c r="J83" s="124"/>
      <c r="K83" s="124"/>
      <c r="L83" s="146">
        <f t="shared" ref="L83:AE83" si="15">IF($D$15="-",0,L49+L81+L82)</f>
        <v>0</v>
      </c>
      <c r="M83" s="146">
        <f t="shared" si="15"/>
        <v>0</v>
      </c>
      <c r="N83" s="146">
        <f t="shared" si="15"/>
        <v>0</v>
      </c>
      <c r="O83" s="146">
        <f t="shared" si="15"/>
        <v>0</v>
      </c>
      <c r="P83" s="146">
        <f t="shared" si="15"/>
        <v>0</v>
      </c>
      <c r="Q83" s="146">
        <f t="shared" si="15"/>
        <v>0</v>
      </c>
      <c r="R83" s="146">
        <f t="shared" si="15"/>
        <v>0</v>
      </c>
      <c r="S83" s="146">
        <f t="shared" si="15"/>
        <v>0</v>
      </c>
      <c r="T83" s="146">
        <f t="shared" si="15"/>
        <v>0</v>
      </c>
      <c r="U83" s="146">
        <f t="shared" si="15"/>
        <v>0</v>
      </c>
      <c r="V83" s="146">
        <f t="shared" si="15"/>
        <v>0</v>
      </c>
      <c r="W83" s="146">
        <f t="shared" si="15"/>
        <v>0</v>
      </c>
      <c r="X83" s="146">
        <f t="shared" si="15"/>
        <v>0</v>
      </c>
      <c r="Y83" s="146">
        <f t="shared" si="15"/>
        <v>0</v>
      </c>
      <c r="Z83" s="146">
        <f t="shared" si="15"/>
        <v>0</v>
      </c>
      <c r="AA83" s="146">
        <f t="shared" si="15"/>
        <v>0</v>
      </c>
      <c r="AB83" s="146">
        <f t="shared" si="15"/>
        <v>0</v>
      </c>
      <c r="AC83" s="146">
        <f t="shared" si="15"/>
        <v>0</v>
      </c>
      <c r="AD83" s="146">
        <f t="shared" si="15"/>
        <v>0</v>
      </c>
      <c r="AE83" s="146">
        <f t="shared" si="15"/>
        <v>0</v>
      </c>
      <c r="AF83" s="124"/>
      <c r="AG83" s="124"/>
      <c r="AH83" s="124"/>
      <c r="AI83" s="124"/>
    </row>
    <row r="84" spans="2:35" x14ac:dyDescent="0.35">
      <c r="B84" s="115" t="s">
        <v>3542</v>
      </c>
      <c r="C84" s="115" t="s">
        <v>3537</v>
      </c>
      <c r="D84" s="115" t="s">
        <v>3665</v>
      </c>
      <c r="E84" s="115" t="s">
        <v>84</v>
      </c>
      <c r="H84" s="119" t="str">
        <f>Settings!$B$3&amp;".mit.t2.col.j"</f>
        <v>egy.mit.t2.col.j</v>
      </c>
      <c r="I84" s="115" t="s">
        <v>3543</v>
      </c>
      <c r="L84" s="121">
        <f t="shared" ref="L84:AE84" si="16">IF(L25=0,0,100*(IF($D$16="All sectors",L29,L72*L62)+$D$17*L69)/L25)</f>
        <v>0</v>
      </c>
      <c r="M84" s="121">
        <f t="shared" si="16"/>
        <v>0</v>
      </c>
      <c r="N84" s="121">
        <f t="shared" si="16"/>
        <v>0</v>
      </c>
      <c r="O84" s="121">
        <f t="shared" si="16"/>
        <v>0</v>
      </c>
      <c r="P84" s="121">
        <f t="shared" si="16"/>
        <v>0</v>
      </c>
      <c r="Q84" s="121">
        <f t="shared" si="16"/>
        <v>0</v>
      </c>
      <c r="R84" s="121">
        <f t="shared" si="16"/>
        <v>0</v>
      </c>
      <c r="S84" s="121">
        <f t="shared" si="16"/>
        <v>0</v>
      </c>
      <c r="T84" s="121">
        <f t="shared" si="16"/>
        <v>0</v>
      </c>
      <c r="U84" s="121">
        <f t="shared" si="16"/>
        <v>0</v>
      </c>
      <c r="V84" s="121">
        <f t="shared" si="16"/>
        <v>0</v>
      </c>
      <c r="W84" s="121">
        <f t="shared" si="16"/>
        <v>0</v>
      </c>
      <c r="X84" s="121">
        <f t="shared" si="16"/>
        <v>0</v>
      </c>
      <c r="Y84" s="121">
        <f t="shared" si="16"/>
        <v>0</v>
      </c>
      <c r="Z84" s="121">
        <f t="shared" si="16"/>
        <v>0</v>
      </c>
      <c r="AA84" s="121">
        <f t="shared" si="16"/>
        <v>0</v>
      </c>
      <c r="AB84" s="121">
        <f t="shared" si="16"/>
        <v>0</v>
      </c>
      <c r="AC84" s="121">
        <f t="shared" si="16"/>
        <v>0</v>
      </c>
      <c r="AD84" s="121">
        <f t="shared" si="16"/>
        <v>0</v>
      </c>
      <c r="AE84" s="121">
        <f t="shared" si="16"/>
        <v>0</v>
      </c>
    </row>
    <row r="85" spans="2:35" x14ac:dyDescent="0.35">
      <c r="B85" s="115" t="s">
        <v>3544</v>
      </c>
      <c r="C85" s="115" t="s">
        <v>3537</v>
      </c>
      <c r="D85" s="115" t="s">
        <v>3545</v>
      </c>
      <c r="E85" s="115" t="s">
        <v>84</v>
      </c>
      <c r="H85" s="119" t="str">
        <f>Settings!$B$3&amp;".mit.t2.col.l"</f>
        <v>egy.mit.t2.col.l</v>
      </c>
      <c r="L85" s="121">
        <f t="shared" ref="L85:AE85" si="17">IF(L25=0,0,100*L83/L25)</f>
        <v>0</v>
      </c>
      <c r="M85" s="121">
        <f t="shared" si="17"/>
        <v>0</v>
      </c>
      <c r="N85" s="121">
        <f t="shared" si="17"/>
        <v>0</v>
      </c>
      <c r="O85" s="121">
        <f t="shared" si="17"/>
        <v>0</v>
      </c>
      <c r="P85" s="121">
        <f t="shared" si="17"/>
        <v>0</v>
      </c>
      <c r="Q85" s="121">
        <f t="shared" si="17"/>
        <v>0</v>
      </c>
      <c r="R85" s="121">
        <f t="shared" si="17"/>
        <v>0</v>
      </c>
      <c r="S85" s="121">
        <f t="shared" si="17"/>
        <v>0</v>
      </c>
      <c r="T85" s="121">
        <f t="shared" si="17"/>
        <v>0</v>
      </c>
      <c r="U85" s="121">
        <f t="shared" si="17"/>
        <v>0</v>
      </c>
      <c r="V85" s="121">
        <f t="shared" si="17"/>
        <v>0</v>
      </c>
      <c r="W85" s="121">
        <f t="shared" si="17"/>
        <v>0</v>
      </c>
      <c r="X85" s="121">
        <f t="shared" si="17"/>
        <v>0</v>
      </c>
      <c r="Y85" s="121">
        <f t="shared" si="17"/>
        <v>0</v>
      </c>
      <c r="Z85" s="121">
        <f t="shared" si="17"/>
        <v>0</v>
      </c>
      <c r="AA85" s="121">
        <f t="shared" si="17"/>
        <v>0</v>
      </c>
      <c r="AB85" s="121">
        <f t="shared" si="17"/>
        <v>0</v>
      </c>
      <c r="AC85" s="121">
        <f t="shared" si="17"/>
        <v>0</v>
      </c>
      <c r="AD85" s="121">
        <f t="shared" si="17"/>
        <v>0</v>
      </c>
      <c r="AE85" s="121">
        <f t="shared" si="17"/>
        <v>0</v>
      </c>
    </row>
    <row r="86" spans="2:35" x14ac:dyDescent="0.35">
      <c r="B86" s="115" t="s">
        <v>3546</v>
      </c>
      <c r="C86" s="115" t="s">
        <v>3537</v>
      </c>
      <c r="D86" s="115" t="s">
        <v>3547</v>
      </c>
      <c r="E86" s="115" t="s">
        <v>84</v>
      </c>
      <c r="H86" s="119" t="str">
        <f>Settings!$B$3&amp;".mit.t2.col.m"</f>
        <v>egy.mit.t2.col.m</v>
      </c>
      <c r="I86" s="115" t="s">
        <v>3548</v>
      </c>
      <c r="L86" s="121">
        <f>100*Mitigation_Industry!L683</f>
        <v>44.368280475207889</v>
      </c>
      <c r="M86" s="121">
        <f>100*Mitigation_Industry!M683</f>
        <v>44.347645385531962</v>
      </c>
      <c r="N86" s="121">
        <f>100*Mitigation_Industry!N683</f>
        <v>44.32752933168122</v>
      </c>
      <c r="O86" s="121">
        <f>100*Mitigation_Industry!O683</f>
        <v>44.307927265114358</v>
      </c>
      <c r="P86" s="121">
        <f>100*Mitigation_Industry!P683</f>
        <v>44.288834045823563</v>
      </c>
      <c r="Q86" s="121">
        <f>100*Mitigation_Industry!Q683</f>
        <v>44.270244440986659</v>
      </c>
      <c r="R86" s="121">
        <f>100*Mitigation_Industry!R683</f>
        <v>44.252153123593246</v>
      </c>
      <c r="S86" s="121">
        <f>100*Mitigation_Industry!S683</f>
        <v>44.234554671045309</v>
      </c>
      <c r="T86" s="121">
        <f>100*Mitigation_Industry!T683</f>
        <v>44.217443563732914</v>
      </c>
      <c r="U86" s="121">
        <f>100*Mitigation_Industry!U683</f>
        <v>44.2008141835854</v>
      </c>
      <c r="V86" s="121">
        <f>100*Mitigation_Industry!V683</f>
        <v>44.184660812598779</v>
      </c>
      <c r="W86" s="121">
        <f>100*Mitigation_Industry!W683</f>
        <v>44.168977631339978</v>
      </c>
      <c r="X86" s="121">
        <f>100*Mitigation_Industry!X683</f>
        <v>44.153758717428722</v>
      </c>
      <c r="Y86" s="121">
        <f>100*Mitigation_Industry!Y683</f>
        <v>44.138998043997361</v>
      </c>
      <c r="Z86" s="121">
        <f>100*Mitigation_Industry!Z683</f>
        <v>44.12468947813008</v>
      </c>
      <c r="AA86" s="121">
        <f>100*Mitigation_Industry!AA683</f>
        <v>44.110826779281624</v>
      </c>
      <c r="AB86" s="121">
        <f>100*Mitigation_Industry!AB683</f>
        <v>44.097403597677044</v>
      </c>
      <c r="AC86" s="121">
        <f>100*Mitigation_Industry!AC683</f>
        <v>44.084413472692866</v>
      </c>
      <c r="AD86" s="121">
        <f>100*Mitigation_Industry!AD683</f>
        <v>44.071849831220909</v>
      </c>
      <c r="AE86" s="121">
        <f>100*Mitigation_Industry!AE683</f>
        <v>44.059705986015793</v>
      </c>
    </row>
    <row r="87" spans="2:35" x14ac:dyDescent="0.35">
      <c r="B87" s="115" t="s">
        <v>3549</v>
      </c>
      <c r="C87" s="115" t="s">
        <v>3537</v>
      </c>
      <c r="D87" s="115" t="s">
        <v>3550</v>
      </c>
      <c r="E87" s="115" t="s">
        <v>84</v>
      </c>
      <c r="H87" s="119" t="str">
        <f>Settings!$B$3&amp;".mit.t2.col.n"</f>
        <v>egy.mit.t2.col.n</v>
      </c>
      <c r="I87" s="115" t="s">
        <v>3551</v>
      </c>
      <c r="L87" s="121">
        <f>100*Mitigation_Industry!L685</f>
        <v>0</v>
      </c>
      <c r="M87" s="121">
        <f>100*Mitigation_Industry!M685</f>
        <v>0</v>
      </c>
      <c r="N87" s="121">
        <f>100*Mitigation_Industry!N685</f>
        <v>0</v>
      </c>
      <c r="O87" s="121">
        <f>100*Mitigation_Industry!O685</f>
        <v>0</v>
      </c>
      <c r="P87" s="121">
        <f>100*Mitigation_Industry!P685</f>
        <v>-1.1102230246251565E-14</v>
      </c>
      <c r="Q87" s="121">
        <f>100*Mitigation_Industry!Q685</f>
        <v>0</v>
      </c>
      <c r="R87" s="121">
        <f>100*Mitigation_Industry!R685</f>
        <v>2.2204460492503131E-14</v>
      </c>
      <c r="S87" s="121">
        <f>100*Mitigation_Industry!S685</f>
        <v>-1.1102230246251565E-14</v>
      </c>
      <c r="T87" s="121">
        <f>100*Mitigation_Industry!T685</f>
        <v>0</v>
      </c>
      <c r="U87" s="121">
        <f>100*Mitigation_Industry!U685</f>
        <v>0</v>
      </c>
      <c r="V87" s="121">
        <f>100*Mitigation_Industry!V685</f>
        <v>0</v>
      </c>
      <c r="W87" s="121">
        <f>100*Mitigation_Industry!W685</f>
        <v>0</v>
      </c>
      <c r="X87" s="121">
        <f>100*Mitigation_Industry!X685</f>
        <v>0</v>
      </c>
      <c r="Y87" s="121">
        <f>100*Mitigation_Industry!Y685</f>
        <v>0</v>
      </c>
      <c r="Z87" s="121">
        <f>100*Mitigation_Industry!Z685</f>
        <v>0</v>
      </c>
      <c r="AA87" s="121">
        <f>100*Mitigation_Industry!AA685</f>
        <v>0</v>
      </c>
      <c r="AB87" s="121">
        <f>100*Mitigation_Industry!AB685</f>
        <v>2.2204460492503131E-14</v>
      </c>
      <c r="AC87" s="121">
        <f>100*Mitigation_Industry!AC685</f>
        <v>0</v>
      </c>
      <c r="AD87" s="121">
        <f>100*Mitigation_Industry!AD685</f>
        <v>2.2204460492503131E-14</v>
      </c>
      <c r="AE87" s="121">
        <f>100*Mitigation_Industry!AE685</f>
        <v>0</v>
      </c>
    </row>
    <row r="88" spans="2:35" x14ac:dyDescent="0.35">
      <c r="B88" s="115" t="s">
        <v>3552</v>
      </c>
      <c r="C88" s="115" t="s">
        <v>3537</v>
      </c>
      <c r="D88" s="115" t="s">
        <v>3553</v>
      </c>
      <c r="E88" s="115" t="s">
        <v>84</v>
      </c>
      <c r="H88" s="119" t="str">
        <f>Settings!$B$3&amp;".mit.t2.col.o"</f>
        <v>egy.mit.t2.col.o</v>
      </c>
      <c r="I88" s="115" t="s">
        <v>3554</v>
      </c>
      <c r="L88" s="121">
        <f>100*Mitigation_Industry!L771</f>
        <v>0</v>
      </c>
      <c r="M88" s="121">
        <f>100*Mitigation_Industry!M771</f>
        <v>0</v>
      </c>
      <c r="N88" s="121">
        <f>100*Mitigation_Industry!N771</f>
        <v>0</v>
      </c>
      <c r="O88" s="121">
        <f>100*Mitigation_Industry!O771</f>
        <v>0</v>
      </c>
      <c r="P88" s="121">
        <f>100*Mitigation_Industry!P771</f>
        <v>-2.2204460492503131E-14</v>
      </c>
      <c r="Q88" s="121">
        <f>100*Mitigation_Industry!Q771</f>
        <v>-75.386771619452347</v>
      </c>
      <c r="R88" s="121">
        <f>100*Mitigation_Industry!R771</f>
        <v>-75.386771619452333</v>
      </c>
      <c r="S88" s="121">
        <f>100*Mitigation_Industry!S771</f>
        <v>-63.408719017979905</v>
      </c>
      <c r="T88" s="121">
        <f>100*Mitigation_Industry!T771</f>
        <v>-53.410854810573127</v>
      </c>
      <c r="U88" s="121">
        <f>100*Mitigation_Industry!U771</f>
        <v>-53.211410779092596</v>
      </c>
      <c r="V88" s="121">
        <f>100*Mitigation_Industry!V771</f>
        <v>-53.079804853557832</v>
      </c>
      <c r="W88" s="121">
        <f>100*Mitigation_Industry!W771</f>
        <v>-52.986456464515733</v>
      </c>
      <c r="X88" s="121">
        <f>100*Mitigation_Industry!X771</f>
        <v>-52.437567936948149</v>
      </c>
      <c r="Y88" s="121">
        <f>100*Mitigation_Industry!Y771</f>
        <v>-55.393861451477044</v>
      </c>
      <c r="Z88" s="121">
        <f>100*Mitigation_Industry!Z771</f>
        <v>-57.243443966823882</v>
      </c>
      <c r="AA88" s="121">
        <f>100*Mitigation_Industry!AA771</f>
        <v>-59.093026482170671</v>
      </c>
      <c r="AB88" s="121">
        <f>100*Mitigation_Industry!AB771</f>
        <v>-60.942608997517489</v>
      </c>
      <c r="AC88" s="121">
        <f>100*Mitigation_Industry!AC771</f>
        <v>-62.792191512864306</v>
      </c>
      <c r="AD88" s="121">
        <f>100*Mitigation_Industry!AD771</f>
        <v>-64.641774028211117</v>
      </c>
      <c r="AE88" s="121">
        <f>100*Mitigation_Industry!AE771</f>
        <v>-66.491356543557927</v>
      </c>
    </row>
    <row r="89" spans="2:35" x14ac:dyDescent="0.35">
      <c r="B89" s="115" t="s">
        <v>3555</v>
      </c>
      <c r="C89" s="115" t="s">
        <v>3537</v>
      </c>
      <c r="D89" s="115" t="s">
        <v>3556</v>
      </c>
      <c r="E89" s="115" t="s">
        <v>84</v>
      </c>
      <c r="H89" s="119" t="str">
        <f>Settings!$B$3&amp;".mit.t2.col.t"</f>
        <v>egy.mit.t2.col.t</v>
      </c>
      <c r="I89" s="115" t="s">
        <v>3557</v>
      </c>
      <c r="L89" s="121">
        <f>IF(L70=0,0,100*Mitigation_Industry!L727/L70)</f>
        <v>0</v>
      </c>
      <c r="M89" s="121">
        <f>IF(M70=0,0,100*Mitigation_Industry!M727/M70)</f>
        <v>0</v>
      </c>
      <c r="N89" s="121">
        <f>IF(N70=0,0,100*Mitigation_Industry!N727/N70)</f>
        <v>0</v>
      </c>
      <c r="O89" s="121">
        <f>IF(O70=0,0,100*Mitigation_Industry!O727/O70)</f>
        <v>0</v>
      </c>
      <c r="P89" s="121">
        <f>IF(P70=0,0,100*Mitigation_Industry!P727/P70)</f>
        <v>0</v>
      </c>
      <c r="Q89" s="121">
        <f>IF(Q70=0,0,100*Mitigation_Industry!Q727/Q70)</f>
        <v>0</v>
      </c>
      <c r="R89" s="121">
        <f>IF(R70=0,0,100*Mitigation_Industry!R727/R70)</f>
        <v>0</v>
      </c>
      <c r="S89" s="121">
        <f>IF(S70=0,0,100*Mitigation_Industry!S727/S70)</f>
        <v>0</v>
      </c>
      <c r="T89" s="121">
        <f>IF(T70=0,0,100*Mitigation_Industry!T727/T70)</f>
        <v>0</v>
      </c>
      <c r="U89" s="121">
        <f>IF(U70=0,0,100*Mitigation_Industry!U727/U70)</f>
        <v>0</v>
      </c>
      <c r="V89" s="121">
        <f>IF(V70=0,0,100*Mitigation_Industry!V727/V70)</f>
        <v>0</v>
      </c>
      <c r="W89" s="121">
        <f>IF(W70=0,0,100*Mitigation_Industry!W727/W70)</f>
        <v>0</v>
      </c>
      <c r="X89" s="121">
        <f>IF(X70=0,0,100*Mitigation_Industry!X727/X70)</f>
        <v>0</v>
      </c>
      <c r="Y89" s="121">
        <f>IF(Y70=0,0,100*Mitigation_Industry!Y727/Y70)</f>
        <v>0</v>
      </c>
      <c r="Z89" s="121">
        <f>IF(Z70=0,0,100*Mitigation_Industry!Z727/Z70)</f>
        <v>0</v>
      </c>
      <c r="AA89" s="121">
        <f>IF(AA70=0,0,100*Mitigation_Industry!AA727/AA70)</f>
        <v>0</v>
      </c>
      <c r="AB89" s="121">
        <f>IF(AB70=0,0,100*Mitigation_Industry!AB727/AB70)</f>
        <v>0</v>
      </c>
      <c r="AC89" s="121">
        <f>IF(AC70=0,0,100*Mitigation_Industry!AC727/AC70)</f>
        <v>0</v>
      </c>
      <c r="AD89" s="121">
        <f>IF(AD70=0,0,100*Mitigation_Industry!AD727/AD70)</f>
        <v>0</v>
      </c>
      <c r="AE89" s="121">
        <f>IF(AE70=0,0,100*Mitigation_Industry!AE727/AE70)</f>
        <v>0</v>
      </c>
    </row>
    <row r="90" spans="2:35" x14ac:dyDescent="0.35">
      <c r="B90" s="115" t="s">
        <v>3558</v>
      </c>
      <c r="C90" s="115" t="s">
        <v>3537</v>
      </c>
      <c r="D90" s="115" t="s">
        <v>3559</v>
      </c>
      <c r="E90" s="115" t="s">
        <v>84</v>
      </c>
      <c r="H90" s="119" t="str">
        <f>Settings!$B$3&amp;".mit.t2.col.u"</f>
        <v>egy.mit.t2.col.u</v>
      </c>
      <c r="I90" s="115" t="s">
        <v>3560</v>
      </c>
      <c r="L90" s="121">
        <f>100*Mitigation_Industry!L706</f>
        <v>0</v>
      </c>
      <c r="M90" s="121">
        <f>100*Mitigation_Industry!M706</f>
        <v>0</v>
      </c>
      <c r="N90" s="121">
        <f>100*Mitigation_Industry!N706</f>
        <v>0</v>
      </c>
      <c r="O90" s="121">
        <f>100*Mitigation_Industry!O706</f>
        <v>0</v>
      </c>
      <c r="P90" s="121">
        <f>100*Mitigation_Industry!P706</f>
        <v>0</v>
      </c>
      <c r="Q90" s="121">
        <f>100*Mitigation_Industry!Q706</f>
        <v>0</v>
      </c>
      <c r="R90" s="121">
        <f>100*Mitigation_Industry!R706</f>
        <v>0</v>
      </c>
      <c r="S90" s="121">
        <f>100*Mitigation_Industry!S706</f>
        <v>0</v>
      </c>
      <c r="T90" s="121">
        <f>100*Mitigation_Industry!T706</f>
        <v>0</v>
      </c>
      <c r="U90" s="121">
        <f>100*Mitigation_Industry!U706</f>
        <v>0</v>
      </c>
      <c r="V90" s="121">
        <f>100*Mitigation_Industry!V706</f>
        <v>0</v>
      </c>
      <c r="W90" s="121">
        <f>100*Mitigation_Industry!W706</f>
        <v>0</v>
      </c>
      <c r="X90" s="121">
        <f>100*Mitigation_Industry!X706</f>
        <v>0</v>
      </c>
      <c r="Y90" s="121">
        <f>100*Mitigation_Industry!Y706</f>
        <v>0</v>
      </c>
      <c r="Z90" s="121">
        <f>100*Mitigation_Industry!Z706</f>
        <v>0</v>
      </c>
      <c r="AA90" s="121">
        <f>100*Mitigation_Industry!AA706</f>
        <v>0</v>
      </c>
      <c r="AB90" s="121">
        <f>100*Mitigation_Industry!AB706</f>
        <v>0</v>
      </c>
      <c r="AC90" s="121">
        <f>100*Mitigation_Industry!AC706</f>
        <v>0</v>
      </c>
      <c r="AD90" s="121">
        <f>100*Mitigation_Industry!AD706</f>
        <v>0</v>
      </c>
      <c r="AE90" s="121">
        <f>100*Mitigation_Industry!AE706</f>
        <v>0</v>
      </c>
    </row>
    <row r="91" spans="2:35" x14ac:dyDescent="0.35">
      <c r="B91" s="115" t="s">
        <v>3561</v>
      </c>
      <c r="C91" s="115" t="s">
        <v>3537</v>
      </c>
      <c r="D91" s="115" t="s">
        <v>3666</v>
      </c>
      <c r="E91" s="115" t="s">
        <v>3408</v>
      </c>
      <c r="H91" s="119" t="str">
        <f>Settings!$B$3&amp;".mit.t2.col.pg"</f>
        <v>egy.mit.t2.col.pg</v>
      </c>
      <c r="L91" s="121">
        <f t="shared" ref="L91:AE91" si="18">IF($D$15="-",0,IF($D$16="All sectors",L47+L71*L72*L82/1000,L71*L72*(L60+L63+L64)/1000)+L73)</f>
        <v>0</v>
      </c>
      <c r="M91" s="121">
        <f t="shared" si="18"/>
        <v>0</v>
      </c>
      <c r="N91" s="121">
        <f t="shared" si="18"/>
        <v>0</v>
      </c>
      <c r="O91" s="121">
        <f t="shared" si="18"/>
        <v>0</v>
      </c>
      <c r="P91" s="121">
        <f t="shared" si="18"/>
        <v>0</v>
      </c>
      <c r="Q91" s="121">
        <f t="shared" si="18"/>
        <v>0</v>
      </c>
      <c r="R91" s="121">
        <f t="shared" si="18"/>
        <v>0</v>
      </c>
      <c r="S91" s="121">
        <f t="shared" si="18"/>
        <v>0</v>
      </c>
      <c r="T91" s="121">
        <f t="shared" si="18"/>
        <v>0</v>
      </c>
      <c r="U91" s="121">
        <f t="shared" si="18"/>
        <v>0</v>
      </c>
      <c r="V91" s="121">
        <f t="shared" si="18"/>
        <v>0</v>
      </c>
      <c r="W91" s="121">
        <f t="shared" si="18"/>
        <v>0</v>
      </c>
      <c r="X91" s="121">
        <f t="shared" si="18"/>
        <v>0</v>
      </c>
      <c r="Y91" s="121">
        <f t="shared" si="18"/>
        <v>0</v>
      </c>
      <c r="Z91" s="121">
        <f t="shared" si="18"/>
        <v>0</v>
      </c>
      <c r="AA91" s="121">
        <f t="shared" si="18"/>
        <v>0</v>
      </c>
      <c r="AB91" s="121">
        <f t="shared" si="18"/>
        <v>0</v>
      </c>
      <c r="AC91" s="121">
        <f t="shared" si="18"/>
        <v>0</v>
      </c>
      <c r="AD91" s="121">
        <f t="shared" si="18"/>
        <v>0</v>
      </c>
      <c r="AE91" s="121">
        <f t="shared" si="18"/>
        <v>0</v>
      </c>
    </row>
    <row r="92" spans="2:35" ht="13.9" x14ac:dyDescent="0.4">
      <c r="B92" s="124" t="s">
        <v>3561</v>
      </c>
      <c r="C92" s="124" t="s">
        <v>3537</v>
      </c>
      <c r="D92" s="124" t="s">
        <v>3562</v>
      </c>
      <c r="E92" s="124" t="s">
        <v>3408</v>
      </c>
      <c r="F92" s="124"/>
      <c r="G92" s="124"/>
      <c r="H92" s="145" t="str">
        <f>Settings!$B$3&amp;".mit.t2.col.p"</f>
        <v>egy.mit.t2.col.p</v>
      </c>
      <c r="I92" s="124"/>
      <c r="J92" s="124"/>
      <c r="K92" s="124"/>
      <c r="L92" s="146">
        <f t="shared" ref="L92:AE92" si="19">IF($D$15="-",0,L91-L74-L75)</f>
        <v>0</v>
      </c>
      <c r="M92" s="146">
        <f t="shared" si="19"/>
        <v>0</v>
      </c>
      <c r="N92" s="146">
        <f t="shared" si="19"/>
        <v>0</v>
      </c>
      <c r="O92" s="146">
        <f t="shared" si="19"/>
        <v>0</v>
      </c>
      <c r="P92" s="146">
        <f t="shared" si="19"/>
        <v>0</v>
      </c>
      <c r="Q92" s="146">
        <f t="shared" si="19"/>
        <v>0</v>
      </c>
      <c r="R92" s="146">
        <f t="shared" si="19"/>
        <v>0</v>
      </c>
      <c r="S92" s="146">
        <f t="shared" si="19"/>
        <v>0</v>
      </c>
      <c r="T92" s="146">
        <f t="shared" si="19"/>
        <v>0</v>
      </c>
      <c r="U92" s="146">
        <f t="shared" si="19"/>
        <v>0</v>
      </c>
      <c r="V92" s="146">
        <f t="shared" si="19"/>
        <v>0</v>
      </c>
      <c r="W92" s="146">
        <f t="shared" si="19"/>
        <v>0</v>
      </c>
      <c r="X92" s="146">
        <f t="shared" si="19"/>
        <v>0</v>
      </c>
      <c r="Y92" s="146">
        <f t="shared" si="19"/>
        <v>0</v>
      </c>
      <c r="Z92" s="146">
        <f t="shared" si="19"/>
        <v>0</v>
      </c>
      <c r="AA92" s="146">
        <f t="shared" si="19"/>
        <v>0</v>
      </c>
      <c r="AB92" s="146">
        <f t="shared" si="19"/>
        <v>0</v>
      </c>
      <c r="AC92" s="146">
        <f t="shared" si="19"/>
        <v>0</v>
      </c>
      <c r="AD92" s="146">
        <f t="shared" si="19"/>
        <v>0</v>
      </c>
      <c r="AE92" s="146">
        <f t="shared" si="19"/>
        <v>0</v>
      </c>
      <c r="AF92" s="124"/>
      <c r="AG92" s="124"/>
      <c r="AH92" s="124"/>
      <c r="AI92" s="124"/>
    </row>
    <row r="93" spans="2:35" x14ac:dyDescent="0.35">
      <c r="B93" s="115" t="s">
        <v>3563</v>
      </c>
      <c r="C93" s="115" t="s">
        <v>3537</v>
      </c>
      <c r="D93" s="115" t="s">
        <v>3564</v>
      </c>
      <c r="E93" s="115" t="s">
        <v>2068</v>
      </c>
      <c r="H93" s="119" t="str">
        <f>Settings!$B$3&amp;".mit.t2.col.denk"</f>
        <v>egy.mit.t2.col.denk</v>
      </c>
      <c r="L93" s="121">
        <f t="shared" ref="L93:AE93" si="20">IF($D$15="-",0,L51-L52+L65)</f>
        <v>0</v>
      </c>
      <c r="M93" s="121">
        <f t="shared" si="20"/>
        <v>0</v>
      </c>
      <c r="N93" s="121">
        <f t="shared" si="20"/>
        <v>0</v>
      </c>
      <c r="O93" s="121">
        <f t="shared" si="20"/>
        <v>0</v>
      </c>
      <c r="P93" s="121">
        <f t="shared" si="20"/>
        <v>0</v>
      </c>
      <c r="Q93" s="121">
        <f t="shared" si="20"/>
        <v>0</v>
      </c>
      <c r="R93" s="121">
        <f t="shared" si="20"/>
        <v>0</v>
      </c>
      <c r="S93" s="121">
        <f t="shared" si="20"/>
        <v>0</v>
      </c>
      <c r="T93" s="121">
        <f t="shared" si="20"/>
        <v>0</v>
      </c>
      <c r="U93" s="121">
        <f t="shared" si="20"/>
        <v>0</v>
      </c>
      <c r="V93" s="121">
        <f t="shared" si="20"/>
        <v>0</v>
      </c>
      <c r="W93" s="121">
        <f t="shared" si="20"/>
        <v>0</v>
      </c>
      <c r="X93" s="121">
        <f t="shared" si="20"/>
        <v>0</v>
      </c>
      <c r="Y93" s="121">
        <f t="shared" si="20"/>
        <v>0</v>
      </c>
      <c r="Z93" s="121">
        <f t="shared" si="20"/>
        <v>0</v>
      </c>
      <c r="AA93" s="121">
        <f t="shared" si="20"/>
        <v>0</v>
      </c>
      <c r="AB93" s="121">
        <f t="shared" si="20"/>
        <v>0</v>
      </c>
      <c r="AC93" s="121">
        <f t="shared" si="20"/>
        <v>0</v>
      </c>
      <c r="AD93" s="121">
        <f t="shared" si="20"/>
        <v>0</v>
      </c>
      <c r="AE93" s="121">
        <f t="shared" si="20"/>
        <v>0</v>
      </c>
    </row>
    <row r="94" spans="2:35" x14ac:dyDescent="0.35">
      <c r="B94" s="115" t="s">
        <v>3563</v>
      </c>
      <c r="C94" s="115" t="s">
        <v>3537</v>
      </c>
      <c r="D94" s="115" t="s">
        <v>3667</v>
      </c>
      <c r="E94" s="115" t="s">
        <v>3262</v>
      </c>
      <c r="H94" s="119" t="str">
        <f>Settings!$B$3&amp;".mit.t2.col.q"</f>
        <v>egy.mit.t2.col.q</v>
      </c>
      <c r="L94" s="121">
        <f t="shared" ref="L94:AE94" si="21">IF(L51+(1/L54-1)*L52=0,0,L48/L54*L93/(L51+(1/L54-1)*L52))</f>
        <v>0</v>
      </c>
      <c r="M94" s="121">
        <f t="shared" si="21"/>
        <v>0</v>
      </c>
      <c r="N94" s="121">
        <f t="shared" si="21"/>
        <v>0</v>
      </c>
      <c r="O94" s="121">
        <f t="shared" si="21"/>
        <v>0</v>
      </c>
      <c r="P94" s="121">
        <f t="shared" si="21"/>
        <v>0</v>
      </c>
      <c r="Q94" s="121">
        <f t="shared" si="21"/>
        <v>0</v>
      </c>
      <c r="R94" s="121">
        <f t="shared" si="21"/>
        <v>0</v>
      </c>
      <c r="S94" s="121">
        <f t="shared" si="21"/>
        <v>0</v>
      </c>
      <c r="T94" s="121">
        <f t="shared" si="21"/>
        <v>0</v>
      </c>
      <c r="U94" s="121">
        <f t="shared" si="21"/>
        <v>0</v>
      </c>
      <c r="V94" s="121">
        <f t="shared" si="21"/>
        <v>0</v>
      </c>
      <c r="W94" s="121">
        <f t="shared" si="21"/>
        <v>0</v>
      </c>
      <c r="X94" s="121">
        <f t="shared" si="21"/>
        <v>0</v>
      </c>
      <c r="Y94" s="121">
        <f t="shared" si="21"/>
        <v>0</v>
      </c>
      <c r="Z94" s="121">
        <f t="shared" si="21"/>
        <v>0</v>
      </c>
      <c r="AA94" s="121">
        <f t="shared" si="21"/>
        <v>0</v>
      </c>
      <c r="AB94" s="121">
        <f t="shared" si="21"/>
        <v>0</v>
      </c>
      <c r="AC94" s="121">
        <f t="shared" si="21"/>
        <v>0</v>
      </c>
      <c r="AD94" s="121">
        <f t="shared" si="21"/>
        <v>0</v>
      </c>
      <c r="AE94" s="121">
        <f t="shared" si="21"/>
        <v>0</v>
      </c>
    </row>
    <row r="95" spans="2:35" x14ac:dyDescent="0.35">
      <c r="B95" s="115" t="s">
        <v>3565</v>
      </c>
      <c r="C95" s="115" t="s">
        <v>3537</v>
      </c>
      <c r="D95" s="115" t="s">
        <v>3566</v>
      </c>
      <c r="E95" s="115" t="s">
        <v>84</v>
      </c>
      <c r="H95" s="119" t="str">
        <f>Settings!$B$3&amp;".mit.t2.col.r"</f>
        <v>egy.mit.t2.col.r</v>
      </c>
      <c r="L95" s="121">
        <f t="shared" ref="L95:AE95" si="22">IF(L46=0,0,100*L94/L46)</f>
        <v>0</v>
      </c>
      <c r="M95" s="121">
        <f t="shared" si="22"/>
        <v>0</v>
      </c>
      <c r="N95" s="121">
        <f t="shared" si="22"/>
        <v>0</v>
      </c>
      <c r="O95" s="121">
        <f t="shared" si="22"/>
        <v>0</v>
      </c>
      <c r="P95" s="121">
        <f t="shared" si="22"/>
        <v>0</v>
      </c>
      <c r="Q95" s="121">
        <f t="shared" si="22"/>
        <v>0</v>
      </c>
      <c r="R95" s="121">
        <f t="shared" si="22"/>
        <v>0</v>
      </c>
      <c r="S95" s="121">
        <f t="shared" si="22"/>
        <v>0</v>
      </c>
      <c r="T95" s="121">
        <f t="shared" si="22"/>
        <v>0</v>
      </c>
      <c r="U95" s="121">
        <f t="shared" si="22"/>
        <v>0</v>
      </c>
      <c r="V95" s="121">
        <f t="shared" si="22"/>
        <v>0</v>
      </c>
      <c r="W95" s="121">
        <f t="shared" si="22"/>
        <v>0</v>
      </c>
      <c r="X95" s="121">
        <f t="shared" si="22"/>
        <v>0</v>
      </c>
      <c r="Y95" s="121">
        <f t="shared" si="22"/>
        <v>0</v>
      </c>
      <c r="Z95" s="121">
        <f t="shared" si="22"/>
        <v>0</v>
      </c>
      <c r="AA95" s="121">
        <f t="shared" si="22"/>
        <v>0</v>
      </c>
      <c r="AB95" s="121">
        <f t="shared" si="22"/>
        <v>0</v>
      </c>
      <c r="AC95" s="121">
        <f t="shared" si="22"/>
        <v>0</v>
      </c>
      <c r="AD95" s="121">
        <f t="shared" si="22"/>
        <v>0</v>
      </c>
      <c r="AE95" s="121">
        <f t="shared" si="22"/>
        <v>0</v>
      </c>
    </row>
    <row r="96" spans="2:35" x14ac:dyDescent="0.35">
      <c r="B96" s="115" t="s">
        <v>3567</v>
      </c>
      <c r="C96" s="115" t="s">
        <v>3537</v>
      </c>
      <c r="D96" s="115" t="s">
        <v>3668</v>
      </c>
      <c r="E96" s="115" t="s">
        <v>3408</v>
      </c>
      <c r="H96" s="119" t="str">
        <f>Settings!$B$3&amp;".mit.t2.col.ar"</f>
        <v>egy.mit.t2.col.ar</v>
      </c>
      <c r="I96" s="115" t="s">
        <v>3568</v>
      </c>
      <c r="L96" s="121">
        <f t="shared" ref="L96:AE96" si="23">IF($D$15="-",0,L53-L47/L54+L92)</f>
        <v>0</v>
      </c>
      <c r="M96" s="121">
        <f t="shared" si="23"/>
        <v>0</v>
      </c>
      <c r="N96" s="121">
        <f t="shared" si="23"/>
        <v>0</v>
      </c>
      <c r="O96" s="121">
        <f t="shared" si="23"/>
        <v>0</v>
      </c>
      <c r="P96" s="121">
        <f t="shared" si="23"/>
        <v>0</v>
      </c>
      <c r="Q96" s="121">
        <f t="shared" si="23"/>
        <v>0</v>
      </c>
      <c r="R96" s="121">
        <f t="shared" si="23"/>
        <v>0</v>
      </c>
      <c r="S96" s="121">
        <f t="shared" si="23"/>
        <v>0</v>
      </c>
      <c r="T96" s="121">
        <f t="shared" si="23"/>
        <v>0</v>
      </c>
      <c r="U96" s="121">
        <f t="shared" si="23"/>
        <v>0</v>
      </c>
      <c r="V96" s="121">
        <f t="shared" si="23"/>
        <v>0</v>
      </c>
      <c r="W96" s="121">
        <f t="shared" si="23"/>
        <v>0</v>
      </c>
      <c r="X96" s="121">
        <f t="shared" si="23"/>
        <v>0</v>
      </c>
      <c r="Y96" s="121">
        <f t="shared" si="23"/>
        <v>0</v>
      </c>
      <c r="Z96" s="121">
        <f t="shared" si="23"/>
        <v>0</v>
      </c>
      <c r="AA96" s="121">
        <f t="shared" si="23"/>
        <v>0</v>
      </c>
      <c r="AB96" s="121">
        <f t="shared" si="23"/>
        <v>0</v>
      </c>
      <c r="AC96" s="121">
        <f t="shared" si="23"/>
        <v>0</v>
      </c>
      <c r="AD96" s="121">
        <f t="shared" si="23"/>
        <v>0</v>
      </c>
      <c r="AE96" s="121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3" t="s">
        <v>1726</v>
      </c>
      <c r="C101" s="154" t="s">
        <v>3464</v>
      </c>
      <c r="D101" s="153" t="s">
        <v>3469</v>
      </c>
      <c r="E101" s="154" t="s">
        <v>1735</v>
      </c>
      <c r="F101" s="154" t="s">
        <v>3570</v>
      </c>
      <c r="G101" s="154" t="s">
        <v>3571</v>
      </c>
      <c r="H101" s="155" t="s">
        <v>3572</v>
      </c>
      <c r="I101" s="153" t="s">
        <v>3573</v>
      </c>
      <c r="J101" s="156" t="s">
        <v>3574</v>
      </c>
      <c r="K101" s="153" t="s">
        <v>3575</v>
      </c>
      <c r="L101" s="157" t="s">
        <v>3576</v>
      </c>
      <c r="M101" s="153" t="s">
        <v>3577</v>
      </c>
      <c r="N101" s="153" t="s">
        <v>3578</v>
      </c>
      <c r="O101" s="153" t="s">
        <v>3579</v>
      </c>
      <c r="P101" s="153" t="s">
        <v>3580</v>
      </c>
      <c r="Q101" s="153" t="s">
        <v>3581</v>
      </c>
      <c r="R101" s="153" t="s">
        <v>3675</v>
      </c>
      <c r="S101" s="153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5" t="s">
        <v>3583</v>
      </c>
      <c r="B102" s="124" t="str">
        <f>$D$14</f>
        <v>LEGACY</v>
      </c>
      <c r="C102" s="124" t="str">
        <f>$D$15</f>
        <v>-</v>
      </c>
      <c r="D102" s="124" t="str">
        <f>$D$16</f>
        <v>All sectors</v>
      </c>
      <c r="E102" s="124" t="str">
        <f>$D$18</f>
        <v>CPAT default</v>
      </c>
      <c r="F102" s="159">
        <f>INDEX($L$84:$AE$84,MATCH($D$19,$L$80:$AE$80,0))</f>
        <v>0</v>
      </c>
      <c r="G102" s="160">
        <f>INDEX($L$83:$AE$83,MATCH($D$19,$L$80:$AE$80,0))</f>
        <v>0</v>
      </c>
      <c r="H102" s="160">
        <f>INDEX($L$85:$AE$85,MATCH($D$19,$L$80:$AE$80,0))</f>
        <v>0</v>
      </c>
      <c r="I102" s="159">
        <f>INDEX($L$86:$AE$86,MATCH($D$19,$L$80:$AE$80,0))</f>
        <v>44.217443563732914</v>
      </c>
      <c r="J102" s="159">
        <f>INDEX($L$87:$AE$87,MATCH($D$19,$L$80:$AE$80,0))</f>
        <v>0</v>
      </c>
      <c r="K102" s="159">
        <f>INDEX($L$88:$AE$88,MATCH($D$19,$L$80:$AE$80,0))</f>
        <v>-53.410854810573127</v>
      </c>
      <c r="L102" s="160">
        <f>INDEX($L$92:$AE$92,MATCH($D$19,$L$80:$AE$80,0))</f>
        <v>0</v>
      </c>
      <c r="M102" s="161">
        <f>INDEX($L$94:$AE$94,MATCH($D$19,$L$80:$AE$80,0))</f>
        <v>0</v>
      </c>
      <c r="N102" s="160">
        <f>INDEX($L$95:$AE$95,MATCH($D$19,$L$80:$AE$80,0))</f>
        <v>0</v>
      </c>
      <c r="O102" s="159">
        <f>INDEX($L$89:$AE$89,MATCH($D$19,$L$80:$AE$80,0))</f>
        <v>0</v>
      </c>
      <c r="P102" s="159">
        <f>INDEX($L$90:$AE$90,MATCH($D$19,$L$80:$AE$80,0))</f>
        <v>0</v>
      </c>
      <c r="Q102" s="160">
        <f>INDEX($L$96:$AE$96,MATCH($D$19,$L$80:$AE$80,0))</f>
        <v>0</v>
      </c>
    </row>
    <row r="103" spans="1:35" x14ac:dyDescent="0.35">
      <c r="A103" s="115" t="s">
        <v>3584</v>
      </c>
      <c r="B103" s="115" t="s">
        <v>1741</v>
      </c>
      <c r="C103" s="117" t="s">
        <v>3260</v>
      </c>
      <c r="D103" s="117" t="s">
        <v>1740</v>
      </c>
      <c r="E103" s="117" t="s">
        <v>1743</v>
      </c>
      <c r="F103" s="162">
        <v>63.195774412258828</v>
      </c>
      <c r="G103" s="163">
        <v>-29.002049379749582</v>
      </c>
      <c r="H103" s="163">
        <v>-4.8812179595509573</v>
      </c>
      <c r="I103" s="162">
        <v>100</v>
      </c>
      <c r="J103" s="162">
        <v>-3.6267135628823777</v>
      </c>
      <c r="K103" s="162">
        <v>-42.92340738622439</v>
      </c>
      <c r="L103" s="163">
        <v>6.8869437409925442</v>
      </c>
      <c r="M103" s="164">
        <v>1421.0224808035136</v>
      </c>
      <c r="N103" s="163">
        <v>1.7193046433842465</v>
      </c>
      <c r="O103" s="162">
        <v>-9.5246603990637944</v>
      </c>
      <c r="P103" s="162">
        <v>-6.1198980072447178</v>
      </c>
      <c r="Q103" s="163">
        <v>11.086943740992544</v>
      </c>
      <c r="R103" s="117">
        <v>-31.35</v>
      </c>
      <c r="S103" s="158">
        <f t="shared" ref="S103:S108" si="24">G103-R103</f>
        <v>2.347950620250419</v>
      </c>
    </row>
    <row r="104" spans="1:35" x14ac:dyDescent="0.35">
      <c r="A104" s="115" t="s">
        <v>3584</v>
      </c>
      <c r="B104" s="115" t="s">
        <v>1744</v>
      </c>
      <c r="C104" s="117" t="s">
        <v>3260</v>
      </c>
      <c r="D104" s="117" t="s">
        <v>1740</v>
      </c>
      <c r="E104" s="117" t="s">
        <v>1743</v>
      </c>
      <c r="F104" s="162">
        <v>57.335110644342571</v>
      </c>
      <c r="G104" s="163">
        <v>-25.47248111524333</v>
      </c>
      <c r="H104" s="163">
        <v>-4.287170560466163</v>
      </c>
      <c r="I104" s="162">
        <v>44.212685103625091</v>
      </c>
      <c r="J104" s="162">
        <v>-1.1102230246251565E-14</v>
      </c>
      <c r="K104" s="162">
        <v>-21.623739355442527</v>
      </c>
      <c r="L104" s="163">
        <v>6.2790459619144041</v>
      </c>
      <c r="M104" s="164">
        <v>1420.861570378564</v>
      </c>
      <c r="N104" s="163">
        <v>1.7191099567803947</v>
      </c>
      <c r="O104" s="162">
        <v>-2.5843866899953705</v>
      </c>
      <c r="P104" s="162">
        <v>-2.5843866899953705</v>
      </c>
      <c r="Q104" s="163">
        <v>10.479045961914403</v>
      </c>
      <c r="R104" s="117">
        <v>-27.82</v>
      </c>
      <c r="S104" s="158">
        <f t="shared" si="24"/>
        <v>2.3475188847566706</v>
      </c>
    </row>
    <row r="105" spans="1:35" x14ac:dyDescent="0.35">
      <c r="A105" s="115" t="s">
        <v>3584</v>
      </c>
      <c r="B105" s="115" t="s">
        <v>1746</v>
      </c>
      <c r="C105" s="117" t="s">
        <v>3266</v>
      </c>
      <c r="D105" s="117" t="s">
        <v>1740</v>
      </c>
      <c r="E105" s="117" t="s">
        <v>1748</v>
      </c>
      <c r="F105" s="162">
        <v>57.335110644342571</v>
      </c>
      <c r="G105" s="163">
        <v>-26.706387630119149</v>
      </c>
      <c r="H105" s="163">
        <v>-4.4948443893723447</v>
      </c>
      <c r="I105" s="162">
        <v>44.212685103625091</v>
      </c>
      <c r="J105" s="162">
        <v>-1.1102230246251565E-14</v>
      </c>
      <c r="K105" s="162">
        <v>-21.623739355442527</v>
      </c>
      <c r="L105" s="163">
        <v>6.2447078316168874</v>
      </c>
      <c r="M105" s="164">
        <v>1473.1517241594549</v>
      </c>
      <c r="N105" s="163">
        <v>1.7823761650306167</v>
      </c>
      <c r="O105" s="162">
        <v>-2.5843866899953705</v>
      </c>
      <c r="P105" s="162">
        <v>-2.5843866899953705</v>
      </c>
      <c r="Q105" s="163">
        <v>10.674707831616885</v>
      </c>
      <c r="R105" s="117">
        <v>-29.34</v>
      </c>
      <c r="S105" s="158">
        <f t="shared" si="24"/>
        <v>2.6336123698808507</v>
      </c>
    </row>
    <row r="106" spans="1:35" x14ac:dyDescent="0.35">
      <c r="A106" s="115" t="s">
        <v>3584</v>
      </c>
      <c r="B106" s="115" t="s">
        <v>1749</v>
      </c>
      <c r="C106" s="117" t="s">
        <v>3269</v>
      </c>
      <c r="D106" s="117" t="s">
        <v>1751</v>
      </c>
      <c r="E106" s="117" t="s">
        <v>1748</v>
      </c>
      <c r="F106" s="162">
        <v>18.548286137026885</v>
      </c>
      <c r="G106" s="163">
        <v>-21.128593456322697</v>
      </c>
      <c r="H106" s="163">
        <v>-3.5560683484341986</v>
      </c>
      <c r="I106" s="162">
        <v>100</v>
      </c>
      <c r="J106" s="162">
        <v>-3.6267135628823777</v>
      </c>
      <c r="K106" s="162">
        <v>-42.92340738622439</v>
      </c>
      <c r="L106" s="163">
        <v>1.8782382507293389</v>
      </c>
      <c r="M106" s="164">
        <v>816.35690253982591</v>
      </c>
      <c r="N106" s="163">
        <v>0.98771569919278168</v>
      </c>
      <c r="O106" s="162">
        <v>-9.5246603990637944</v>
      </c>
      <c r="P106" s="162">
        <v>-6.1198980072447178</v>
      </c>
      <c r="Q106" s="163">
        <v>2.8375947175689644</v>
      </c>
      <c r="R106" s="117">
        <v>-25.07</v>
      </c>
      <c r="S106" s="158">
        <f t="shared" si="24"/>
        <v>3.9414065436773029</v>
      </c>
    </row>
    <row r="107" spans="1:35" x14ac:dyDescent="0.35">
      <c r="A107" s="115" t="s">
        <v>3584</v>
      </c>
      <c r="B107" s="115" t="s">
        <v>1752</v>
      </c>
      <c r="C107" s="117" t="s">
        <v>3269</v>
      </c>
      <c r="D107" s="117" t="s">
        <v>1751</v>
      </c>
      <c r="E107" s="117" t="s">
        <v>1754</v>
      </c>
      <c r="F107" s="162">
        <v>18.548286137026885</v>
      </c>
      <c r="G107" s="163">
        <v>-17.448010060389201</v>
      </c>
      <c r="H107" s="163">
        <v>-2.9366042016556602</v>
      </c>
      <c r="I107" s="162">
        <v>100</v>
      </c>
      <c r="J107" s="162">
        <v>-3.6456080040097483</v>
      </c>
      <c r="K107" s="162">
        <v>-2.8696581835748636</v>
      </c>
      <c r="L107" s="163">
        <v>0.98459223811734098</v>
      </c>
      <c r="M107" s="164">
        <v>745.87967521003213</v>
      </c>
      <c r="N107" s="163">
        <v>0.9024448285078609</v>
      </c>
      <c r="O107" s="162">
        <v>-3.6456080040097518</v>
      </c>
      <c r="P107" s="162">
        <v>0</v>
      </c>
      <c r="Q107" s="163">
        <v>1.9439487049569664</v>
      </c>
      <c r="R107" s="117">
        <v>-19.63</v>
      </c>
      <c r="S107" s="158">
        <f t="shared" si="24"/>
        <v>2.1819899396107978</v>
      </c>
    </row>
    <row r="108" spans="1:35" x14ac:dyDescent="0.35">
      <c r="A108" s="115" t="s">
        <v>3584</v>
      </c>
      <c r="B108" s="115" t="s">
        <v>1755</v>
      </c>
      <c r="C108" s="117" t="s">
        <v>3269</v>
      </c>
      <c r="D108" s="117" t="s">
        <v>1751</v>
      </c>
      <c r="E108" s="117" t="s">
        <v>1757</v>
      </c>
      <c r="F108" s="162">
        <v>18.548286137026885</v>
      </c>
      <c r="G108" s="163">
        <v>-32.883228353745039</v>
      </c>
      <c r="H108" s="163">
        <v>-5.5344435390276363</v>
      </c>
      <c r="I108" s="162">
        <v>100</v>
      </c>
      <c r="J108" s="162">
        <v>-21.115083156891799</v>
      </c>
      <c r="K108" s="162">
        <v>-51.925392087974572</v>
      </c>
      <c r="L108" s="163">
        <v>0.72663167124820072</v>
      </c>
      <c r="M108" s="164">
        <v>984.8812130495653</v>
      </c>
      <c r="N108" s="163">
        <v>1.1916143943201718</v>
      </c>
      <c r="O108" s="162">
        <v>-25.942759610789842</v>
      </c>
      <c r="P108" s="162">
        <v>-6.1198980072447178</v>
      </c>
      <c r="Q108" s="163">
        <v>1.6859881380878261</v>
      </c>
      <c r="R108" s="117">
        <v>-30.6</v>
      </c>
      <c r="S108" s="158">
        <f t="shared" si="24"/>
        <v>-2.283228353745038</v>
      </c>
    </row>
    <row r="110" spans="1:35" x14ac:dyDescent="0.35">
      <c r="B110" s="115" t="s">
        <v>3688</v>
      </c>
    </row>
    <row r="112" spans="1:35" ht="13.9" x14ac:dyDescent="0.4">
      <c r="B112" s="124" t="s">
        <v>3791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0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7" t="s">
        <v>3689</v>
      </c>
    </row>
    <row r="2" spans="2:8" x14ac:dyDescent="0.45">
      <c r="B2" t="s">
        <v>3690</v>
      </c>
    </row>
    <row r="3" spans="2:8" x14ac:dyDescent="0.45">
      <c r="B3" t="s">
        <v>3691</v>
      </c>
    </row>
    <row r="5" spans="2:8" x14ac:dyDescent="0.45">
      <c r="B5" s="52" t="s">
        <v>3692</v>
      </c>
    </row>
    <row r="6" spans="2:8" x14ac:dyDescent="0.45">
      <c r="B6" t="s">
        <v>3468</v>
      </c>
      <c r="D6" s="168" t="str">
        <f>Table2_Industry!$D$14</f>
        <v>LEGACY</v>
      </c>
      <c r="E6" s="174"/>
      <c r="G6" s="52" t="s">
        <v>1726</v>
      </c>
      <c r="H6" s="52" t="s">
        <v>3715</v>
      </c>
    </row>
    <row r="7" spans="2:8" x14ac:dyDescent="0.45">
      <c r="B7" t="s">
        <v>3464</v>
      </c>
      <c r="D7" s="168" t="str">
        <f>Table2_Industry!$D$15</f>
        <v>-</v>
      </c>
      <c r="E7" s="174" t="s">
        <v>3693</v>
      </c>
      <c r="G7" t="s">
        <v>1741</v>
      </c>
      <c r="H7" s="43">
        <v>-22.3</v>
      </c>
    </row>
    <row r="8" spans="2:8" x14ac:dyDescent="0.45">
      <c r="B8" t="s">
        <v>3469</v>
      </c>
      <c r="D8" s="168" t="str">
        <f>Table2_Industry!$D$16</f>
        <v>All sectors</v>
      </c>
      <c r="E8" s="174"/>
      <c r="G8" t="s">
        <v>1744</v>
      </c>
      <c r="H8" s="43">
        <v>-10.5</v>
      </c>
    </row>
    <row r="9" spans="2:8" x14ac:dyDescent="0.45">
      <c r="B9" t="s">
        <v>3694</v>
      </c>
      <c r="D9" s="134">
        <f>Table2_Industry!$D$17</f>
        <v>0</v>
      </c>
      <c r="E9" s="174"/>
      <c r="G9" t="s">
        <v>1746</v>
      </c>
      <c r="H9" s="43">
        <v>-10.5</v>
      </c>
    </row>
    <row r="10" spans="2:8" x14ac:dyDescent="0.45">
      <c r="B10" t="s">
        <v>1735</v>
      </c>
      <c r="D10" s="168" t="str">
        <f>Table2_Industry!$D$18</f>
        <v>CPAT default</v>
      </c>
      <c r="E10" s="174"/>
      <c r="G10" t="s">
        <v>1749</v>
      </c>
      <c r="H10" s="43">
        <v>-22.3</v>
      </c>
    </row>
    <row r="11" spans="2:8" x14ac:dyDescent="0.45">
      <c r="B11" t="s">
        <v>3695</v>
      </c>
      <c r="D11" s="134">
        <f>IF(ISNUMBER(SEARCH("output-based",D10)),1,0)</f>
        <v>0</v>
      </c>
      <c r="E11" s="174" t="s">
        <v>3696</v>
      </c>
      <c r="G11" t="s">
        <v>1752</v>
      </c>
      <c r="H11" s="43">
        <v>-2.9</v>
      </c>
    </row>
    <row r="12" spans="2:8" x14ac:dyDescent="0.45">
      <c r="B12" t="s">
        <v>3697</v>
      </c>
      <c r="C12" t="s">
        <v>1852</v>
      </c>
      <c r="D12" s="148">
        <f>Table2_Industry!$T$25</f>
        <v>0</v>
      </c>
      <c r="E12" s="174"/>
      <c r="G12" t="s">
        <v>1755</v>
      </c>
      <c r="H12" s="43">
        <v>-34.6</v>
      </c>
    </row>
    <row r="13" spans="2:8" x14ac:dyDescent="0.45">
      <c r="B13" t="s">
        <v>3698</v>
      </c>
      <c r="C13" t="s">
        <v>2068</v>
      </c>
      <c r="D13" s="148">
        <f>Table2_Industry!$T$29</f>
        <v>0</v>
      </c>
      <c r="E13" s="174"/>
    </row>
    <row r="14" spans="2:8" x14ac:dyDescent="0.45">
      <c r="B14" t="s">
        <v>3699</v>
      </c>
      <c r="C14" t="s">
        <v>2068</v>
      </c>
      <c r="D14" s="148">
        <f>Table2_Industry!$T$31</f>
        <v>0</v>
      </c>
      <c r="E14" s="174"/>
    </row>
    <row r="15" spans="2:8" x14ac:dyDescent="0.45">
      <c r="B15" t="s">
        <v>3700</v>
      </c>
      <c r="C15" t="s">
        <v>2068</v>
      </c>
      <c r="D15" s="148">
        <f>Table2_Industry!$T$32</f>
        <v>0</v>
      </c>
      <c r="E15" s="174"/>
    </row>
    <row r="16" spans="2:8" x14ac:dyDescent="0.45">
      <c r="B16" t="s">
        <v>3701</v>
      </c>
      <c r="C16" t="s">
        <v>79</v>
      </c>
      <c r="D16" s="148">
        <f>Table2_Industry!$T$54</f>
        <v>1</v>
      </c>
      <c r="E16" s="174"/>
    </row>
    <row r="17" spans="2:5" x14ac:dyDescent="0.45">
      <c r="B17" t="s">
        <v>3702</v>
      </c>
      <c r="C17" t="s">
        <v>16</v>
      </c>
      <c r="D17" s="148">
        <f>Table2_Industry!$T$71</f>
        <v>50</v>
      </c>
      <c r="E17" s="174"/>
    </row>
    <row r="18" spans="2:5" x14ac:dyDescent="0.45">
      <c r="B18" t="s">
        <v>2003</v>
      </c>
      <c r="C18" t="s">
        <v>16</v>
      </c>
      <c r="D18" s="148">
        <f>'Manual inputs'!$T$79</f>
        <v>100</v>
      </c>
      <c r="E18" s="174"/>
    </row>
    <row r="19" spans="2:5" x14ac:dyDescent="0.45">
      <c r="B19" t="s">
        <v>3703</v>
      </c>
      <c r="C19" t="s">
        <v>79</v>
      </c>
      <c r="D19" s="148">
        <f>'Manual inputs'!$T$81</f>
        <v>0.48499999999999999</v>
      </c>
      <c r="E19" s="174"/>
    </row>
    <row r="20" spans="2:5" x14ac:dyDescent="0.45">
      <c r="B20" t="s">
        <v>3704</v>
      </c>
      <c r="C20" t="s">
        <v>79</v>
      </c>
      <c r="D20" s="169">
        <f>1/3</f>
        <v>0.33333333333333331</v>
      </c>
      <c r="E20" s="174" t="s">
        <v>3705</v>
      </c>
    </row>
    <row r="21" spans="2:5" x14ac:dyDescent="0.45">
      <c r="B21" t="s">
        <v>3706</v>
      </c>
      <c r="D21" s="168" t="str">
        <f>IF(D7="EG3","EG1",D7)</f>
        <v>-</v>
      </c>
      <c r="E21" s="174" t="s">
        <v>3707</v>
      </c>
    </row>
    <row r="22" spans="2:5" x14ac:dyDescent="0.45">
      <c r="B22" t="s">
        <v>3708</v>
      </c>
      <c r="C22" t="s">
        <v>2068</v>
      </c>
      <c r="D22" s="148" t="e">
        <f>INDEX(CPAT_National!$T$6:$T$133,MATCH(Table2_Industry!$G$31&amp;"|"&amp;D21,CPAT_National!$B$6:$B$133,0))</f>
        <v>#N/A</v>
      </c>
      <c r="E22" s="174"/>
    </row>
    <row r="23" spans="2:5" x14ac:dyDescent="0.45">
      <c r="B23" t="s">
        <v>3709</v>
      </c>
      <c r="C23" t="s">
        <v>2068</v>
      </c>
      <c r="D23" s="148" t="e">
        <f>INDEX(CPAT_National!$T$6:$T$133,MATCH(Table2_Industry!$G$32&amp;"|"&amp;D21,CPAT_National!$B$6:$B$133,0))</f>
        <v>#N/A</v>
      </c>
      <c r="E23" s="174"/>
    </row>
    <row r="24" spans="2:5" x14ac:dyDescent="0.45">
      <c r="B24" t="s">
        <v>3710</v>
      </c>
      <c r="C24" t="s">
        <v>87</v>
      </c>
      <c r="D24" s="148">
        <f>Emissions_Industry!$T$15/Emissions_Industry!$N$15</f>
        <v>1.2635446530457402</v>
      </c>
      <c r="E24" s="174"/>
    </row>
    <row r="25" spans="2:5" x14ac:dyDescent="0.45">
      <c r="B25" t="s">
        <v>3711</v>
      </c>
      <c r="C25" t="s">
        <v>87</v>
      </c>
      <c r="D25" s="148">
        <f>Emissions_Industry!$T$27/Emissions_Industry!$N$27</f>
        <v>1.2161641007698121</v>
      </c>
      <c r="E25" s="174"/>
    </row>
    <row r="26" spans="2:5" x14ac:dyDescent="0.45">
      <c r="B26" t="s">
        <v>3712</v>
      </c>
      <c r="C26" t="s">
        <v>87</v>
      </c>
      <c r="D26" s="148">
        <f>IPPU_Industry!$T$11/IPPU_Industry!$N$11</f>
        <v>1.3188619066129268</v>
      </c>
      <c r="E26" s="174" t="s">
        <v>3713</v>
      </c>
    </row>
    <row r="27" spans="2:5" x14ac:dyDescent="0.45">
      <c r="B27" t="s">
        <v>3714</v>
      </c>
      <c r="C27" t="s">
        <v>84</v>
      </c>
      <c r="D27" s="148" t="e">
        <f>INDEX($H$7:$H$12,MATCH(D6,$G$7:$G$12,0))</f>
        <v>#N/A</v>
      </c>
      <c r="E27" s="174"/>
    </row>
    <row r="28" spans="2:5" x14ac:dyDescent="0.45">
      <c r="E28" s="174"/>
    </row>
    <row r="29" spans="2:5" x14ac:dyDescent="0.45">
      <c r="B29" s="52" t="s">
        <v>3716</v>
      </c>
      <c r="E29" s="174"/>
    </row>
    <row r="30" spans="2:5" x14ac:dyDescent="0.45">
      <c r="B30" t="s">
        <v>3717</v>
      </c>
      <c r="C30" t="s">
        <v>79</v>
      </c>
      <c r="D30" s="19" t="e">
        <f>D15/D14-1</f>
        <v>#DIV/0!</v>
      </c>
      <c r="E30" s="174" t="s">
        <v>3718</v>
      </c>
    </row>
    <row r="31" spans="2:5" x14ac:dyDescent="0.45">
      <c r="B31" t="s">
        <v>3719</v>
      </c>
      <c r="C31" t="s">
        <v>79</v>
      </c>
      <c r="D31" s="19" t="e">
        <f>(D23/D22)^D20-1</f>
        <v>#N/A</v>
      </c>
      <c r="E31" s="174"/>
    </row>
    <row r="32" spans="2:5" x14ac:dyDescent="0.45">
      <c r="B32" t="s">
        <v>3720</v>
      </c>
      <c r="C32" t="s">
        <v>79</v>
      </c>
      <c r="D32" s="19">
        <f>IF(D11=1,1,(D19*D18-D17)/(D19*D18))</f>
        <v>-3.0927835051546393E-2</v>
      </c>
      <c r="E32" s="174"/>
    </row>
    <row r="33" spans="2:23" x14ac:dyDescent="0.45">
      <c r="B33" t="s">
        <v>3721</v>
      </c>
      <c r="C33" t="s">
        <v>79</v>
      </c>
      <c r="D33" s="19">
        <f>IF(D11=1,1,(D18-D17)/D18)</f>
        <v>0.5</v>
      </c>
      <c r="E33" s="174"/>
    </row>
    <row r="34" spans="2:23" x14ac:dyDescent="0.45">
      <c r="E34" s="174"/>
    </row>
    <row r="35" spans="2:23" x14ac:dyDescent="0.45">
      <c r="B35" s="52" t="s">
        <v>3722</v>
      </c>
      <c r="E35" s="174"/>
    </row>
    <row r="36" spans="2:23" ht="60" customHeight="1" x14ac:dyDescent="0.45">
      <c r="B36" s="170" t="s">
        <v>33</v>
      </c>
      <c r="C36" s="170" t="s">
        <v>34</v>
      </c>
      <c r="D36" s="170" t="s">
        <v>3723</v>
      </c>
      <c r="E36" s="175" t="s">
        <v>3724</v>
      </c>
      <c r="F36" s="170" t="s">
        <v>3725</v>
      </c>
      <c r="G36" s="170" t="s">
        <v>3726</v>
      </c>
      <c r="H36" s="170" t="s">
        <v>3727</v>
      </c>
      <c r="I36" s="170" t="s">
        <v>3728</v>
      </c>
      <c r="J36" s="170" t="s">
        <v>3729</v>
      </c>
      <c r="K36" s="170" t="s">
        <v>3730</v>
      </c>
      <c r="L36" s="170" t="s">
        <v>3731</v>
      </c>
      <c r="M36" s="170" t="s">
        <v>3732</v>
      </c>
      <c r="N36" s="170" t="s">
        <v>3733</v>
      </c>
      <c r="O36" s="170" t="s">
        <v>3734</v>
      </c>
      <c r="P36" s="170" t="s">
        <v>3735</v>
      </c>
      <c r="Q36" s="170" t="s">
        <v>3736</v>
      </c>
      <c r="R36" s="170" t="s">
        <v>3737</v>
      </c>
      <c r="S36" s="170" t="s">
        <v>3738</v>
      </c>
      <c r="T36" s="170" t="s">
        <v>3739</v>
      </c>
      <c r="U36" s="170" t="s">
        <v>3740</v>
      </c>
      <c r="V36" s="170" t="s">
        <v>3741</v>
      </c>
      <c r="W36" s="170" t="s">
        <v>3742</v>
      </c>
    </row>
    <row r="37" spans="2:23" x14ac:dyDescent="0.45">
      <c r="B37" t="s">
        <v>117</v>
      </c>
      <c r="C37" t="s">
        <v>3743</v>
      </c>
      <c r="D37">
        <v>374</v>
      </c>
      <c r="E37" s="174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3744</v>
      </c>
      <c r="D38">
        <v>375</v>
      </c>
      <c r="E38" s="174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3745</v>
      </c>
      <c r="D39">
        <v>376</v>
      </c>
      <c r="E39" s="174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3746</v>
      </c>
      <c r="D40">
        <v>378</v>
      </c>
      <c r="E40" s="174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E41" s="174"/>
      <c r="F41" s="19">
        <f>SUM(F37:F40)</f>
        <v>51.320891261</v>
      </c>
      <c r="G41" s="19">
        <f>SUM(G37:G40)</f>
        <v>27.602124473917094</v>
      </c>
      <c r="H41" s="19">
        <f>SUM(H37:H40)</f>
        <v>34.821485416900551</v>
      </c>
      <c r="I41" s="19">
        <f>SUM(I37:I40)</f>
        <v>27.602124473917094</v>
      </c>
      <c r="J41" s="19">
        <f>SUM(J37:J40)</f>
        <v>34.821485416900551</v>
      </c>
      <c r="K41" s="19">
        <f>SUM(K37:K40)</f>
        <v>79893.955657864804</v>
      </c>
      <c r="L41" s="19">
        <f>SUM(L37:L40)</f>
        <v>79893.955657864804</v>
      </c>
      <c r="Q41" s="19">
        <f>SUM(Q37:Q40)</f>
        <v>28.220019638180283</v>
      </c>
      <c r="R41" s="19">
        <f>SUM(R37:R40)</f>
        <v>34.90206460443634</v>
      </c>
      <c r="S41" s="19" t="e">
        <f>SUM(S37:S40)</f>
        <v>#N/A</v>
      </c>
      <c r="T41" s="19">
        <f>SUM(T37:T40)</f>
        <v>0</v>
      </c>
      <c r="U41" s="19">
        <f>SUM(U37:U40)</f>
        <v>62.423609890817644</v>
      </c>
      <c r="V41" s="19" t="e">
        <f>SUM(V37:V40)</f>
        <v>#N/A</v>
      </c>
      <c r="W41" s="19">
        <f>SUM(W37:W40)</f>
        <v>62.423609890817644</v>
      </c>
    </row>
    <row r="42" spans="2:23" x14ac:dyDescent="0.45">
      <c r="E42" s="174"/>
    </row>
    <row r="43" spans="2:23" x14ac:dyDescent="0.45">
      <c r="B43" s="52" t="s">
        <v>3747</v>
      </c>
      <c r="E43" s="174"/>
    </row>
    <row r="44" spans="2:23" x14ac:dyDescent="0.45">
      <c r="B44" t="s">
        <v>3748</v>
      </c>
      <c r="C44" t="s">
        <v>2068</v>
      </c>
      <c r="D44" s="148">
        <f>Q41</f>
        <v>28.220019638180283</v>
      </c>
      <c r="E44" s="174"/>
    </row>
    <row r="45" spans="2:23" x14ac:dyDescent="0.45">
      <c r="B45" t="s">
        <v>3749</v>
      </c>
      <c r="C45" t="s">
        <v>2068</v>
      </c>
      <c r="D45" s="148">
        <f>R41</f>
        <v>34.90206460443634</v>
      </c>
      <c r="E45" s="174"/>
    </row>
    <row r="46" spans="2:23" x14ac:dyDescent="0.45">
      <c r="B46" t="s">
        <v>3750</v>
      </c>
      <c r="C46" t="s">
        <v>2068</v>
      </c>
      <c r="D46" s="148" t="e">
        <f>S41</f>
        <v>#N/A</v>
      </c>
      <c r="E46" s="174"/>
    </row>
    <row r="47" spans="2:23" x14ac:dyDescent="0.45">
      <c r="B47" t="s">
        <v>3751</v>
      </c>
      <c r="C47" t="s">
        <v>2068</v>
      </c>
      <c r="D47" s="148">
        <f>T41</f>
        <v>0</v>
      </c>
      <c r="E47" s="174"/>
    </row>
    <row r="48" spans="2:23" x14ac:dyDescent="0.45">
      <c r="B48" t="s">
        <v>3752</v>
      </c>
      <c r="C48" t="s">
        <v>2068</v>
      </c>
      <c r="D48" s="148" t="e">
        <f>D30*(D44+D45)</f>
        <v>#DIV/0!</v>
      </c>
      <c r="E48" s="174"/>
    </row>
    <row r="49" spans="2:5" x14ac:dyDescent="0.45">
      <c r="B49" t="s">
        <v>3753</v>
      </c>
      <c r="C49" t="s">
        <v>2068</v>
      </c>
      <c r="D49" s="148" t="e">
        <f>D46-D30*D44</f>
        <v>#N/A</v>
      </c>
      <c r="E49" s="174"/>
    </row>
    <row r="50" spans="2:5" x14ac:dyDescent="0.45">
      <c r="B50" t="s">
        <v>3754</v>
      </c>
      <c r="C50" t="s">
        <v>2068</v>
      </c>
      <c r="D50" s="148" t="e">
        <f>D47-D30*D45</f>
        <v>#DIV/0!</v>
      </c>
      <c r="E50" s="174"/>
    </row>
    <row r="51" spans="2:5" x14ac:dyDescent="0.45">
      <c r="B51" t="s">
        <v>3755</v>
      </c>
      <c r="C51" t="s">
        <v>3756</v>
      </c>
      <c r="D51" s="148" t="e">
        <f>100*(V41-W41)/U41</f>
        <v>#N/A</v>
      </c>
      <c r="E51" s="174"/>
    </row>
    <row r="52" spans="2:5" x14ac:dyDescent="0.45">
      <c r="B52" t="s">
        <v>3757</v>
      </c>
      <c r="C52" t="s">
        <v>3756</v>
      </c>
      <c r="D52" s="148">
        <f>100*(W41/U41-1)-Table2_Industry!$T$87</f>
        <v>0</v>
      </c>
      <c r="E52" s="174" t="s">
        <v>3758</v>
      </c>
    </row>
    <row r="53" spans="2:5" x14ac:dyDescent="0.45">
      <c r="E53" s="174"/>
    </row>
    <row r="54" spans="2:5" x14ac:dyDescent="0.45">
      <c r="B54" t="s">
        <v>3759</v>
      </c>
      <c r="C54" t="s">
        <v>1852</v>
      </c>
      <c r="D54" s="148">
        <f>Table2_Industry!$T$49</f>
        <v>0</v>
      </c>
      <c r="E54" s="174"/>
    </row>
    <row r="55" spans="2:5" x14ac:dyDescent="0.45">
      <c r="B55" t="s">
        <v>3760</v>
      </c>
      <c r="C55" t="s">
        <v>3408</v>
      </c>
      <c r="D55" s="148">
        <f>Table2_Industry!$T$47</f>
        <v>0</v>
      </c>
      <c r="E55" s="174"/>
    </row>
    <row r="56" spans="2:5" x14ac:dyDescent="0.45">
      <c r="B56" t="s">
        <v>3761</v>
      </c>
      <c r="C56" t="s">
        <v>3262</v>
      </c>
      <c r="D56" s="134">
        <f>Table2_Industry!$T$48</f>
        <v>0</v>
      </c>
      <c r="E56" s="174"/>
    </row>
    <row r="57" spans="2:5" x14ac:dyDescent="0.45">
      <c r="B57" t="s">
        <v>3762</v>
      </c>
      <c r="C57" t="s">
        <v>2068</v>
      </c>
      <c r="D57" s="148">
        <f>Table2_Industry!$T$51</f>
        <v>0</v>
      </c>
      <c r="E57" s="174"/>
    </row>
    <row r="58" spans="2:5" x14ac:dyDescent="0.45">
      <c r="B58" t="s">
        <v>3763</v>
      </c>
      <c r="C58" t="s">
        <v>3408</v>
      </c>
      <c r="D58" s="148">
        <f>Table2_Industry!$T$73</f>
        <v>0</v>
      </c>
      <c r="E58" s="174"/>
    </row>
    <row r="59" spans="2:5" x14ac:dyDescent="0.45">
      <c r="B59" t="s">
        <v>3764</v>
      </c>
      <c r="C59" t="s">
        <v>3408</v>
      </c>
      <c r="D59" s="148">
        <f>Table2_Industry!$T$74</f>
        <v>0</v>
      </c>
      <c r="E59" s="174"/>
    </row>
    <row r="60" spans="2:5" x14ac:dyDescent="0.45">
      <c r="B60" t="s">
        <v>3765</v>
      </c>
      <c r="C60" t="s">
        <v>3408</v>
      </c>
      <c r="D60" s="148">
        <f>Table2_Industry!$T$75</f>
        <v>0</v>
      </c>
      <c r="E60" s="174"/>
    </row>
    <row r="61" spans="2:5" x14ac:dyDescent="0.45">
      <c r="B61" t="s">
        <v>3766</v>
      </c>
      <c r="C61" t="s">
        <v>84</v>
      </c>
      <c r="D61" s="148">
        <f>Table2_Industry!$T$87</f>
        <v>0</v>
      </c>
      <c r="E61" s="174"/>
    </row>
    <row r="62" spans="2:5" x14ac:dyDescent="0.45">
      <c r="B62" t="s">
        <v>3767</v>
      </c>
      <c r="C62" t="s">
        <v>84</v>
      </c>
      <c r="D62" s="148">
        <f>Table2_Industry!$T$88</f>
        <v>-53.410854810573127</v>
      </c>
      <c r="E62" s="174"/>
    </row>
    <row r="63" spans="2:5" x14ac:dyDescent="0.45">
      <c r="B63" t="s">
        <v>3768</v>
      </c>
      <c r="C63" t="s">
        <v>84</v>
      </c>
      <c r="D63" s="148">
        <f>Table2_Industry!$T$86</f>
        <v>44.217443563732914</v>
      </c>
      <c r="E63" s="174"/>
    </row>
    <row r="64" spans="2:5" x14ac:dyDescent="0.45">
      <c r="E64" s="174"/>
    </row>
    <row r="65" spans="2:13" x14ac:dyDescent="0.45">
      <c r="B65" s="52" t="s">
        <v>3769</v>
      </c>
      <c r="E65" s="174"/>
    </row>
    <row r="66" spans="2:13" x14ac:dyDescent="0.45">
      <c r="B66" t="s">
        <v>3570</v>
      </c>
      <c r="C66" t="s">
        <v>84</v>
      </c>
      <c r="D66" s="171" t="e">
        <f>100*(IF(D8="All sectors",D13,D16*D14)+IF(D9=1,D45,0))/D12</f>
        <v>#DIV/0!</v>
      </c>
      <c r="E66" s="174" t="s">
        <v>3770</v>
      </c>
    </row>
    <row r="67" spans="2:13" x14ac:dyDescent="0.45">
      <c r="B67" t="s">
        <v>3771</v>
      </c>
      <c r="C67" t="s">
        <v>1852</v>
      </c>
      <c r="D67" s="173" t="e">
        <f>D54+D49+D50</f>
        <v>#N/A</v>
      </c>
      <c r="E67" s="174" t="s">
        <v>3772</v>
      </c>
    </row>
    <row r="68" spans="2:13" x14ac:dyDescent="0.45">
      <c r="B68" t="s">
        <v>3773</v>
      </c>
      <c r="C68" t="s">
        <v>84</v>
      </c>
      <c r="D68" s="173" t="e">
        <f>100*D67/D12</f>
        <v>#N/A</v>
      </c>
      <c r="E68" s="174"/>
    </row>
    <row r="69" spans="2:13" x14ac:dyDescent="0.45">
      <c r="B69" t="s">
        <v>3573</v>
      </c>
      <c r="C69" t="s">
        <v>84</v>
      </c>
      <c r="D69" s="171">
        <f>D63</f>
        <v>44.217443563732914</v>
      </c>
      <c r="E69" s="174" t="s">
        <v>1160</v>
      </c>
    </row>
    <row r="70" spans="2:13" x14ac:dyDescent="0.45">
      <c r="B70" t="s">
        <v>3774</v>
      </c>
      <c r="C70" t="s">
        <v>84</v>
      </c>
      <c r="D70" s="173" t="e">
        <f>D61+D51</f>
        <v>#N/A</v>
      </c>
      <c r="E70" s="174" t="s">
        <v>3775</v>
      </c>
    </row>
    <row r="71" spans="2:13" x14ac:dyDescent="0.45">
      <c r="B71" t="s">
        <v>3776</v>
      </c>
      <c r="C71" t="s">
        <v>84</v>
      </c>
      <c r="D71" s="173" t="e">
        <f>D62+D32*D51</f>
        <v>#N/A</v>
      </c>
      <c r="E71" s="174" t="s">
        <v>3777</v>
      </c>
    </row>
    <row r="72" spans="2:13" x14ac:dyDescent="0.45">
      <c r="B72" t="s">
        <v>3778</v>
      </c>
      <c r="C72" t="s">
        <v>84</v>
      </c>
      <c r="D72" s="173" t="e">
        <f>D27+D33*D51</f>
        <v>#N/A</v>
      </c>
      <c r="E72" s="174" t="s">
        <v>3779</v>
      </c>
    </row>
    <row r="73" spans="2:13" x14ac:dyDescent="0.45">
      <c r="B73" t="s">
        <v>3576</v>
      </c>
      <c r="C73" t="s">
        <v>3408</v>
      </c>
      <c r="D73" s="173" t="e">
        <f>D55+D17*D49/1000+D58-D59-D60</f>
        <v>#N/A</v>
      </c>
      <c r="E73" s="174" t="s">
        <v>3780</v>
      </c>
    </row>
    <row r="74" spans="2:13" x14ac:dyDescent="0.45">
      <c r="B74" t="s">
        <v>3577</v>
      </c>
      <c r="C74" t="s">
        <v>3262</v>
      </c>
      <c r="D74" s="171" t="e">
        <f>D56*(D57+D49)/D57</f>
        <v>#N/A</v>
      </c>
      <c r="E74" s="174" t="s">
        <v>3781</v>
      </c>
    </row>
    <row r="75" spans="2:13" x14ac:dyDescent="0.45">
      <c r="B75" t="s">
        <v>3782</v>
      </c>
      <c r="C75" t="s">
        <v>84</v>
      </c>
      <c r="D75" s="173" t="e">
        <f>100*(D46+D47)/(D44+D45)</f>
        <v>#N/A</v>
      </c>
      <c r="E75" s="174"/>
    </row>
    <row r="76" spans="2:13" x14ac:dyDescent="0.45">
      <c r="E76" s="174"/>
    </row>
    <row r="77" spans="2:13" x14ac:dyDescent="0.45">
      <c r="E77" s="174"/>
    </row>
    <row r="78" spans="2:13" x14ac:dyDescent="0.45">
      <c r="B78" s="52" t="s">
        <v>3783</v>
      </c>
      <c r="E78" s="174"/>
    </row>
    <row r="79" spans="2:13" x14ac:dyDescent="0.45">
      <c r="B79" s="52" t="s">
        <v>1726</v>
      </c>
      <c r="C79" s="52" t="s">
        <v>3542</v>
      </c>
      <c r="D79" s="52" t="s">
        <v>3540</v>
      </c>
      <c r="E79" s="175" t="s">
        <v>3544</v>
      </c>
      <c r="F79" s="52" t="s">
        <v>3546</v>
      </c>
      <c r="G79" s="52" t="s">
        <v>3549</v>
      </c>
      <c r="H79" s="52" t="s">
        <v>3552</v>
      </c>
      <c r="I79" s="52" t="s">
        <v>3784</v>
      </c>
      <c r="J79" s="52" t="s">
        <v>3561</v>
      </c>
      <c r="K79" s="52" t="s">
        <v>3563</v>
      </c>
      <c r="L79" s="52" t="s">
        <v>3555</v>
      </c>
      <c r="M79" s="52"/>
    </row>
    <row r="80" spans="2:13" x14ac:dyDescent="0.45">
      <c r="B80" t="s">
        <v>1741</v>
      </c>
      <c r="C80" s="172">
        <v>63.209336136123014</v>
      </c>
      <c r="D80" s="172">
        <v>-37.389792301353275</v>
      </c>
      <c r="E80" s="176">
        <v>-6.2929251410998583</v>
      </c>
      <c r="F80" s="172">
        <v>100</v>
      </c>
      <c r="G80" s="172">
        <v>-5.7721191674164682</v>
      </c>
      <c r="H80" s="172">
        <v>-44.184109648682565</v>
      </c>
      <c r="I80" s="172">
        <v>-24.016324483627272</v>
      </c>
      <c r="J80" s="172">
        <v>6.8594937250370798</v>
      </c>
      <c r="K80" s="172">
        <v>1501.1341153516501</v>
      </c>
      <c r="L80" s="172">
        <v>-11.550384490597358</v>
      </c>
    </row>
    <row r="81" spans="2:12" x14ac:dyDescent="0.45">
      <c r="B81" t="s">
        <v>1744</v>
      </c>
      <c r="C81" s="172">
        <v>57.335110644342571</v>
      </c>
      <c r="D81" s="172">
        <v>-33.077154647427115</v>
      </c>
      <c r="E81" s="176">
        <v>-5.567082491370468</v>
      </c>
      <c r="F81" s="172">
        <v>44.212685103625091</v>
      </c>
      <c r="G81" s="172">
        <v>-2.1443870416018251</v>
      </c>
      <c r="H81" s="172">
        <v>-22.883843080919881</v>
      </c>
      <c r="I81" s="172">
        <v>-12.215509633281451</v>
      </c>
      <c r="J81" s="172">
        <v>6.2668866648981085</v>
      </c>
      <c r="K81" s="172">
        <v>1456.3479307694702</v>
      </c>
      <c r="L81" s="172">
        <v>-4.7181673963572184</v>
      </c>
    </row>
    <row r="82" spans="2:12" x14ac:dyDescent="0.45">
      <c r="B82" t="s">
        <v>1746</v>
      </c>
      <c r="C82" s="172">
        <v>57.335110644342571</v>
      </c>
      <c r="D82" s="172">
        <v>-34.827655299254971</v>
      </c>
      <c r="E82" s="176">
        <v>-5.8617021959308619</v>
      </c>
      <c r="F82" s="172">
        <v>44.212685103625091</v>
      </c>
      <c r="G82" s="172">
        <v>-2.2593898397569312</v>
      </c>
      <c r="H82" s="172">
        <v>-22.951422044784223</v>
      </c>
      <c r="I82" s="172">
        <v>-12.307511871805536</v>
      </c>
      <c r="J82" s="172">
        <v>6.2294418069623259</v>
      </c>
      <c r="K82" s="172">
        <v>1517.1987207126515</v>
      </c>
      <c r="L82" s="172">
        <v>-4.8318297164994597</v>
      </c>
    </row>
    <row r="83" spans="2:12" x14ac:dyDescent="0.45">
      <c r="B83" t="s">
        <v>1749</v>
      </c>
      <c r="C83" s="172">
        <v>13.915632294034401</v>
      </c>
      <c r="D83" s="172">
        <v>-22.76631822644433</v>
      </c>
      <c r="E83" s="176">
        <v>-3.8317071991942071</v>
      </c>
      <c r="F83" s="172">
        <v>100</v>
      </c>
      <c r="G83" s="172">
        <v>-5.7721191674164682</v>
      </c>
      <c r="H83" s="172">
        <v>-44.184109648682565</v>
      </c>
      <c r="I83" s="172">
        <v>-24.016324483627272</v>
      </c>
      <c r="J83" s="172">
        <v>1.5352488618688684</v>
      </c>
      <c r="K83" s="172">
        <v>551.58950848201914</v>
      </c>
      <c r="L83" s="172">
        <v>-11.550384490597358</v>
      </c>
    </row>
    <row r="84" spans="2:12" x14ac:dyDescent="0.45">
      <c r="B84" t="s">
        <v>1752</v>
      </c>
      <c r="C84" s="172">
        <v>13.915632294034401</v>
      </c>
      <c r="D84" s="172">
        <v>-19.140348013204175</v>
      </c>
      <c r="E84" s="176">
        <v>-3.2214347769279748</v>
      </c>
      <c r="F84" s="172">
        <v>100</v>
      </c>
      <c r="G84" s="172">
        <v>-5.7984149124688518</v>
      </c>
      <c r="H84" s="172">
        <v>-5.0224650920339675</v>
      </c>
      <c r="I84" s="172">
        <v>-5.0528069084591039</v>
      </c>
      <c r="J84" s="172">
        <v>0.64253706634669661</v>
      </c>
      <c r="K84" s="172">
        <v>490.67565048441554</v>
      </c>
      <c r="L84" s="172">
        <v>-5.8060076933601428</v>
      </c>
    </row>
    <row r="85" spans="2:12" x14ac:dyDescent="0.45">
      <c r="B85" t="s">
        <v>1755</v>
      </c>
      <c r="C85" s="172">
        <v>13.915632294034401</v>
      </c>
      <c r="D85" s="172">
        <v>-33.039563461624198</v>
      </c>
      <c r="E85" s="176">
        <v>-5.5607556705013836</v>
      </c>
      <c r="F85" s="172">
        <v>100</v>
      </c>
      <c r="G85" s="172">
        <v>-23.071731175222151</v>
      </c>
      <c r="H85" s="172">
        <v>-53.075174944106841</v>
      </c>
      <c r="I85" s="172">
        <v>-36.165318414664284</v>
      </c>
      <c r="J85" s="172">
        <v>0.4060502367633877</v>
      </c>
      <c r="K85" s="172">
        <v>646.30920346902712</v>
      </c>
      <c r="L85" s="172">
        <v>-27.825584806862715</v>
      </c>
    </row>
    <row r="86" spans="2:12" x14ac:dyDescent="0.45">
      <c r="B86" t="s">
        <v>3583</v>
      </c>
      <c r="C86" s="172" t="e">
        <f>D66</f>
        <v>#DIV/0!</v>
      </c>
      <c r="D86" s="172" t="e">
        <f>D67</f>
        <v>#N/A</v>
      </c>
      <c r="E86" s="176" t="e">
        <f>D68</f>
        <v>#N/A</v>
      </c>
      <c r="F86" s="172">
        <f>D69</f>
        <v>44.217443563732914</v>
      </c>
      <c r="G86" s="172" t="e">
        <f>D70</f>
        <v>#N/A</v>
      </c>
      <c r="H86" s="172" t="e">
        <f>D71</f>
        <v>#N/A</v>
      </c>
      <c r="I86" s="172" t="e">
        <f>D72</f>
        <v>#N/A</v>
      </c>
      <c r="J86" s="172" t="e">
        <f>D73</f>
        <v>#N/A</v>
      </c>
      <c r="K86" s="172" t="e">
        <f>D74</f>
        <v>#N/A</v>
      </c>
      <c r="L86" s="172" t="e">
        <f>D75</f>
        <v>#N/A</v>
      </c>
    </row>
    <row r="87" spans="2:12" x14ac:dyDescent="0.45">
      <c r="B87" t="s">
        <v>3785</v>
      </c>
      <c r="C87" s="148" t="str">
        <f>IFERROR(C86-INDEX(C$80:C$85,MATCH($D$6,$B$80:$B$85,0)),"n/a")</f>
        <v>n/a</v>
      </c>
      <c r="D87" s="148" t="str">
        <f>IFERROR(D86-INDEX(D$80:D$85,MATCH($D$6,$B$80:$B$85,0)),"n/a")</f>
        <v>n/a</v>
      </c>
      <c r="E87" s="177" t="str">
        <f>IFERROR(E86-INDEX(E$80:E$85,MATCH($D$6,$B$80:$B$85,0)),"n/a")</f>
        <v>n/a</v>
      </c>
      <c r="F87" s="148" t="str">
        <f>IFERROR(F86-INDEX(F$80:F$85,MATCH($D$6,$B$80:$B$85,0)),"n/a")</f>
        <v>n/a</v>
      </c>
      <c r="G87" s="148" t="str">
        <f>IFERROR(G86-INDEX(G$80:G$85,MATCH($D$6,$B$80:$B$85,0)),"n/a")</f>
        <v>n/a</v>
      </c>
      <c r="H87" s="148" t="str">
        <f>IFERROR(H86-INDEX(H$80:H$85,MATCH($D$6,$B$80:$B$85,0)),"n/a")</f>
        <v>n/a</v>
      </c>
      <c r="I87" s="148" t="str">
        <f>IFERROR(I86-INDEX(I$80:I$85,MATCH($D$6,$B$80:$B$85,0)),"n/a")</f>
        <v>n/a</v>
      </c>
      <c r="J87" s="148" t="str">
        <f>IFERROR(J86-INDEX(J$80:J$85,MATCH($D$6,$B$80:$B$85,0)),"n/a")</f>
        <v>n/a</v>
      </c>
      <c r="K87" s="148" t="str">
        <f>IFERROR(K86-INDEX(K$80:K$85,MATCH($D$6,$B$80:$B$85,0)),"n/a")</f>
        <v>n/a</v>
      </c>
      <c r="L87" s="148" t="str">
        <f>IFERROR(L86-INDEX(L$80:L$85,MATCH($D$6,$B$80:$B$85,0)),"n/a")</f>
        <v>n/a</v>
      </c>
    </row>
    <row r="88" spans="2:12" x14ac:dyDescent="0.45">
      <c r="B88" t="s">
        <v>3786</v>
      </c>
      <c r="D88" s="92" t="str">
        <f>IFERROR(MAX(INDEX(ABS(C87:L87),0)),"n/a")</f>
        <v>n/a</v>
      </c>
      <c r="E88" s="174"/>
    </row>
    <row r="89" spans="2:12" x14ac:dyDescent="0.45">
      <c r="E89" s="174"/>
    </row>
    <row r="90" spans="2:12" x14ac:dyDescent="0.45">
      <c r="B90" t="s">
        <v>3787</v>
      </c>
      <c r="E90" s="17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5" customWidth="1"/>
    <col min="2" max="2" width="24.59765625" style="115" customWidth="1"/>
    <col min="3" max="3" width="6.59765625" style="115" customWidth="1"/>
    <col min="4" max="7" width="12.59765625" style="115" customWidth="1"/>
    <col min="8" max="8" width="14.59765625" style="115" customWidth="1"/>
    <col min="9" max="9" width="10.59765625" style="115" customWidth="1"/>
    <col min="10" max="10" width="22.59765625" style="115" customWidth="1"/>
    <col min="11" max="11" width="90.59765625" style="115" customWidth="1"/>
    <col min="12" max="16384" width="9.06640625" style="115"/>
  </cols>
  <sheetData>
    <row r="1" spans="1:11" ht="13.9" x14ac:dyDescent="0.4">
      <c r="A1" s="116" t="s">
        <v>2028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35">
      <c r="A2" s="115" t="s">
        <v>2029</v>
      </c>
    </row>
    <row r="3" spans="1:11" ht="13.9" x14ac:dyDescent="0.4">
      <c r="A3" s="118" t="s">
        <v>877</v>
      </c>
      <c r="B3" s="118" t="s">
        <v>32</v>
      </c>
      <c r="C3" s="118" t="s">
        <v>878</v>
      </c>
      <c r="D3" s="118" t="s">
        <v>2030</v>
      </c>
      <c r="E3" s="118" t="s">
        <v>2031</v>
      </c>
      <c r="F3" s="118" t="s">
        <v>2032</v>
      </c>
      <c r="G3" s="118" t="s">
        <v>2033</v>
      </c>
      <c r="H3" s="118" t="s">
        <v>2034</v>
      </c>
      <c r="I3" s="118" t="s">
        <v>2035</v>
      </c>
      <c r="J3" s="118" t="s">
        <v>2036</v>
      </c>
      <c r="K3" s="118" t="s">
        <v>2037</v>
      </c>
    </row>
    <row r="4" spans="1:11" x14ac:dyDescent="0.35">
      <c r="A4" s="119" t="str">
        <f>Settings!$B$3&amp;".mit.efc."&amp;C4</f>
        <v>egy.mit.efc.coa</v>
      </c>
      <c r="B4" s="115" t="s">
        <v>50</v>
      </c>
      <c r="C4" s="115" t="s">
        <v>49</v>
      </c>
      <c r="D4" s="120">
        <v>0.1</v>
      </c>
      <c r="E4" s="121">
        <f t="shared" ref="E4:E12" si="0">D4*$D$17</f>
        <v>4186.8</v>
      </c>
      <c r="F4" s="121">
        <f t="shared" ref="F4:F12" si="1">$D$21</f>
        <v>0.92961501403768609</v>
      </c>
      <c r="G4" s="121">
        <f t="shared" ref="G4:G12" si="2">E4*F4</f>
        <v>3892.1121407729843</v>
      </c>
      <c r="H4" s="122">
        <v>3892.1121407729843</v>
      </c>
      <c r="I4" s="123">
        <f t="shared" ref="I4:I12" si="3">G4-H4</f>
        <v>0</v>
      </c>
      <c r="J4" s="115" t="s">
        <v>2038</v>
      </c>
      <c r="K4" s="115" t="s">
        <v>2039</v>
      </c>
    </row>
    <row r="5" spans="1:11" x14ac:dyDescent="0.35">
      <c r="A5" s="119" t="str">
        <f>Settings!$B$3&amp;".mit.efc."&amp;C5</f>
        <v>egy.mit.efc.nga</v>
      </c>
      <c r="B5" s="115" t="s">
        <v>54</v>
      </c>
      <c r="C5" s="115" t="s">
        <v>53</v>
      </c>
      <c r="D5" s="120">
        <v>5.5799999999999995E-2</v>
      </c>
      <c r="E5" s="121">
        <f t="shared" si="0"/>
        <v>2336.2343999999998</v>
      </c>
      <c r="F5" s="121">
        <f t="shared" si="1"/>
        <v>0.92961501403768609</v>
      </c>
      <c r="G5" s="121">
        <f t="shared" si="2"/>
        <v>2171.7985745513251</v>
      </c>
      <c r="H5" s="122">
        <v>2171.7985745513251</v>
      </c>
      <c r="I5" s="123">
        <f t="shared" si="3"/>
        <v>0</v>
      </c>
      <c r="J5" s="115" t="s">
        <v>2040</v>
      </c>
      <c r="K5" s="115" t="s">
        <v>2041</v>
      </c>
    </row>
    <row r="6" spans="1:11" x14ac:dyDescent="0.35">
      <c r="A6" s="119" t="str">
        <f>Settings!$B$3&amp;".mit.efc."&amp;C6</f>
        <v>egy.mit.efc.gso</v>
      </c>
      <c r="B6" s="115" t="s">
        <v>56</v>
      </c>
      <c r="C6" s="115" t="s">
        <v>55</v>
      </c>
      <c r="D6" s="120">
        <v>6.7793000000000006E-2</v>
      </c>
      <c r="E6" s="121">
        <f t="shared" si="0"/>
        <v>2838.3573240000001</v>
      </c>
      <c r="F6" s="121">
        <f t="shared" si="1"/>
        <v>0.92961501403768609</v>
      </c>
      <c r="G6" s="121">
        <f t="shared" si="2"/>
        <v>2638.579583594229</v>
      </c>
      <c r="H6" s="122">
        <v>2638.579583594229</v>
      </c>
      <c r="I6" s="123">
        <f t="shared" si="3"/>
        <v>0</v>
      </c>
      <c r="J6" s="115" t="s">
        <v>2042</v>
      </c>
      <c r="K6" s="115" t="s">
        <v>2043</v>
      </c>
    </row>
    <row r="7" spans="1:11" x14ac:dyDescent="0.35">
      <c r="A7" s="119" t="str">
        <f>Settings!$B$3&amp;".mit.efc."&amp;C7</f>
        <v>egy.mit.efc.die</v>
      </c>
      <c r="B7" s="115" t="s">
        <v>59</v>
      </c>
      <c r="C7" s="115" t="s">
        <v>58</v>
      </c>
      <c r="D7" s="120">
        <v>7.1844999999999992E-2</v>
      </c>
      <c r="E7" s="121">
        <f t="shared" si="0"/>
        <v>3008.0064599999996</v>
      </c>
      <c r="F7" s="121">
        <f t="shared" si="1"/>
        <v>0.92961501403768609</v>
      </c>
      <c r="G7" s="121">
        <f t="shared" si="2"/>
        <v>2796.2879675383501</v>
      </c>
      <c r="H7" s="122">
        <v>2796.2879675383501</v>
      </c>
      <c r="I7" s="123">
        <f t="shared" si="3"/>
        <v>0</v>
      </c>
      <c r="J7" s="115" t="s">
        <v>2044</v>
      </c>
      <c r="K7" s="115" t="s">
        <v>2045</v>
      </c>
    </row>
    <row r="8" spans="1:11" x14ac:dyDescent="0.35">
      <c r="A8" s="119" t="str">
        <f>Settings!$B$3&amp;".mit.efc."&amp;C8</f>
        <v>egy.mit.efc.lpg</v>
      </c>
      <c r="B8" s="115" t="s">
        <v>61</v>
      </c>
      <c r="C8" s="115" t="s">
        <v>60</v>
      </c>
      <c r="D8" s="120">
        <v>6.8599999999999994E-2</v>
      </c>
      <c r="E8" s="121">
        <f t="shared" si="0"/>
        <v>2872.1447999999996</v>
      </c>
      <c r="F8" s="121">
        <f t="shared" si="1"/>
        <v>0.92961501403768609</v>
      </c>
      <c r="G8" s="121">
        <f t="shared" si="2"/>
        <v>2669.9889285702666</v>
      </c>
      <c r="H8" s="122">
        <v>2669.9889285702666</v>
      </c>
      <c r="I8" s="123">
        <f t="shared" si="3"/>
        <v>0</v>
      </c>
      <c r="J8" s="115" t="s">
        <v>2046</v>
      </c>
      <c r="K8" s="115" t="s">
        <v>2047</v>
      </c>
    </row>
    <row r="9" spans="1:11" x14ac:dyDescent="0.35">
      <c r="A9" s="119" t="str">
        <f>Settings!$B$3&amp;".mit.efc."&amp;C9</f>
        <v>egy.mit.efc.ker</v>
      </c>
      <c r="B9" s="115" t="s">
        <v>63</v>
      </c>
      <c r="C9" s="115" t="s">
        <v>62</v>
      </c>
      <c r="D9" s="120">
        <v>6.7793000000000006E-2</v>
      </c>
      <c r="E9" s="121">
        <f t="shared" si="0"/>
        <v>2838.3573240000001</v>
      </c>
      <c r="F9" s="121">
        <f t="shared" si="1"/>
        <v>0.92961501403768609</v>
      </c>
      <c r="G9" s="121">
        <f t="shared" si="2"/>
        <v>2638.579583594229</v>
      </c>
      <c r="H9" s="122">
        <v>2638.579583594229</v>
      </c>
      <c r="I9" s="123">
        <f t="shared" si="3"/>
        <v>0</v>
      </c>
      <c r="J9" s="115" t="s">
        <v>2048</v>
      </c>
      <c r="K9" s="115" t="s">
        <v>2049</v>
      </c>
    </row>
    <row r="10" spans="1:11" x14ac:dyDescent="0.35">
      <c r="A10" s="119" t="str">
        <f>Settings!$B$3&amp;".mit.efc."&amp;C10</f>
        <v>egy.mit.efc.oop</v>
      </c>
      <c r="B10" s="115" t="s">
        <v>65</v>
      </c>
      <c r="C10" s="115" t="s">
        <v>64</v>
      </c>
      <c r="D10" s="120">
        <v>7.6700000000000004E-2</v>
      </c>
      <c r="E10" s="121">
        <f t="shared" si="0"/>
        <v>3211.2756000000004</v>
      </c>
      <c r="F10" s="121">
        <f t="shared" si="1"/>
        <v>0.92961501403768609</v>
      </c>
      <c r="G10" s="121">
        <f t="shared" si="2"/>
        <v>2985.2500119728793</v>
      </c>
      <c r="H10" s="122">
        <v>2985.2500119728793</v>
      </c>
      <c r="I10" s="123">
        <f t="shared" si="3"/>
        <v>0</v>
      </c>
      <c r="J10" s="115" t="s">
        <v>2050</v>
      </c>
      <c r="K10" s="115" t="s">
        <v>2051</v>
      </c>
    </row>
    <row r="11" spans="1:11" x14ac:dyDescent="0.35">
      <c r="A11" s="119" t="str">
        <f>Settings!$B$3&amp;".mit.efc."&amp;C11</f>
        <v>egy.mit.efc.bio</v>
      </c>
      <c r="B11" s="115" t="s">
        <v>68</v>
      </c>
      <c r="C11" s="115" t="s">
        <v>67</v>
      </c>
      <c r="D11" s="120">
        <v>0</v>
      </c>
      <c r="E11" s="121">
        <f t="shared" si="0"/>
        <v>0</v>
      </c>
      <c r="F11" s="121">
        <f t="shared" si="1"/>
        <v>0.92961501403768609</v>
      </c>
      <c r="G11" s="121">
        <f t="shared" si="2"/>
        <v>0</v>
      </c>
      <c r="H11" s="122">
        <v>0</v>
      </c>
      <c r="I11" s="123">
        <f t="shared" si="3"/>
        <v>0</v>
      </c>
      <c r="K11" s="115" t="s">
        <v>2052</v>
      </c>
    </row>
    <row r="12" spans="1:11" x14ac:dyDescent="0.35">
      <c r="A12" s="119" t="str">
        <f>Settings!$B$3&amp;".mit.efc."&amp;C12</f>
        <v>egy.mit.efc.ren</v>
      </c>
      <c r="B12" s="115" t="s">
        <v>70</v>
      </c>
      <c r="C12" s="115" t="s">
        <v>69</v>
      </c>
      <c r="D12" s="120">
        <v>0</v>
      </c>
      <c r="E12" s="121">
        <f t="shared" si="0"/>
        <v>0</v>
      </c>
      <c r="F12" s="121">
        <f t="shared" si="1"/>
        <v>0.92961501403768609</v>
      </c>
      <c r="G12" s="121">
        <f t="shared" si="2"/>
        <v>0</v>
      </c>
      <c r="H12" s="122">
        <v>0</v>
      </c>
      <c r="I12" s="123">
        <f t="shared" si="3"/>
        <v>0</v>
      </c>
      <c r="K12" s="115" t="s">
        <v>2053</v>
      </c>
    </row>
    <row r="16" spans="1:11" ht="13.9" x14ac:dyDescent="0.4">
      <c r="A16" s="124" t="s">
        <v>125</v>
      </c>
    </row>
    <row r="17" spans="1:11" x14ac:dyDescent="0.35">
      <c r="A17" s="115" t="s">
        <v>2054</v>
      </c>
      <c r="D17" s="117">
        <v>41868</v>
      </c>
      <c r="K17" s="115" t="s">
        <v>2055</v>
      </c>
    </row>
    <row r="18" spans="1:11" x14ac:dyDescent="0.35">
      <c r="A18" s="115" t="s">
        <v>2056</v>
      </c>
      <c r="D18" s="115" t="str">
        <f>INDEX(MTInputs!$F$8:$F$415,MATCH("EmissionsFactCO2",MTInputs!$H$8:$H$415,0))</f>
        <v>IIASA*</v>
      </c>
      <c r="K18" s="127" t="s">
        <v>2057</v>
      </c>
    </row>
    <row r="19" spans="1:11" x14ac:dyDescent="0.35">
      <c r="A19" s="115" t="s">
        <v>2058</v>
      </c>
      <c r="D19" s="115" t="str">
        <f>INDEX(MTInputs!$F$8:$F$415,MATCH("EFsAdjustmentNonAnnexI",MTInputs!$H$8:$H$415,0))</f>
        <v>Yes*</v>
      </c>
      <c r="K19" s="115" t="s">
        <v>2059</v>
      </c>
    </row>
    <row r="20" spans="1:11" x14ac:dyDescent="0.35">
      <c r="A20" s="115" t="s">
        <v>2060</v>
      </c>
      <c r="D20" s="125">
        <v>0.92961501403768609</v>
      </c>
      <c r="K20" s="115" t="s">
        <v>2061</v>
      </c>
    </row>
    <row r="21" spans="1:11" x14ac:dyDescent="0.35">
      <c r="A21" s="115" t="s">
        <v>2062</v>
      </c>
      <c r="D21" s="126">
        <f>IF(LEFT(D19,3)="Yes",D20,1)</f>
        <v>0.92961501403768609</v>
      </c>
      <c r="K21" s="115" t="s">
        <v>2063</v>
      </c>
    </row>
    <row r="23" spans="1:11" x14ac:dyDescent="0.35">
      <c r="A23" s="115" t="s">
        <v>2064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20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92">
        <f>SUMPRODUCT(MAX((I587:I1378="same")    *F587:F1378))</f>
        <v>2.1940924958231562</v>
      </c>
    </row>
    <row r="585" spans="1:35" x14ac:dyDescent="0.45">
      <c r="A585" t="s">
        <v>1695</v>
      </c>
      <c r="D585" s="92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8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8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92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92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92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92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92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92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1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1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1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1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92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92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3">
        <f t="shared" si="363"/>
        <v>0</v>
      </c>
      <c r="I1673">
        <v>0</v>
      </c>
      <c r="L1673" s="133">
        <f>Mitigation_Industry!L250-Fund_Industry!L122</f>
        <v>0</v>
      </c>
      <c r="M1673" s="133">
        <f>Mitigation_Industry!M250-Fund_Industry!M122</f>
        <v>0</v>
      </c>
      <c r="N1673" s="133">
        <f>Mitigation_Industry!N250-Fund_Industry!N122</f>
        <v>0</v>
      </c>
      <c r="O1673" s="133">
        <f>Mitigation_Industry!O250-Fund_Industry!O122</f>
        <v>0</v>
      </c>
      <c r="P1673" s="133">
        <f>Mitigation_Industry!P250-Fund_Industry!P122</f>
        <v>0</v>
      </c>
      <c r="Q1673" s="133">
        <f>Mitigation_Industry!Q250-Fund_Industry!Q122</f>
        <v>0</v>
      </c>
      <c r="R1673" s="133">
        <f>Mitigation_Industry!R250-Fund_Industry!R122</f>
        <v>0</v>
      </c>
      <c r="S1673" s="133">
        <f>Mitigation_Industry!S250-Fund_Industry!S122</f>
        <v>0</v>
      </c>
      <c r="T1673" s="133">
        <f>Mitigation_Industry!T250-Fund_Industry!T122</f>
        <v>0</v>
      </c>
      <c r="U1673" s="133">
        <f>Mitigation_Industry!U250-Fund_Industry!U122</f>
        <v>0</v>
      </c>
      <c r="V1673" s="133">
        <f>Mitigation_Industry!V250-Fund_Industry!V122</f>
        <v>0</v>
      </c>
      <c r="W1673" s="133">
        <f>Mitigation_Industry!W250-Fund_Industry!W122</f>
        <v>0</v>
      </c>
      <c r="X1673" s="133">
        <f>Mitigation_Industry!X250-Fund_Industry!X122</f>
        <v>0</v>
      </c>
      <c r="Y1673" s="133">
        <f>Mitigation_Industry!Y250-Fund_Industry!Y122</f>
        <v>0</v>
      </c>
      <c r="Z1673" s="133">
        <f>Mitigation_Industry!Z250-Fund_Industry!Z122</f>
        <v>0</v>
      </c>
      <c r="AA1673" s="133">
        <f>Mitigation_Industry!AA250-Fund_Industry!AA122</f>
        <v>0</v>
      </c>
      <c r="AB1673" s="133">
        <f>Mitigation_Industry!AB250-Fund_Industry!AB122</f>
        <v>0</v>
      </c>
      <c r="AC1673" s="133">
        <f>Mitigation_Industry!AC250-Fund_Industry!AC122</f>
        <v>0</v>
      </c>
      <c r="AD1673" s="133">
        <f>Mitigation_Industry!AD250-Fund_Industry!AD122</f>
        <v>0</v>
      </c>
      <c r="AE1673" s="133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3">
        <f t="shared" si="363"/>
        <v>0</v>
      </c>
      <c r="I1677">
        <v>0</v>
      </c>
      <c r="L1677" s="133">
        <f>Mitigation_Industry!L649-Fund_Industry!L329</f>
        <v>0</v>
      </c>
      <c r="M1677" s="133">
        <f>Mitigation_Industry!M649-Fund_Industry!M329</f>
        <v>0</v>
      </c>
      <c r="N1677" s="133">
        <f>Mitigation_Industry!N649-Fund_Industry!N329</f>
        <v>0</v>
      </c>
      <c r="O1677" s="133">
        <f>Mitigation_Industry!O649-Fund_Industry!O329</f>
        <v>0</v>
      </c>
      <c r="P1677" s="133">
        <f>Mitigation_Industry!P649-Fund_Industry!P329</f>
        <v>0</v>
      </c>
      <c r="Q1677" s="133">
        <f>Mitigation_Industry!Q649-Fund_Industry!Q329</f>
        <v>0</v>
      </c>
      <c r="R1677" s="133">
        <f>Mitigation_Industry!R649-Fund_Industry!R329</f>
        <v>0</v>
      </c>
      <c r="S1677" s="133">
        <f>Mitigation_Industry!S649-Fund_Industry!S329</f>
        <v>0</v>
      </c>
      <c r="T1677" s="133">
        <f>Mitigation_Industry!T649-Fund_Industry!T329</f>
        <v>0</v>
      </c>
      <c r="U1677" s="133">
        <f>Mitigation_Industry!U649-Fund_Industry!U329</f>
        <v>0</v>
      </c>
      <c r="V1677" s="133">
        <f>Mitigation_Industry!V649-Fund_Industry!V329</f>
        <v>0</v>
      </c>
      <c r="W1677" s="133">
        <f>Mitigation_Industry!W649-Fund_Industry!W329</f>
        <v>0</v>
      </c>
      <c r="X1677" s="133">
        <f>Mitigation_Industry!X649-Fund_Industry!X329</f>
        <v>0</v>
      </c>
      <c r="Y1677" s="133">
        <f>Mitigation_Industry!Y649-Fund_Industry!Y329</f>
        <v>0</v>
      </c>
      <c r="Z1677" s="133">
        <f>Mitigation_Industry!Z649-Fund_Industry!Z329</f>
        <v>0</v>
      </c>
      <c r="AA1677" s="133">
        <f>Mitigation_Industry!AA649-Fund_Industry!AA329</f>
        <v>0</v>
      </c>
      <c r="AB1677" s="133">
        <f>Mitigation_Industry!AB649-Fund_Industry!AB329</f>
        <v>0</v>
      </c>
      <c r="AC1677" s="133">
        <f>Mitigation_Industry!AC649-Fund_Industry!AC329</f>
        <v>0</v>
      </c>
      <c r="AD1677" s="133">
        <f>Mitigation_Industry!AD649-Fund_Industry!AD329</f>
        <v>0</v>
      </c>
      <c r="AE1677" s="133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3">
        <f t="shared" ref="F1705:F1721" si="365">MAX(MAX(L1705:AE1705),-MIN(L1705:AE1705))</f>
        <v>0</v>
      </c>
      <c r="L1705" s="133">
        <f>Fund_Industry!L329</f>
        <v>0</v>
      </c>
      <c r="M1705" s="133">
        <f>Fund_Industry!M329</f>
        <v>0</v>
      </c>
      <c r="N1705" s="133">
        <f>Fund_Industry!N329</f>
        <v>0</v>
      </c>
      <c r="O1705" s="133">
        <f>Fund_Industry!O329</f>
        <v>0</v>
      </c>
      <c r="P1705" s="133">
        <f>Fund_Industry!P329</f>
        <v>0</v>
      </c>
      <c r="Q1705" s="133">
        <f>Fund_Industry!Q329</f>
        <v>0</v>
      </c>
      <c r="R1705" s="133">
        <f>Fund_Industry!R329</f>
        <v>0</v>
      </c>
      <c r="S1705" s="133">
        <f>Fund_Industry!S329</f>
        <v>0</v>
      </c>
      <c r="T1705" s="133">
        <f>Fund_Industry!T329</f>
        <v>0</v>
      </c>
      <c r="U1705" s="133">
        <f>Fund_Industry!U329</f>
        <v>0</v>
      </c>
      <c r="V1705" s="133">
        <f>Fund_Industry!V329</f>
        <v>0</v>
      </c>
      <c r="W1705" s="133">
        <f>Fund_Industry!W329</f>
        <v>0</v>
      </c>
      <c r="X1705" s="133">
        <f>Fund_Industry!X329</f>
        <v>0</v>
      </c>
      <c r="Y1705" s="133">
        <f>Fund_Industry!Y329</f>
        <v>0</v>
      </c>
      <c r="Z1705" s="133">
        <f>Fund_Industry!Z329</f>
        <v>0</v>
      </c>
      <c r="AA1705" s="133">
        <f>Fund_Industry!AA329</f>
        <v>0</v>
      </c>
      <c r="AB1705" s="133">
        <f>Fund_Industry!AB329</f>
        <v>0</v>
      </c>
      <c r="AC1705" s="133">
        <f>Fund_Industry!AC329</f>
        <v>0</v>
      </c>
      <c r="AD1705" s="133">
        <f>Fund_Industry!AD329</f>
        <v>0</v>
      </c>
      <c r="AE1705" s="133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4">
        <f t="shared" si="365"/>
        <v>0</v>
      </c>
      <c r="L1712" s="134">
        <f>Fund_Industry!L404</f>
        <v>0</v>
      </c>
      <c r="M1712" s="134">
        <f>Fund_Industry!M404</f>
        <v>0</v>
      </c>
      <c r="N1712" s="134">
        <f>Fund_Industry!N404</f>
        <v>0</v>
      </c>
      <c r="O1712" s="134">
        <f>Fund_Industry!O404</f>
        <v>0</v>
      </c>
      <c r="P1712" s="134">
        <f>Fund_Industry!P404</f>
        <v>0</v>
      </c>
      <c r="Q1712" s="134">
        <f>Fund_Industry!Q404</f>
        <v>0</v>
      </c>
      <c r="R1712" s="134">
        <f>Fund_Industry!R404</f>
        <v>0</v>
      </c>
      <c r="S1712" s="134">
        <f>Fund_Industry!S404</f>
        <v>0</v>
      </c>
      <c r="T1712" s="134">
        <f>Fund_Industry!T404</f>
        <v>0</v>
      </c>
      <c r="U1712" s="134">
        <f>Fund_Industry!U404</f>
        <v>0</v>
      </c>
      <c r="V1712" s="134">
        <f>Fund_Industry!V404</f>
        <v>0</v>
      </c>
      <c r="W1712" s="134">
        <f>Fund_Industry!W404</f>
        <v>0</v>
      </c>
      <c r="X1712" s="134">
        <f>Fund_Industry!X404</f>
        <v>0</v>
      </c>
      <c r="Y1712" s="134">
        <f>Fund_Industry!Y404</f>
        <v>0</v>
      </c>
      <c r="Z1712" s="134">
        <f>Fund_Industry!Z404</f>
        <v>0</v>
      </c>
      <c r="AA1712" s="134">
        <f>Fund_Industry!AA404</f>
        <v>0</v>
      </c>
      <c r="AB1712" s="134">
        <f>Fund_Industry!AB404</f>
        <v>0</v>
      </c>
      <c r="AC1712" s="134">
        <f>Fund_Industry!AC404</f>
        <v>0</v>
      </c>
      <c r="AD1712" s="134">
        <f>Fund_Industry!AD404</f>
        <v>0</v>
      </c>
      <c r="AE1712" s="134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3">
        <f t="shared" si="365"/>
        <v>0</v>
      </c>
      <c r="L1713" s="133">
        <f>Fund_Industry!L407</f>
        <v>0</v>
      </c>
      <c r="M1713" s="133">
        <f>Fund_Industry!M407</f>
        <v>0</v>
      </c>
      <c r="N1713" s="133">
        <f>Fund_Industry!N407</f>
        <v>0</v>
      </c>
      <c r="O1713" s="133">
        <f>Fund_Industry!O407</f>
        <v>0</v>
      </c>
      <c r="P1713" s="133">
        <f>Fund_Industry!P407</f>
        <v>0</v>
      </c>
      <c r="Q1713" s="133">
        <f>Fund_Industry!Q407</f>
        <v>0</v>
      </c>
      <c r="R1713" s="133">
        <f>Fund_Industry!R407</f>
        <v>0</v>
      </c>
      <c r="S1713" s="133">
        <f>Fund_Industry!S407</f>
        <v>0</v>
      </c>
      <c r="T1713" s="133">
        <f>Fund_Industry!T407</f>
        <v>0</v>
      </c>
      <c r="U1713" s="133">
        <f>Fund_Industry!U407</f>
        <v>0</v>
      </c>
      <c r="V1713" s="133">
        <f>Fund_Industry!V407</f>
        <v>0</v>
      </c>
      <c r="W1713" s="133">
        <f>Fund_Industry!W407</f>
        <v>0</v>
      </c>
      <c r="X1713" s="133">
        <f>Fund_Industry!X407</f>
        <v>0</v>
      </c>
      <c r="Y1713" s="133">
        <f>Fund_Industry!Y407</f>
        <v>0</v>
      </c>
      <c r="Z1713" s="133">
        <f>Fund_Industry!Z407</f>
        <v>0</v>
      </c>
      <c r="AA1713" s="133">
        <f>Fund_Industry!AA407</f>
        <v>0</v>
      </c>
      <c r="AB1713" s="133">
        <f>Fund_Industry!AB407</f>
        <v>0</v>
      </c>
      <c r="AC1713" s="133">
        <f>Fund_Industry!AC407</f>
        <v>0</v>
      </c>
      <c r="AD1713" s="133">
        <f>Fund_Industry!AD407</f>
        <v>0</v>
      </c>
      <c r="AE1713" s="133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92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8">
        <f>IPPU_Industry!L44</f>
        <v>0</v>
      </c>
      <c r="M1855" s="148">
        <f>IPPU_Industry!M44</f>
        <v>0</v>
      </c>
      <c r="N1855" s="148">
        <f>IPPU_Industry!N44</f>
        <v>0</v>
      </c>
      <c r="O1855" s="148">
        <f>IPPU_Industry!O44</f>
        <v>0</v>
      </c>
      <c r="P1855" s="148">
        <f>IPPU_Industry!P44</f>
        <v>0</v>
      </c>
      <c r="Q1855" s="148">
        <f>IPPU_Industry!Q44</f>
        <v>1.4090398681312308</v>
      </c>
      <c r="R1855" s="148">
        <f>IPPU_Industry!R44</f>
        <v>2.6673965235448378</v>
      </c>
      <c r="S1855" s="148">
        <f>IPPU_Industry!S44</f>
        <v>3.8181630055287599</v>
      </c>
      <c r="T1855" s="148">
        <f>IPPU_Industry!T44</f>
        <v>4.8795095359972152</v>
      </c>
      <c r="U1855" s="148">
        <f>IPPU_Industry!U44</f>
        <v>5.8802184098541375</v>
      </c>
      <c r="V1855" s="148">
        <f>IPPU_Industry!V44</f>
        <v>6.80772680646227</v>
      </c>
      <c r="W1855" s="148">
        <f>IPPU_Industry!W44</f>
        <v>7.6897753620378069</v>
      </c>
      <c r="X1855" s="148">
        <f>IPPU_Industry!X44</f>
        <v>8.5333569344649902</v>
      </c>
      <c r="Y1855" s="148">
        <f>IPPU_Industry!Y44</f>
        <v>9.3427525163357785</v>
      </c>
      <c r="Z1855" s="148">
        <f>IPPU_Industry!Z44</f>
        <v>10.11919326251622</v>
      </c>
      <c r="AA1855" s="148">
        <f>IPPU_Industry!AA44</f>
        <v>10.865381102071524</v>
      </c>
      <c r="AB1855" s="148">
        <f>IPPU_Industry!AB44</f>
        <v>11.584058705353883</v>
      </c>
      <c r="AC1855" s="148">
        <f>IPPU_Industry!AC44</f>
        <v>12.27945098871038</v>
      </c>
      <c r="AD1855" s="148">
        <f>IPPU_Industry!AD44</f>
        <v>12.955061337753065</v>
      </c>
      <c r="AE1855" s="148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92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3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3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3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3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3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3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92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92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3788</v>
      </c>
    </row>
    <row r="1919" spans="1:35" x14ac:dyDescent="0.45">
      <c r="A1919" t="s">
        <v>3789</v>
      </c>
      <c r="D1919" s="92" t="str">
        <f>CarveOut_Table2!D88</f>
        <v>n/a</v>
      </c>
    </row>
    <row r="1920" spans="1:35" x14ac:dyDescent="0.45">
      <c r="A1920" t="s">
        <v>3790</v>
      </c>
      <c r="D1920">
        <f>IFERROR(CarveOut_Table2!D52,"n/a")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2026-10-03T00:56:08Z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