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egypt+mitigation\"/>
    </mc:Choice>
  </mc:AlternateContent>
  <xr:revisionPtr revIDLastSave="0" documentId="8_{48CF826A-09B5-4F3F-874F-0BAF32611A17}" xr6:coauthVersionLast="47" xr6:coauthVersionMax="47" xr10:uidLastSave="{00000000-0000-0000-0000-000000000000}"/>
  <bookViews>
    <workbookView xWindow="2573" yWindow="2573" windowWidth="14399" windowHeight="8182" tabRatio="500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Emissions_Industry" sheetId="12" r:id="rId5"/>
    <sheet name="Rebate_Industry" sheetId="13" r:id="rId6"/>
    <sheet name="Fund_Industry" sheetId="14" r:id="rId7"/>
    <sheet name="IPPU_Industry" sheetId="15" r:id="rId8"/>
    <sheet name="CPAT_National" sheetId="16" r:id="rId9"/>
    <sheet name="Table2_Industry" sheetId="17" r:id="rId10"/>
    <sheet name="CarveOut_Table2" sheetId="18" r:id="rId11"/>
    <sheet name="MTInputs" sheetId="3" r:id="rId12"/>
    <sheet name="Data_Energy" sheetId="4" r:id="rId13"/>
    <sheet name="Data_Prices" sheetId="5" r:id="rId14"/>
    <sheet name="Data_Macro" sheetId="6" r:id="rId15"/>
    <sheet name="Data_Elast" sheetId="7" r:id="rId16"/>
    <sheet name="Data_EF" sheetId="11" r:id="rId17"/>
    <sheet name="Check" sheetId="8" r:id="rId1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6" i="18" l="1"/>
  <c r="N39" i="18" s="1"/>
  <c r="D20" i="18"/>
  <c r="D18" i="18"/>
  <c r="F1910" i="8"/>
  <c r="H54" i="17"/>
  <c r="F1894" i="8"/>
  <c r="F1893" i="8"/>
  <c r="F1892" i="8"/>
  <c r="F1891" i="8"/>
  <c r="F1890" i="8"/>
  <c r="F1889" i="8"/>
  <c r="F1888" i="8"/>
  <c r="F1887" i="8"/>
  <c r="F1886" i="8"/>
  <c r="F1885" i="8"/>
  <c r="F1884" i="8"/>
  <c r="AE1864" i="8"/>
  <c r="AD1864" i="8"/>
  <c r="AC1864" i="8"/>
  <c r="AB1864" i="8"/>
  <c r="AA1864" i="8"/>
  <c r="Z1864" i="8"/>
  <c r="Y1864" i="8"/>
  <c r="X1864" i="8"/>
  <c r="W1864" i="8"/>
  <c r="V1864" i="8"/>
  <c r="U1864" i="8"/>
  <c r="T1864" i="8"/>
  <c r="S1864" i="8"/>
  <c r="R1864" i="8"/>
  <c r="Q1864" i="8"/>
  <c r="P1864" i="8"/>
  <c r="O1864" i="8"/>
  <c r="N1864" i="8"/>
  <c r="M1864" i="8"/>
  <c r="L1864" i="8"/>
  <c r="S108" i="17"/>
  <c r="F1877" i="8" s="1"/>
  <c r="S107" i="17"/>
  <c r="F1876" i="8" s="1"/>
  <c r="S106" i="17"/>
  <c r="F1875" i="8" s="1"/>
  <c r="S105" i="17"/>
  <c r="F1874" i="8" s="1"/>
  <c r="S104" i="17"/>
  <c r="F1873" i="8" s="1"/>
  <c r="S103" i="17"/>
  <c r="F1872" i="8" s="1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H62" i="17"/>
  <c r="H61" i="17"/>
  <c r="H60" i="17"/>
  <c r="H59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E12" i="17"/>
  <c r="C12" i="17"/>
  <c r="B12" i="17"/>
  <c r="E11" i="17"/>
  <c r="C11" i="17"/>
  <c r="B11" i="17"/>
  <c r="E10" i="17"/>
  <c r="C10" i="17"/>
  <c r="B10" i="17"/>
  <c r="E9" i="17"/>
  <c r="C9" i="17"/>
  <c r="B9" i="17"/>
  <c r="E8" i="17"/>
  <c r="C8" i="17"/>
  <c r="B8" i="17"/>
  <c r="E7" i="17"/>
  <c r="C7" i="17"/>
  <c r="B7" i="17"/>
  <c r="E6" i="17"/>
  <c r="C6" i="17"/>
  <c r="B6" i="17"/>
  <c r="H93" i="15"/>
  <c r="H92" i="15"/>
  <c r="H90" i="15"/>
  <c r="H88" i="15"/>
  <c r="H87" i="15"/>
  <c r="H85" i="15"/>
  <c r="H83" i="15"/>
  <c r="H82" i="15"/>
  <c r="H80" i="15"/>
  <c r="H78" i="15"/>
  <c r="H77" i="15"/>
  <c r="H75" i="15"/>
  <c r="H69" i="15"/>
  <c r="H68" i="15"/>
  <c r="H66" i="15"/>
  <c r="H64" i="15"/>
  <c r="H63" i="15"/>
  <c r="H61" i="15"/>
  <c r="H59" i="15"/>
  <c r="H58" i="15"/>
  <c r="H56" i="15"/>
  <c r="H54" i="15"/>
  <c r="H53" i="15"/>
  <c r="H51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1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M36" i="15" s="1"/>
  <c r="L10" i="15"/>
  <c r="L36" i="15" s="1"/>
  <c r="H10" i="15"/>
  <c r="H9" i="15"/>
  <c r="H8" i="15"/>
  <c r="H7" i="15"/>
  <c r="H6" i="1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H418" i="14"/>
  <c r="H417" i="14"/>
  <c r="H416" i="14"/>
  <c r="H415" i="14"/>
  <c r="H414" i="14"/>
  <c r="H413" i="14"/>
  <c r="H412" i="14"/>
  <c r="H411" i="14"/>
  <c r="H410" i="14"/>
  <c r="H405" i="14"/>
  <c r="H403" i="14"/>
  <c r="H401" i="14"/>
  <c r="H400" i="14"/>
  <c r="H399" i="14"/>
  <c r="H398" i="14"/>
  <c r="H397" i="14"/>
  <c r="H330" i="14"/>
  <c r="H329" i="14"/>
  <c r="H328" i="14"/>
  <c r="H327" i="14"/>
  <c r="H326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69" i="14"/>
  <c r="H268" i="14"/>
  <c r="H267" i="14"/>
  <c r="H266" i="14"/>
  <c r="H265" i="14"/>
  <c r="H264" i="14"/>
  <c r="H263" i="14"/>
  <c r="H262" i="14"/>
  <c r="H259" i="14"/>
  <c r="H258" i="14"/>
  <c r="H257" i="14"/>
  <c r="H256" i="14"/>
  <c r="H255" i="14"/>
  <c r="H254" i="14"/>
  <c r="H253" i="14"/>
  <c r="H252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1" i="14"/>
  <c r="H230" i="14"/>
  <c r="H229" i="14"/>
  <c r="H228" i="14"/>
  <c r="H227" i="14"/>
  <c r="H226" i="14"/>
  <c r="H225" i="14"/>
  <c r="H224" i="14"/>
  <c r="H211" i="14"/>
  <c r="H210" i="14"/>
  <c r="H209" i="14"/>
  <c r="H208" i="14"/>
  <c r="H207" i="14"/>
  <c r="H206" i="14"/>
  <c r="H205" i="14"/>
  <c r="H204" i="14"/>
  <c r="H203" i="14"/>
  <c r="H198" i="14"/>
  <c r="H196" i="14"/>
  <c r="H194" i="14"/>
  <c r="H193" i="14"/>
  <c r="H192" i="14"/>
  <c r="H191" i="14"/>
  <c r="H190" i="14"/>
  <c r="H123" i="14"/>
  <c r="H122" i="14"/>
  <c r="H121" i="14"/>
  <c r="H120" i="14"/>
  <c r="H119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2" i="14"/>
  <c r="H61" i="14"/>
  <c r="H60" i="14"/>
  <c r="H59" i="14"/>
  <c r="H58" i="14"/>
  <c r="H57" i="14"/>
  <c r="H56" i="14"/>
  <c r="H55" i="14"/>
  <c r="H52" i="14"/>
  <c r="H51" i="14"/>
  <c r="H50" i="14"/>
  <c r="H49" i="14"/>
  <c r="H48" i="14"/>
  <c r="H47" i="14"/>
  <c r="H46" i="14"/>
  <c r="H45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4" i="14"/>
  <c r="H23" i="14"/>
  <c r="H22" i="14"/>
  <c r="H21" i="14"/>
  <c r="H20" i="14"/>
  <c r="H19" i="14"/>
  <c r="H18" i="14"/>
  <c r="H17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H278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7" i="13"/>
  <c r="H216" i="13"/>
  <c r="H215" i="13"/>
  <c r="H214" i="13"/>
  <c r="H213" i="13"/>
  <c r="H212" i="13"/>
  <c r="H211" i="13"/>
  <c r="H210" i="13"/>
  <c r="H209" i="13"/>
  <c r="H206" i="13"/>
  <c r="H205" i="13"/>
  <c r="H204" i="13"/>
  <c r="H203" i="13"/>
  <c r="H202" i="13"/>
  <c r="H201" i="13"/>
  <c r="H200" i="13"/>
  <c r="H199" i="13"/>
  <c r="H196" i="13"/>
  <c r="H195" i="13"/>
  <c r="H194" i="13"/>
  <c r="H193" i="13"/>
  <c r="H192" i="13"/>
  <c r="H191" i="13"/>
  <c r="H190" i="13"/>
  <c r="H189" i="13"/>
  <c r="H186" i="13"/>
  <c r="H185" i="13"/>
  <c r="H184" i="13"/>
  <c r="H183" i="13"/>
  <c r="H182" i="13"/>
  <c r="H181" i="13"/>
  <c r="H180" i="13"/>
  <c r="H179" i="13"/>
  <c r="H176" i="13"/>
  <c r="H175" i="13"/>
  <c r="H174" i="13"/>
  <c r="H173" i="13"/>
  <c r="H172" i="13"/>
  <c r="H171" i="13"/>
  <c r="H170" i="13"/>
  <c r="H169" i="13"/>
  <c r="H166" i="13"/>
  <c r="H165" i="13"/>
  <c r="H164" i="13"/>
  <c r="H163" i="13"/>
  <c r="H162" i="13"/>
  <c r="H161" i="13"/>
  <c r="H160" i="13"/>
  <c r="H159" i="13"/>
  <c r="H156" i="13"/>
  <c r="H155" i="13"/>
  <c r="H154" i="13"/>
  <c r="H153" i="13"/>
  <c r="H152" i="13"/>
  <c r="H151" i="13"/>
  <c r="H150" i="13"/>
  <c r="H149" i="13"/>
  <c r="H139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78" i="13"/>
  <c r="H77" i="13"/>
  <c r="H76" i="13"/>
  <c r="H75" i="13"/>
  <c r="H74" i="13"/>
  <c r="H73" i="13"/>
  <c r="H72" i="13"/>
  <c r="H71" i="13"/>
  <c r="H70" i="13"/>
  <c r="H67" i="13"/>
  <c r="H66" i="13"/>
  <c r="H65" i="13"/>
  <c r="H64" i="13"/>
  <c r="H63" i="13"/>
  <c r="H62" i="13"/>
  <c r="H61" i="13"/>
  <c r="H60" i="13"/>
  <c r="H57" i="13"/>
  <c r="H56" i="13"/>
  <c r="H55" i="13"/>
  <c r="H54" i="13"/>
  <c r="H53" i="13"/>
  <c r="H52" i="13"/>
  <c r="H51" i="13"/>
  <c r="H50" i="13"/>
  <c r="H47" i="13"/>
  <c r="H46" i="13"/>
  <c r="H45" i="13"/>
  <c r="H44" i="13"/>
  <c r="H43" i="13"/>
  <c r="H42" i="13"/>
  <c r="H41" i="13"/>
  <c r="H40" i="13"/>
  <c r="H37" i="13"/>
  <c r="H36" i="13"/>
  <c r="H35" i="13"/>
  <c r="H34" i="13"/>
  <c r="H33" i="13"/>
  <c r="H32" i="13"/>
  <c r="H31" i="13"/>
  <c r="H30" i="13"/>
  <c r="H27" i="13"/>
  <c r="H26" i="13"/>
  <c r="H25" i="13"/>
  <c r="H24" i="13"/>
  <c r="H23" i="13"/>
  <c r="H22" i="13"/>
  <c r="H21" i="13"/>
  <c r="H20" i="13"/>
  <c r="H17" i="13"/>
  <c r="H16" i="13"/>
  <c r="H15" i="13"/>
  <c r="H14" i="13"/>
  <c r="H13" i="13"/>
  <c r="H12" i="13"/>
  <c r="H11" i="13"/>
  <c r="H10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G1542" i="8"/>
  <c r="G1539" i="8"/>
  <c r="H102" i="12"/>
  <c r="C102" i="12"/>
  <c r="H101" i="12"/>
  <c r="G101" i="12"/>
  <c r="C101" i="12"/>
  <c r="H100" i="12"/>
  <c r="G100" i="12"/>
  <c r="C100" i="12"/>
  <c r="H99" i="12"/>
  <c r="G99" i="12"/>
  <c r="C99" i="12"/>
  <c r="H98" i="12"/>
  <c r="G98" i="12"/>
  <c r="C98" i="12"/>
  <c r="H97" i="12"/>
  <c r="G97" i="12"/>
  <c r="C97" i="12"/>
  <c r="H96" i="12"/>
  <c r="G96" i="12"/>
  <c r="C96" i="12"/>
  <c r="H95" i="12"/>
  <c r="G95" i="12"/>
  <c r="C95" i="12"/>
  <c r="H94" i="12"/>
  <c r="G94" i="12"/>
  <c r="C94" i="12"/>
  <c r="H93" i="12"/>
  <c r="G93" i="12"/>
  <c r="C93" i="12"/>
  <c r="H90" i="12"/>
  <c r="C90" i="12"/>
  <c r="H89" i="12"/>
  <c r="G89" i="12"/>
  <c r="C89" i="12"/>
  <c r="H88" i="12"/>
  <c r="G88" i="12"/>
  <c r="C88" i="12"/>
  <c r="H87" i="12"/>
  <c r="G87" i="12"/>
  <c r="C87" i="12"/>
  <c r="H86" i="12"/>
  <c r="G86" i="12"/>
  <c r="C86" i="12"/>
  <c r="H85" i="12"/>
  <c r="G85" i="12"/>
  <c r="C85" i="12"/>
  <c r="H84" i="12"/>
  <c r="G84" i="12"/>
  <c r="C84" i="12"/>
  <c r="H83" i="12"/>
  <c r="G83" i="12"/>
  <c r="C83" i="12"/>
  <c r="H82" i="12"/>
  <c r="G82" i="12"/>
  <c r="C82" i="12"/>
  <c r="H81" i="12"/>
  <c r="G81" i="12"/>
  <c r="C81" i="12"/>
  <c r="H78" i="12"/>
  <c r="C78" i="12"/>
  <c r="H77" i="12"/>
  <c r="G77" i="12"/>
  <c r="C77" i="12"/>
  <c r="H76" i="12"/>
  <c r="G76" i="12"/>
  <c r="C76" i="12"/>
  <c r="H75" i="12"/>
  <c r="G75" i="12"/>
  <c r="C75" i="12"/>
  <c r="H74" i="12"/>
  <c r="G74" i="12"/>
  <c r="C74" i="12"/>
  <c r="H73" i="12"/>
  <c r="G73" i="12"/>
  <c r="C73" i="12"/>
  <c r="H72" i="12"/>
  <c r="G72" i="12"/>
  <c r="C72" i="12"/>
  <c r="H71" i="12"/>
  <c r="G71" i="12"/>
  <c r="C71" i="12"/>
  <c r="H70" i="12"/>
  <c r="G70" i="12"/>
  <c r="C70" i="12"/>
  <c r="H69" i="12"/>
  <c r="G69" i="12"/>
  <c r="C69" i="12"/>
  <c r="H66" i="12"/>
  <c r="C66" i="12"/>
  <c r="H65" i="12"/>
  <c r="G65" i="12"/>
  <c r="C65" i="12"/>
  <c r="H64" i="12"/>
  <c r="G64" i="12"/>
  <c r="C64" i="12"/>
  <c r="H63" i="12"/>
  <c r="G63" i="12"/>
  <c r="C63" i="12"/>
  <c r="H62" i="12"/>
  <c r="G62" i="12"/>
  <c r="C62" i="12"/>
  <c r="H61" i="12"/>
  <c r="G61" i="12"/>
  <c r="C61" i="12"/>
  <c r="H60" i="12"/>
  <c r="G60" i="12"/>
  <c r="C60" i="12"/>
  <c r="H59" i="12"/>
  <c r="G59" i="12"/>
  <c r="C59" i="12"/>
  <c r="H58" i="12"/>
  <c r="G58" i="12"/>
  <c r="C58" i="12"/>
  <c r="H57" i="12"/>
  <c r="G57" i="12"/>
  <c r="C57" i="12"/>
  <c r="H51" i="12"/>
  <c r="C51" i="12"/>
  <c r="H50" i="12"/>
  <c r="G50" i="12"/>
  <c r="C50" i="12"/>
  <c r="H49" i="12"/>
  <c r="G49" i="12"/>
  <c r="C49" i="12"/>
  <c r="H48" i="12"/>
  <c r="G48" i="12"/>
  <c r="C48" i="12"/>
  <c r="H47" i="12"/>
  <c r="G47" i="12"/>
  <c r="C47" i="12"/>
  <c r="H46" i="12"/>
  <c r="G46" i="12"/>
  <c r="C46" i="12"/>
  <c r="H45" i="12"/>
  <c r="G45" i="12"/>
  <c r="C45" i="12"/>
  <c r="H44" i="12"/>
  <c r="G44" i="12"/>
  <c r="C44" i="12"/>
  <c r="H43" i="12"/>
  <c r="G43" i="12"/>
  <c r="C43" i="12"/>
  <c r="H42" i="12"/>
  <c r="G42" i="12"/>
  <c r="C42" i="12"/>
  <c r="H39" i="12"/>
  <c r="C39" i="12"/>
  <c r="H38" i="12"/>
  <c r="G38" i="12"/>
  <c r="C38" i="12"/>
  <c r="H37" i="12"/>
  <c r="G37" i="12"/>
  <c r="C37" i="12"/>
  <c r="H36" i="12"/>
  <c r="G36" i="12"/>
  <c r="C36" i="12"/>
  <c r="H35" i="12"/>
  <c r="G35" i="12"/>
  <c r="C35" i="12"/>
  <c r="H34" i="12"/>
  <c r="G34" i="12"/>
  <c r="C34" i="12"/>
  <c r="H33" i="12"/>
  <c r="G33" i="12"/>
  <c r="C33" i="12"/>
  <c r="H32" i="12"/>
  <c r="G32" i="12"/>
  <c r="C32" i="12"/>
  <c r="H31" i="12"/>
  <c r="G31" i="12"/>
  <c r="C31" i="12"/>
  <c r="H30" i="12"/>
  <c r="G30" i="12"/>
  <c r="C30" i="12"/>
  <c r="H27" i="12"/>
  <c r="C27" i="12"/>
  <c r="H26" i="12"/>
  <c r="G26" i="12"/>
  <c r="C26" i="12"/>
  <c r="H25" i="12"/>
  <c r="G25" i="12"/>
  <c r="C25" i="12"/>
  <c r="H24" i="12"/>
  <c r="G24" i="12"/>
  <c r="C24" i="12"/>
  <c r="H23" i="12"/>
  <c r="G23" i="12"/>
  <c r="C23" i="12"/>
  <c r="H22" i="12"/>
  <c r="G22" i="12"/>
  <c r="C22" i="12"/>
  <c r="H21" i="12"/>
  <c r="G21" i="12"/>
  <c r="C21" i="12"/>
  <c r="H20" i="12"/>
  <c r="G20" i="12"/>
  <c r="C20" i="12"/>
  <c r="H19" i="12"/>
  <c r="G19" i="12"/>
  <c r="C19" i="12"/>
  <c r="H18" i="12"/>
  <c r="G18" i="12"/>
  <c r="C18" i="12"/>
  <c r="H15" i="12"/>
  <c r="C15" i="12"/>
  <c r="H14" i="12"/>
  <c r="G14" i="12"/>
  <c r="C14" i="12"/>
  <c r="H13" i="12"/>
  <c r="G13" i="12"/>
  <c r="C13" i="12"/>
  <c r="H12" i="12"/>
  <c r="G12" i="12"/>
  <c r="C12" i="12"/>
  <c r="H11" i="12"/>
  <c r="G11" i="12"/>
  <c r="C11" i="12"/>
  <c r="H10" i="12"/>
  <c r="G10" i="12"/>
  <c r="C10" i="12"/>
  <c r="H9" i="12"/>
  <c r="G9" i="12"/>
  <c r="C9" i="12"/>
  <c r="H8" i="12"/>
  <c r="G8" i="12"/>
  <c r="C8" i="12"/>
  <c r="H7" i="12"/>
  <c r="G7" i="12"/>
  <c r="C7" i="12"/>
  <c r="H6" i="12"/>
  <c r="G6" i="12"/>
  <c r="C6" i="12"/>
  <c r="D19" i="11"/>
  <c r="D21" i="11" s="1"/>
  <c r="D18" i="11"/>
  <c r="E12" i="11"/>
  <c r="A12" i="11"/>
  <c r="E11" i="11"/>
  <c r="A11" i="11"/>
  <c r="E10" i="11"/>
  <c r="A10" i="11"/>
  <c r="E9" i="11"/>
  <c r="A9" i="11"/>
  <c r="E8" i="11"/>
  <c r="A8" i="11"/>
  <c r="E7" i="11"/>
  <c r="A7" i="11"/>
  <c r="E6" i="11"/>
  <c r="A6" i="11"/>
  <c r="E5" i="11"/>
  <c r="A5" i="11"/>
  <c r="E4" i="11"/>
  <c r="A4" i="11"/>
  <c r="F1511" i="8"/>
  <c r="F1509" i="8"/>
  <c r="F1508" i="8"/>
  <c r="H771" i="2"/>
  <c r="H760" i="2"/>
  <c r="H749" i="2"/>
  <c r="H738" i="2"/>
  <c r="H372" i="2"/>
  <c r="H361" i="2"/>
  <c r="H350" i="2"/>
  <c r="H339" i="2"/>
  <c r="AE82" i="9"/>
  <c r="AE81" i="9"/>
  <c r="AD82" i="9"/>
  <c r="AD81" i="9"/>
  <c r="AC82" i="9"/>
  <c r="AC81" i="9"/>
  <c r="AB82" i="9"/>
  <c r="AB81" i="9"/>
  <c r="AA82" i="9"/>
  <c r="AA81" i="9"/>
  <c r="Z82" i="9"/>
  <c r="Z81" i="9"/>
  <c r="Y82" i="9"/>
  <c r="Y81" i="9"/>
  <c r="X82" i="9"/>
  <c r="X81" i="9"/>
  <c r="W82" i="9"/>
  <c r="W81" i="9"/>
  <c r="V82" i="9"/>
  <c r="V81" i="9"/>
  <c r="U82" i="9"/>
  <c r="U81" i="9"/>
  <c r="T82" i="9"/>
  <c r="T81" i="9"/>
  <c r="D19" i="18" s="1"/>
  <c r="S82" i="9"/>
  <c r="S81" i="9"/>
  <c r="R82" i="9"/>
  <c r="R81" i="9"/>
  <c r="Q82" i="9"/>
  <c r="Q81" i="9"/>
  <c r="P82" i="9"/>
  <c r="P81" i="9"/>
  <c r="O82" i="9"/>
  <c r="O81" i="9"/>
  <c r="N82" i="9"/>
  <c r="N81" i="9"/>
  <c r="M82" i="9"/>
  <c r="M81" i="9"/>
  <c r="L82" i="9"/>
  <c r="L81" i="9"/>
  <c r="F1493" i="8"/>
  <c r="F1491" i="8"/>
  <c r="H727" i="2"/>
  <c r="H717" i="2"/>
  <c r="H706" i="2"/>
  <c r="H328" i="2"/>
  <c r="H318" i="2"/>
  <c r="H307" i="2"/>
  <c r="K73" i="9"/>
  <c r="J682" i="2" s="1"/>
  <c r="K72" i="9"/>
  <c r="J681" i="2" s="1"/>
  <c r="K71" i="9"/>
  <c r="J680" i="2" s="1"/>
  <c r="K70" i="9"/>
  <c r="J280" i="2" s="1"/>
  <c r="K69" i="9"/>
  <c r="J678" i="2" s="1"/>
  <c r="K68" i="9"/>
  <c r="J677" i="2" s="1"/>
  <c r="K67" i="9"/>
  <c r="J277" i="2" s="1"/>
  <c r="K66" i="9"/>
  <c r="J675" i="2" s="1"/>
  <c r="F1480" i="8"/>
  <c r="W60" i="9"/>
  <c r="H769" i="2" s="1"/>
  <c r="U60" i="9"/>
  <c r="F769" i="2" s="1"/>
  <c r="L60" i="9"/>
  <c r="P60" i="9" s="1"/>
  <c r="H60" i="9"/>
  <c r="T60" i="9" s="1"/>
  <c r="W59" i="9"/>
  <c r="H768" i="2" s="1"/>
  <c r="U59" i="9"/>
  <c r="F369" i="2" s="1"/>
  <c r="L59" i="9"/>
  <c r="P59" i="9" s="1"/>
  <c r="H59" i="9"/>
  <c r="T59" i="9" s="1"/>
  <c r="W58" i="9"/>
  <c r="H368" i="2" s="1"/>
  <c r="U58" i="9"/>
  <c r="F368" i="2" s="1"/>
  <c r="L58" i="9"/>
  <c r="P58" i="9" s="1"/>
  <c r="H58" i="9"/>
  <c r="M58" i="9" s="1"/>
  <c r="W57" i="9"/>
  <c r="H766" i="2" s="1"/>
  <c r="U57" i="9"/>
  <c r="F367" i="2" s="1"/>
  <c r="L57" i="9"/>
  <c r="V57" i="9" s="1"/>
  <c r="H57" i="9"/>
  <c r="T57" i="9" s="1"/>
  <c r="W56" i="9"/>
  <c r="H366" i="2" s="1"/>
  <c r="U56" i="9"/>
  <c r="F765" i="2" s="1"/>
  <c r="L56" i="9"/>
  <c r="V56" i="9" s="1"/>
  <c r="H56" i="9"/>
  <c r="T56" i="9" s="1"/>
  <c r="W55" i="9"/>
  <c r="H365" i="2" s="1"/>
  <c r="U55" i="9"/>
  <c r="F764" i="2" s="1"/>
  <c r="L55" i="9"/>
  <c r="N55" i="9" s="1"/>
  <c r="H55" i="9"/>
  <c r="O55" i="9" s="1"/>
  <c r="W54" i="9"/>
  <c r="H364" i="2" s="1"/>
  <c r="U54" i="9"/>
  <c r="F364" i="2" s="1"/>
  <c r="L54" i="9"/>
  <c r="V54" i="9" s="1"/>
  <c r="H54" i="9"/>
  <c r="M54" i="9" s="1"/>
  <c r="W53" i="9"/>
  <c r="H762" i="2" s="1"/>
  <c r="U53" i="9"/>
  <c r="F762" i="2" s="1"/>
  <c r="L53" i="9"/>
  <c r="P53" i="9" s="1"/>
  <c r="H53" i="9"/>
  <c r="T53" i="9" s="1"/>
  <c r="H696" i="2"/>
  <c r="H695" i="2"/>
  <c r="H685" i="2"/>
  <c r="H684" i="2"/>
  <c r="H683" i="2"/>
  <c r="H297" i="2"/>
  <c r="H296" i="2"/>
  <c r="H286" i="2"/>
  <c r="H285" i="2"/>
  <c r="H284" i="2"/>
  <c r="G707" i="2"/>
  <c r="G308" i="2"/>
  <c r="AC308" i="2" s="1"/>
  <c r="AC14" i="14" s="1"/>
  <c r="F1451" i="8"/>
  <c r="H660" i="2"/>
  <c r="H659" i="2"/>
  <c r="H658" i="2"/>
  <c r="H657" i="2"/>
  <c r="H261" i="2"/>
  <c r="H260" i="2"/>
  <c r="H259" i="2"/>
  <c r="H258" i="2"/>
  <c r="K273" i="2"/>
  <c r="J273" i="2"/>
  <c r="I273" i="2"/>
  <c r="H273" i="2"/>
  <c r="H782" i="2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G251" i="2"/>
  <c r="AD251" i="2" s="1"/>
  <c r="G250" i="2"/>
  <c r="G249" i="2"/>
  <c r="N249" i="2" s="1"/>
  <c r="B27" i="10"/>
  <c r="P27" i="10" s="1"/>
  <c r="K672" i="2" s="1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K936" i="8"/>
  <c r="L936" i="8"/>
  <c r="L937" i="8" s="1"/>
  <c r="M936" i="8"/>
  <c r="M937" i="8" s="1"/>
  <c r="N936" i="8"/>
  <c r="N937" i="8" s="1"/>
  <c r="O936" i="8"/>
  <c r="O937" i="8" s="1"/>
  <c r="P936" i="8"/>
  <c r="P937" i="8" s="1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I663" i="2"/>
  <c r="J663" i="2"/>
  <c r="K663" i="2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I664" i="2"/>
  <c r="J664" i="2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K666" i="2"/>
  <c r="M666" i="2"/>
  <c r="O666" i="2"/>
  <c r="P666" i="2"/>
  <c r="S666" i="2"/>
  <c r="T666" i="2"/>
  <c r="U666" i="2"/>
  <c r="V666" i="2"/>
  <c r="W666" i="2"/>
  <c r="X666" i="2"/>
  <c r="Z666" i="2"/>
  <c r="U152" i="13" s="1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S153" i="13" s="1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J669" i="2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K670" i="2"/>
  <c r="M670" i="2"/>
  <c r="O670" i="2"/>
  <c r="P670" i="2"/>
  <c r="S670" i="2"/>
  <c r="T670" i="2"/>
  <c r="U670" i="2"/>
  <c r="V670" i="2"/>
  <c r="W670" i="2"/>
  <c r="X670" i="2"/>
  <c r="Z670" i="2"/>
  <c r="O156" i="13" s="1"/>
  <c r="AC670" i="2"/>
  <c r="AD670" i="2"/>
  <c r="AE670" i="2"/>
  <c r="N675" i="2"/>
  <c r="N676" i="2"/>
  <c r="N677" i="2"/>
  <c r="N678" i="2"/>
  <c r="N679" i="2"/>
  <c r="N680" i="2"/>
  <c r="N681" i="2"/>
  <c r="N682" i="2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L687" i="2"/>
  <c r="M687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C687" i="2"/>
  <c r="AD687" i="2"/>
  <c r="AE687" i="2"/>
  <c r="L688" i="2"/>
  <c r="M688" i="2"/>
  <c r="M1028" i="8" s="1"/>
  <c r="M1029" i="8" s="1"/>
  <c r="N688" i="2"/>
  <c r="O688" i="2"/>
  <c r="P688" i="2"/>
  <c r="Q688" i="2"/>
  <c r="R688" i="2"/>
  <c r="S688" i="2"/>
  <c r="T688" i="2"/>
  <c r="U688" i="2"/>
  <c r="V688" i="2"/>
  <c r="W688" i="2"/>
  <c r="X688" i="2"/>
  <c r="Y688" i="2"/>
  <c r="Z688" i="2"/>
  <c r="Z1028" i="8" s="1"/>
  <c r="Z1029" i="8" s="1"/>
  <c r="AA688" i="2"/>
  <c r="AB688" i="2"/>
  <c r="AC688" i="2"/>
  <c r="AD688" i="2"/>
  <c r="AE688" i="2"/>
  <c r="L689" i="2"/>
  <c r="M689" i="2"/>
  <c r="N689" i="2"/>
  <c r="O689" i="2"/>
  <c r="P689" i="2"/>
  <c r="Q689" i="2"/>
  <c r="R689" i="2"/>
  <c r="S689" i="2"/>
  <c r="T689" i="2"/>
  <c r="U689" i="2"/>
  <c r="V689" i="2"/>
  <c r="W689" i="2"/>
  <c r="X689" i="2"/>
  <c r="Y689" i="2"/>
  <c r="Y1032" i="8" s="1"/>
  <c r="Y1033" i="8" s="1"/>
  <c r="Z689" i="2"/>
  <c r="AA689" i="2"/>
  <c r="AB689" i="2"/>
  <c r="AC689" i="2"/>
  <c r="AD689" i="2"/>
  <c r="AE689" i="2"/>
  <c r="L690" i="2"/>
  <c r="M690" i="2"/>
  <c r="N690" i="2"/>
  <c r="O690" i="2"/>
  <c r="P690" i="2"/>
  <c r="Q690" i="2"/>
  <c r="R690" i="2"/>
  <c r="S690" i="2"/>
  <c r="T690" i="2"/>
  <c r="U690" i="2"/>
  <c r="V690" i="2"/>
  <c r="W690" i="2"/>
  <c r="X690" i="2"/>
  <c r="Y690" i="2"/>
  <c r="Z690" i="2"/>
  <c r="AA690" i="2"/>
  <c r="AB690" i="2"/>
  <c r="AC690" i="2"/>
  <c r="AD690" i="2"/>
  <c r="AE690" i="2"/>
  <c r="L691" i="2"/>
  <c r="M691" i="2"/>
  <c r="N691" i="2"/>
  <c r="O691" i="2"/>
  <c r="P691" i="2"/>
  <c r="Q691" i="2"/>
  <c r="R691" i="2"/>
  <c r="S691" i="2"/>
  <c r="S1040" i="8" s="1"/>
  <c r="S1041" i="8" s="1"/>
  <c r="T691" i="2"/>
  <c r="U691" i="2"/>
  <c r="V691" i="2"/>
  <c r="W691" i="2"/>
  <c r="X691" i="2"/>
  <c r="Y691" i="2"/>
  <c r="Z691" i="2"/>
  <c r="AA691" i="2"/>
  <c r="AB691" i="2"/>
  <c r="AC691" i="2"/>
  <c r="AD691" i="2"/>
  <c r="AE691" i="2"/>
  <c r="L692" i="2"/>
  <c r="M692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AE692" i="2"/>
  <c r="L693" i="2"/>
  <c r="M693" i="2"/>
  <c r="N693" i="2"/>
  <c r="O693" i="2"/>
  <c r="P693" i="2"/>
  <c r="Q693" i="2"/>
  <c r="R693" i="2"/>
  <c r="S693" i="2"/>
  <c r="T693" i="2"/>
  <c r="U693" i="2"/>
  <c r="V693" i="2"/>
  <c r="W693" i="2"/>
  <c r="X693" i="2"/>
  <c r="Y693" i="2"/>
  <c r="Z693" i="2"/>
  <c r="AA693" i="2"/>
  <c r="AB693" i="2"/>
  <c r="AC693" i="2"/>
  <c r="AD693" i="2"/>
  <c r="AE693" i="2"/>
  <c r="L694" i="2"/>
  <c r="M694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B1052" i="8" s="1"/>
  <c r="AB1053" i="8" s="1"/>
  <c r="AC694" i="2"/>
  <c r="AD694" i="2"/>
  <c r="AE694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E751" i="2"/>
  <c r="F751" i="2"/>
  <c r="E752" i="2"/>
  <c r="F752" i="2"/>
  <c r="E753" i="2"/>
  <c r="F753" i="2"/>
  <c r="E754" i="2"/>
  <c r="F754" i="2"/>
  <c r="E755" i="2"/>
  <c r="F755" i="2"/>
  <c r="E756" i="2"/>
  <c r="W267" i="14" s="1"/>
  <c r="F756" i="2"/>
  <c r="E757" i="2"/>
  <c r="F757" i="2"/>
  <c r="E758" i="2"/>
  <c r="F758" i="2"/>
  <c r="H799" i="2"/>
  <c r="J245" i="2"/>
  <c r="G247" i="2"/>
  <c r="L247" i="2" s="1"/>
  <c r="G248" i="2"/>
  <c r="L248" i="2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N10" i="13" s="1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V11" i="13" s="1"/>
  <c r="AC265" i="2"/>
  <c r="AD265" i="2"/>
  <c r="AE265" i="2"/>
  <c r="H266" i="2"/>
  <c r="I266" i="2"/>
  <c r="J266" i="2"/>
  <c r="K266" i="2"/>
  <c r="M266" i="2"/>
  <c r="O266" i="2"/>
  <c r="P266" i="2"/>
  <c r="S266" i="2"/>
  <c r="T266" i="2"/>
  <c r="U266" i="2"/>
  <c r="V266" i="2"/>
  <c r="W266" i="2"/>
  <c r="X266" i="2"/>
  <c r="Z266" i="2"/>
  <c r="N12" i="13" s="1"/>
  <c r="N32" i="13" s="1"/>
  <c r="AC266" i="2"/>
  <c r="AD266" i="2"/>
  <c r="AE266" i="2"/>
  <c r="H267" i="2"/>
  <c r="I267" i="2"/>
  <c r="J267" i="2"/>
  <c r="K267" i="2"/>
  <c r="M267" i="2"/>
  <c r="O267" i="2"/>
  <c r="P267" i="2"/>
  <c r="S267" i="2"/>
  <c r="T267" i="2"/>
  <c r="U267" i="2"/>
  <c r="V267" i="2"/>
  <c r="W267" i="2"/>
  <c r="X267" i="2"/>
  <c r="Z267" i="2"/>
  <c r="AD13" i="13" s="1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R14" i="13" s="1"/>
  <c r="AC268" i="2"/>
  <c r="AD268" i="2"/>
  <c r="AE268" i="2"/>
  <c r="H269" i="2"/>
  <c r="I269" i="2"/>
  <c r="J269" i="2"/>
  <c r="K269" i="2"/>
  <c r="M269" i="2"/>
  <c r="O269" i="2"/>
  <c r="P269" i="2"/>
  <c r="S269" i="2"/>
  <c r="T269" i="2"/>
  <c r="U269" i="2"/>
  <c r="V269" i="2"/>
  <c r="W269" i="2"/>
  <c r="X269" i="2"/>
  <c r="Z269" i="2"/>
  <c r="V15" i="13" s="1"/>
  <c r="AC269" i="2"/>
  <c r="AD269" i="2"/>
  <c r="AE269" i="2"/>
  <c r="H270" i="2"/>
  <c r="I270" i="2"/>
  <c r="J270" i="2"/>
  <c r="K270" i="2"/>
  <c r="M270" i="2"/>
  <c r="O270" i="2"/>
  <c r="P270" i="2"/>
  <c r="S270" i="2"/>
  <c r="T270" i="2"/>
  <c r="U270" i="2"/>
  <c r="V270" i="2"/>
  <c r="W270" i="2"/>
  <c r="X270" i="2"/>
  <c r="Z270" i="2"/>
  <c r="P16" i="13" s="1"/>
  <c r="AC270" i="2"/>
  <c r="AD270" i="2"/>
  <c r="AE270" i="2"/>
  <c r="H271" i="2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V17" i="13" s="1"/>
  <c r="AC271" i="2"/>
  <c r="AD271" i="2"/>
  <c r="AE271" i="2"/>
  <c r="N276" i="2"/>
  <c r="N277" i="2"/>
  <c r="N278" i="2"/>
  <c r="N279" i="2"/>
  <c r="N280" i="2"/>
  <c r="N281" i="2"/>
  <c r="N282" i="2"/>
  <c r="N283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288" i="2"/>
  <c r="M288" i="2"/>
  <c r="N288" i="2"/>
  <c r="N628" i="8" s="1"/>
  <c r="N629" i="8" s="1"/>
  <c r="O288" i="2"/>
  <c r="P288" i="2"/>
  <c r="Q288" i="2"/>
  <c r="R288" i="2"/>
  <c r="S288" i="2"/>
  <c r="T288" i="2"/>
  <c r="U288" i="2"/>
  <c r="V288" i="2"/>
  <c r="W288" i="2"/>
  <c r="W628" i="8" s="1"/>
  <c r="W629" i="8" s="1"/>
  <c r="X288" i="2"/>
  <c r="Y288" i="2"/>
  <c r="Z288" i="2"/>
  <c r="AA288" i="2"/>
  <c r="AB288" i="2"/>
  <c r="AB628" i="8" s="1"/>
  <c r="AB629" i="8" s="1"/>
  <c r="AC288" i="2"/>
  <c r="AD288" i="2"/>
  <c r="AD628" i="8" s="1"/>
  <c r="AD629" i="8" s="1"/>
  <c r="AE288" i="2"/>
  <c r="AE628" i="8" s="1"/>
  <c r="AE629" i="8" s="1"/>
  <c r="L289" i="2"/>
  <c r="M289" i="2"/>
  <c r="N289" i="2"/>
  <c r="O289" i="2"/>
  <c r="P289" i="2"/>
  <c r="Q289" i="2"/>
  <c r="R289" i="2"/>
  <c r="R632" i="8" s="1"/>
  <c r="R633" i="8" s="1"/>
  <c r="S289" i="2"/>
  <c r="S632" i="8" s="1"/>
  <c r="S633" i="8" s="1"/>
  <c r="T289" i="2"/>
  <c r="U289" i="2"/>
  <c r="V289" i="2"/>
  <c r="V632" i="8" s="1"/>
  <c r="V633" i="8" s="1"/>
  <c r="W289" i="2"/>
  <c r="X289" i="2"/>
  <c r="Y289" i="2"/>
  <c r="Z289" i="2"/>
  <c r="AA289" i="2"/>
  <c r="AB289" i="2"/>
  <c r="AC289" i="2"/>
  <c r="AD289" i="2"/>
  <c r="AD632" i="8" s="1"/>
  <c r="AD633" i="8" s="1"/>
  <c r="AE289" i="2"/>
  <c r="L290" i="2"/>
  <c r="M290" i="2"/>
  <c r="N290" i="2"/>
  <c r="N636" i="8" s="1"/>
  <c r="N637" i="8" s="1"/>
  <c r="O290" i="2"/>
  <c r="O636" i="8" s="1"/>
  <c r="O637" i="8" s="1"/>
  <c r="P290" i="2"/>
  <c r="Q290" i="2"/>
  <c r="Q636" i="8" s="1"/>
  <c r="Q637" i="8" s="1"/>
  <c r="R290" i="2"/>
  <c r="R636" i="8" s="1"/>
  <c r="R637" i="8" s="1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E636" i="8" s="1"/>
  <c r="AE637" i="8" s="1"/>
  <c r="L291" i="2"/>
  <c r="M291" i="2"/>
  <c r="N291" i="2"/>
  <c r="O291" i="2"/>
  <c r="O640" i="8" s="1"/>
  <c r="O641" i="8" s="1"/>
  <c r="P291" i="2"/>
  <c r="P640" i="8" s="1"/>
  <c r="P641" i="8" s="1"/>
  <c r="Q291" i="2"/>
  <c r="R291" i="2"/>
  <c r="S291" i="2"/>
  <c r="T291" i="2"/>
  <c r="U291" i="2"/>
  <c r="V291" i="2"/>
  <c r="V640" i="8" s="1"/>
  <c r="V641" i="8" s="1"/>
  <c r="W291" i="2"/>
  <c r="X291" i="2"/>
  <c r="Y291" i="2"/>
  <c r="Z291" i="2"/>
  <c r="AA291" i="2"/>
  <c r="AB291" i="2"/>
  <c r="AC291" i="2"/>
  <c r="AD291" i="2"/>
  <c r="AE291" i="2"/>
  <c r="L292" i="2"/>
  <c r="M292" i="2"/>
  <c r="N292" i="2"/>
  <c r="O292" i="2"/>
  <c r="P292" i="2"/>
  <c r="Q292" i="2"/>
  <c r="Q644" i="8" s="1"/>
  <c r="Q645" i="8" s="1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C644" i="8" s="1"/>
  <c r="AC645" i="8" s="1"/>
  <c r="AD292" i="2"/>
  <c r="AE292" i="2"/>
  <c r="AE644" i="8" s="1"/>
  <c r="AE645" i="8" s="1"/>
  <c r="L293" i="2"/>
  <c r="M293" i="2"/>
  <c r="N293" i="2"/>
  <c r="O293" i="2"/>
  <c r="O648" i="8" s="1"/>
  <c r="O649" i="8" s="1"/>
  <c r="P293" i="2"/>
  <c r="Q293" i="2"/>
  <c r="R293" i="2"/>
  <c r="S293" i="2"/>
  <c r="T293" i="2"/>
  <c r="U293" i="2"/>
  <c r="U648" i="8" s="1"/>
  <c r="U649" i="8" s="1"/>
  <c r="V293" i="2"/>
  <c r="W293" i="2"/>
  <c r="W648" i="8" s="1"/>
  <c r="W649" i="8" s="1"/>
  <c r="X293" i="2"/>
  <c r="Y293" i="2"/>
  <c r="Z293" i="2"/>
  <c r="AA293" i="2"/>
  <c r="AB293" i="2"/>
  <c r="AC293" i="2"/>
  <c r="AD293" i="2"/>
  <c r="AE293" i="2"/>
  <c r="AE648" i="8" s="1"/>
  <c r="AE649" i="8" s="1"/>
  <c r="L294" i="2"/>
  <c r="M294" i="2"/>
  <c r="N294" i="2"/>
  <c r="O294" i="2"/>
  <c r="P294" i="2"/>
  <c r="P652" i="8" s="1"/>
  <c r="P653" i="8" s="1"/>
  <c r="Q294" i="2"/>
  <c r="Q652" i="8" s="1"/>
  <c r="Q653" i="8" s="1"/>
  <c r="R294" i="2"/>
  <c r="S294" i="2"/>
  <c r="T294" i="2"/>
  <c r="U294" i="2"/>
  <c r="V294" i="2"/>
  <c r="W294" i="2"/>
  <c r="W652" i="8" s="1"/>
  <c r="W653" i="8" s="1"/>
  <c r="X294" i="2"/>
  <c r="X652" i="8" s="1"/>
  <c r="X653" i="8" s="1"/>
  <c r="Y294" i="2"/>
  <c r="Z294" i="2"/>
  <c r="AA294" i="2"/>
  <c r="AB294" i="2"/>
  <c r="AC294" i="2"/>
  <c r="AD294" i="2"/>
  <c r="AE294" i="2"/>
  <c r="L295" i="2"/>
  <c r="M295" i="2"/>
  <c r="N295" i="2"/>
  <c r="O295" i="2"/>
  <c r="O656" i="8" s="1"/>
  <c r="O657" i="8" s="1"/>
  <c r="P295" i="2"/>
  <c r="P656" i="8" s="1"/>
  <c r="P657" i="8" s="1"/>
  <c r="Q295" i="2"/>
  <c r="R295" i="2"/>
  <c r="R656" i="8" s="1"/>
  <c r="R657" i="8" s="1"/>
  <c r="S295" i="2"/>
  <c r="S656" i="8" s="1"/>
  <c r="S657" i="8" s="1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E352" i="2"/>
  <c r="M55" i="14" s="1"/>
  <c r="F352" i="2"/>
  <c r="E353" i="2"/>
  <c r="O56" i="14" s="1"/>
  <c r="F353" i="2"/>
  <c r="E354" i="2"/>
  <c r="L57" i="14" s="1"/>
  <c r="F354" i="2"/>
  <c r="E355" i="2"/>
  <c r="S58" i="14" s="1"/>
  <c r="F355" i="2"/>
  <c r="E356" i="2"/>
  <c r="Y59" i="14" s="1"/>
  <c r="F356" i="2"/>
  <c r="E357" i="2"/>
  <c r="M60" i="14" s="1"/>
  <c r="F357" i="2"/>
  <c r="E358" i="2"/>
  <c r="M61" i="14" s="1"/>
  <c r="F358" i="2"/>
  <c r="E359" i="2"/>
  <c r="F359" i="2"/>
  <c r="H400" i="2"/>
  <c r="F120" i="3"/>
  <c r="G655" i="2" s="1"/>
  <c r="Y37" i="9"/>
  <c r="Y670" i="2" s="1"/>
  <c r="L37" i="9"/>
  <c r="N37" i="9" s="1"/>
  <c r="Y36" i="9"/>
  <c r="L36" i="9"/>
  <c r="N36" i="9" s="1"/>
  <c r="R36" i="9" s="1"/>
  <c r="Y35" i="9"/>
  <c r="Y668" i="2" s="1"/>
  <c r="L35" i="9"/>
  <c r="N35" i="9" s="1"/>
  <c r="N269" i="2" s="1"/>
  <c r="Y34" i="9"/>
  <c r="L34" i="9"/>
  <c r="N34" i="9" s="1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H573" i="2"/>
  <c r="G573" i="2"/>
  <c r="C573" i="2"/>
  <c r="L573" i="2" s="1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G557" i="2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H234" i="2"/>
  <c r="G234" i="2"/>
  <c r="C234" i="2"/>
  <c r="L234" i="2" s="1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H181" i="2"/>
  <c r="G181" i="2"/>
  <c r="C181" i="2"/>
  <c r="L181" i="2" s="1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H129" i="2"/>
  <c r="G129" i="2"/>
  <c r="Y129" i="2" s="1"/>
  <c r="C129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H60" i="2"/>
  <c r="G60" i="2"/>
  <c r="C60" i="2"/>
  <c r="L60" i="2" s="1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H56" i="2"/>
  <c r="G56" i="2"/>
  <c r="C56" i="2"/>
  <c r="L56" i="2" s="1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N37" i="18" l="1"/>
  <c r="F1895" i="8"/>
  <c r="F1899" i="8"/>
  <c r="F1900" i="8"/>
  <c r="F1864" i="8"/>
  <c r="D14" i="17"/>
  <c r="L19" i="15"/>
  <c r="L1834" i="8" s="1"/>
  <c r="M19" i="15"/>
  <c r="M1834" i="8" s="1"/>
  <c r="AB497" i="2"/>
  <c r="M617" i="2"/>
  <c r="Z557" i="2"/>
  <c r="AC59" i="14"/>
  <c r="AB60" i="14"/>
  <c r="T61" i="14"/>
  <c r="O55" i="14"/>
  <c r="AC58" i="14"/>
  <c r="W58" i="14"/>
  <c r="O62" i="14"/>
  <c r="AC62" i="14"/>
  <c r="T62" i="14"/>
  <c r="U62" i="14"/>
  <c r="V62" i="14"/>
  <c r="W62" i="14"/>
  <c r="X62" i="14"/>
  <c r="L62" i="14"/>
  <c r="AA62" i="14"/>
  <c r="R62" i="14"/>
  <c r="S62" i="14"/>
  <c r="Y62" i="14"/>
  <c r="Z62" i="14"/>
  <c r="AB62" i="14"/>
  <c r="AE62" i="14"/>
  <c r="P62" i="14"/>
  <c r="Q55" i="14"/>
  <c r="AE55" i="14"/>
  <c r="R55" i="14"/>
  <c r="S55" i="14"/>
  <c r="T55" i="14"/>
  <c r="U55" i="14"/>
  <c r="X55" i="14"/>
  <c r="P55" i="14"/>
  <c r="V55" i="14"/>
  <c r="W55" i="14"/>
  <c r="Y55" i="14"/>
  <c r="Z55" i="14"/>
  <c r="AB55" i="14"/>
  <c r="AC55" i="14"/>
  <c r="AD55" i="14"/>
  <c r="N55" i="14"/>
  <c r="L592" i="8"/>
  <c r="L593" i="8" s="1"/>
  <c r="L13" i="14"/>
  <c r="N1004" i="8"/>
  <c r="N1005" i="8" s="1"/>
  <c r="L55" i="14"/>
  <c r="X61" i="14"/>
  <c r="V56" i="14"/>
  <c r="S61" i="14"/>
  <c r="P263" i="14"/>
  <c r="AD263" i="14"/>
  <c r="Q263" i="14"/>
  <c r="AE263" i="14"/>
  <c r="R263" i="14"/>
  <c r="S263" i="14"/>
  <c r="T263" i="14"/>
  <c r="U263" i="14"/>
  <c r="V263" i="14"/>
  <c r="X263" i="14"/>
  <c r="M263" i="14"/>
  <c r="N263" i="14"/>
  <c r="O263" i="14"/>
  <c r="W263" i="14"/>
  <c r="Y263" i="14"/>
  <c r="Z263" i="14"/>
  <c r="AA263" i="14"/>
  <c r="L263" i="14"/>
  <c r="AC263" i="14"/>
  <c r="M675" i="2"/>
  <c r="N298" i="14"/>
  <c r="AA59" i="14"/>
  <c r="AB263" i="14"/>
  <c r="L588" i="8"/>
  <c r="L589" i="8" s="1"/>
  <c r="L12" i="14"/>
  <c r="O60" i="14"/>
  <c r="AC60" i="14"/>
  <c r="W60" i="14"/>
  <c r="X60" i="14"/>
  <c r="Y60" i="14"/>
  <c r="Z60" i="14"/>
  <c r="L60" i="14"/>
  <c r="AA60" i="14"/>
  <c r="P60" i="14"/>
  <c r="AE60" i="14"/>
  <c r="AD60" i="14"/>
  <c r="N60" i="14"/>
  <c r="Q60" i="14"/>
  <c r="R60" i="14"/>
  <c r="V60" i="14"/>
  <c r="Z59" i="14"/>
  <c r="X56" i="14"/>
  <c r="Y56" i="14"/>
  <c r="L56" i="14"/>
  <c r="Z56" i="14"/>
  <c r="M56" i="14"/>
  <c r="AA56" i="14"/>
  <c r="N56" i="14"/>
  <c r="AB56" i="14"/>
  <c r="Q56" i="14"/>
  <c r="AE56" i="14"/>
  <c r="P56" i="14"/>
  <c r="R56" i="14"/>
  <c r="S56" i="14"/>
  <c r="T56" i="14"/>
  <c r="U56" i="14"/>
  <c r="W56" i="14"/>
  <c r="AC56" i="14"/>
  <c r="AD56" i="14"/>
  <c r="V61" i="14"/>
  <c r="N61" i="14"/>
  <c r="AC61" i="14"/>
  <c r="O61" i="14"/>
  <c r="AD61" i="14"/>
  <c r="P61" i="14"/>
  <c r="AE61" i="14"/>
  <c r="Q61" i="14"/>
  <c r="R61" i="14"/>
  <c r="U61" i="14"/>
  <c r="Y61" i="14"/>
  <c r="Z61" i="14"/>
  <c r="AA61" i="14"/>
  <c r="AB61" i="14"/>
  <c r="L61" i="14"/>
  <c r="W61" i="14"/>
  <c r="M269" i="14"/>
  <c r="N269" i="14"/>
  <c r="P269" i="14"/>
  <c r="AD269" i="14"/>
  <c r="Q269" i="14"/>
  <c r="AE269" i="14"/>
  <c r="R269" i="14"/>
  <c r="S269" i="14"/>
  <c r="T269" i="14"/>
  <c r="U269" i="14"/>
  <c r="V269" i="14"/>
  <c r="X269" i="14"/>
  <c r="L269" i="14"/>
  <c r="O269" i="14"/>
  <c r="W269" i="14"/>
  <c r="Y269" i="14"/>
  <c r="Z269" i="14"/>
  <c r="AA269" i="14"/>
  <c r="AB269" i="14"/>
  <c r="AC269" i="14"/>
  <c r="W262" i="14"/>
  <c r="X262" i="14"/>
  <c r="Y262" i="14"/>
  <c r="L262" i="14"/>
  <c r="Z262" i="14"/>
  <c r="M262" i="14"/>
  <c r="AA262" i="14"/>
  <c r="N262" i="14"/>
  <c r="AB262" i="14"/>
  <c r="O262" i="14"/>
  <c r="AC262" i="14"/>
  <c r="Q262" i="14"/>
  <c r="AE262" i="14"/>
  <c r="U262" i="14"/>
  <c r="V262" i="14"/>
  <c r="AD262" i="14"/>
  <c r="R262" i="14"/>
  <c r="S262" i="14"/>
  <c r="T262" i="14"/>
  <c r="P262" i="14"/>
  <c r="AD57" i="14"/>
  <c r="AD62" i="14"/>
  <c r="Q59" i="14"/>
  <c r="AE59" i="14"/>
  <c r="R59" i="14"/>
  <c r="S59" i="14"/>
  <c r="T59" i="14"/>
  <c r="U59" i="14"/>
  <c r="X59" i="14"/>
  <c r="AD59" i="14"/>
  <c r="L59" i="14"/>
  <c r="M59" i="14"/>
  <c r="N59" i="14"/>
  <c r="P59" i="14"/>
  <c r="V59" i="14"/>
  <c r="W59" i="14"/>
  <c r="AB59" i="14"/>
  <c r="M282" i="2"/>
  <c r="L282" i="2" s="1"/>
  <c r="N89" i="14"/>
  <c r="AC57" i="14"/>
  <c r="O59" i="14"/>
  <c r="Q62" i="14"/>
  <c r="P265" i="14"/>
  <c r="AD265" i="14"/>
  <c r="Q265" i="14"/>
  <c r="AE265" i="14"/>
  <c r="R265" i="14"/>
  <c r="S265" i="14"/>
  <c r="T265" i="14"/>
  <c r="U265" i="14"/>
  <c r="V265" i="14"/>
  <c r="X265" i="14"/>
  <c r="Z265" i="14"/>
  <c r="AA265" i="14"/>
  <c r="AB265" i="14"/>
  <c r="AC265" i="14"/>
  <c r="M265" i="14"/>
  <c r="O265" i="14"/>
  <c r="W265" i="14"/>
  <c r="Y265" i="14"/>
  <c r="L265" i="14"/>
  <c r="N265" i="14"/>
  <c r="N302" i="14"/>
  <c r="N96" i="14"/>
  <c r="N88" i="14"/>
  <c r="W268" i="14"/>
  <c r="X268" i="14"/>
  <c r="Y268" i="14"/>
  <c r="L268" i="14"/>
  <c r="Z268" i="14"/>
  <c r="M268" i="14"/>
  <c r="AA268" i="14"/>
  <c r="N268" i="14"/>
  <c r="AB268" i="14"/>
  <c r="O268" i="14"/>
  <c r="AC268" i="14"/>
  <c r="Q268" i="14"/>
  <c r="AE268" i="14"/>
  <c r="V268" i="14"/>
  <c r="AD268" i="14"/>
  <c r="P268" i="14"/>
  <c r="R268" i="14"/>
  <c r="S268" i="14"/>
  <c r="T268" i="14"/>
  <c r="U268" i="14"/>
  <c r="AB57" i="14"/>
  <c r="N62" i="14"/>
  <c r="X58" i="14"/>
  <c r="Y58" i="14"/>
  <c r="L58" i="14"/>
  <c r="Z58" i="14"/>
  <c r="M58" i="14"/>
  <c r="AA58" i="14"/>
  <c r="N58" i="14"/>
  <c r="AB58" i="14"/>
  <c r="Q58" i="14"/>
  <c r="AE58" i="14"/>
  <c r="O58" i="14"/>
  <c r="P58" i="14"/>
  <c r="R58" i="14"/>
  <c r="T58" i="14"/>
  <c r="U58" i="14"/>
  <c r="V58" i="14"/>
  <c r="N612" i="8"/>
  <c r="N613" i="8" s="1"/>
  <c r="N87" i="14"/>
  <c r="W57" i="14"/>
  <c r="M62" i="14"/>
  <c r="W264" i="14"/>
  <c r="X264" i="14"/>
  <c r="Y264" i="14"/>
  <c r="L264" i="14"/>
  <c r="Z264" i="14"/>
  <c r="M264" i="14"/>
  <c r="AA264" i="14"/>
  <c r="N264" i="14"/>
  <c r="AB264" i="14"/>
  <c r="O264" i="14"/>
  <c r="AC264" i="14"/>
  <c r="Q264" i="14"/>
  <c r="AE264" i="14"/>
  <c r="P264" i="14"/>
  <c r="R264" i="14"/>
  <c r="U264" i="14"/>
  <c r="S264" i="14"/>
  <c r="V264" i="14"/>
  <c r="AD264" i="14"/>
  <c r="T264" i="14"/>
  <c r="N94" i="14"/>
  <c r="P267" i="14"/>
  <c r="AD267" i="14"/>
  <c r="Q267" i="14"/>
  <c r="AE267" i="14"/>
  <c r="R267" i="14"/>
  <c r="S267" i="14"/>
  <c r="T267" i="14"/>
  <c r="U267" i="14"/>
  <c r="V267" i="14"/>
  <c r="X267" i="14"/>
  <c r="L267" i="14"/>
  <c r="M267" i="14"/>
  <c r="N267" i="14"/>
  <c r="O267" i="14"/>
  <c r="Z267" i="14"/>
  <c r="Y267" i="14"/>
  <c r="AA267" i="14"/>
  <c r="AB267" i="14"/>
  <c r="AC267" i="14"/>
  <c r="U60" i="14"/>
  <c r="N996" i="8"/>
  <c r="N997" i="8" s="1"/>
  <c r="Q57" i="14"/>
  <c r="AE57" i="14"/>
  <c r="R57" i="14"/>
  <c r="S57" i="14"/>
  <c r="T57" i="14"/>
  <c r="U57" i="14"/>
  <c r="X57" i="14"/>
  <c r="M57" i="14"/>
  <c r="N57" i="14"/>
  <c r="O57" i="14"/>
  <c r="P57" i="14"/>
  <c r="V57" i="14"/>
  <c r="Y57" i="14"/>
  <c r="Z57" i="14"/>
  <c r="AA57" i="14"/>
  <c r="N93" i="14"/>
  <c r="N305" i="14"/>
  <c r="T60" i="14"/>
  <c r="M277" i="2"/>
  <c r="L277" i="2" s="1"/>
  <c r="N92" i="14"/>
  <c r="N84" i="14"/>
  <c r="W266" i="14"/>
  <c r="X266" i="14"/>
  <c r="Y266" i="14"/>
  <c r="L266" i="14"/>
  <c r="Z266" i="14"/>
  <c r="M266" i="14"/>
  <c r="AA266" i="14"/>
  <c r="N266" i="14"/>
  <c r="AB266" i="14"/>
  <c r="O266" i="14"/>
  <c r="AC266" i="14"/>
  <c r="Q266" i="14"/>
  <c r="AE266" i="14"/>
  <c r="P266" i="14"/>
  <c r="R266" i="14"/>
  <c r="S266" i="14"/>
  <c r="T266" i="14"/>
  <c r="U266" i="14"/>
  <c r="V266" i="14"/>
  <c r="AD266" i="14"/>
  <c r="N1016" i="8"/>
  <c r="N1017" i="8" s="1"/>
  <c r="N304" i="14"/>
  <c r="AA55" i="14"/>
  <c r="AD58" i="14"/>
  <c r="S60" i="14"/>
  <c r="U13" i="13"/>
  <c r="U33" i="13" s="1"/>
  <c r="V37" i="13"/>
  <c r="V31" i="13"/>
  <c r="Q12" i="13"/>
  <c r="Q32" i="13" s="1"/>
  <c r="T17" i="13"/>
  <c r="T37" i="13" s="1"/>
  <c r="R17" i="13"/>
  <c r="R37" i="13" s="1"/>
  <c r="M17" i="13"/>
  <c r="M37" i="13" s="1"/>
  <c r="AC10" i="13"/>
  <c r="AC30" i="13" s="1"/>
  <c r="P15" i="13"/>
  <c r="P35" i="13" s="1"/>
  <c r="R10" i="13"/>
  <c r="R30" i="13" s="1"/>
  <c r="Q10" i="13"/>
  <c r="Q30" i="13" s="1"/>
  <c r="AE16" i="13"/>
  <c r="AE36" i="13" s="1"/>
  <c r="AC16" i="13"/>
  <c r="AC36" i="13" s="1"/>
  <c r="Q152" i="13"/>
  <c r="AB16" i="13"/>
  <c r="AB36" i="13" s="1"/>
  <c r="Y11" i="13"/>
  <c r="Y31" i="13" s="1"/>
  <c r="Q16" i="13"/>
  <c r="Q36" i="13" s="1"/>
  <c r="AB12" i="13"/>
  <c r="AB32" i="13" s="1"/>
  <c r="AB17" i="13"/>
  <c r="AB37" i="13" s="1"/>
  <c r="W12" i="13"/>
  <c r="W32" i="13" s="1"/>
  <c r="W17" i="13"/>
  <c r="W37" i="13" s="1"/>
  <c r="AD33" i="13"/>
  <c r="AD656" i="8"/>
  <c r="AD657" i="8" s="1"/>
  <c r="AA1048" i="8"/>
  <c r="AA1049" i="8" s="1"/>
  <c r="S1044" i="8"/>
  <c r="S1045" i="8" s="1"/>
  <c r="AE1036" i="8"/>
  <c r="AE1037" i="8" s="1"/>
  <c r="W1032" i="8"/>
  <c r="W1033" i="8" s="1"/>
  <c r="O1028" i="8"/>
  <c r="O1029" i="8" s="1"/>
  <c r="L151" i="13"/>
  <c r="Z151" i="13"/>
  <c r="M151" i="13"/>
  <c r="AA151" i="13"/>
  <c r="O151" i="13"/>
  <c r="AC151" i="13"/>
  <c r="U151" i="13"/>
  <c r="V151" i="13"/>
  <c r="W151" i="13"/>
  <c r="X151" i="13"/>
  <c r="Y151" i="13"/>
  <c r="AB151" i="13"/>
  <c r="N151" i="13"/>
  <c r="AD151" i="13"/>
  <c r="AE151" i="13"/>
  <c r="R151" i="13"/>
  <c r="S151" i="13"/>
  <c r="P151" i="13"/>
  <c r="Q151" i="13"/>
  <c r="T151" i="13"/>
  <c r="AC656" i="8"/>
  <c r="AC657" i="8" s="1"/>
  <c r="U652" i="8"/>
  <c r="U653" i="8" s="1"/>
  <c r="AA648" i="8"/>
  <c r="AA649" i="8" s="1"/>
  <c r="M648" i="8"/>
  <c r="M649" i="8" s="1"/>
  <c r="S644" i="8"/>
  <c r="S645" i="8" s="1"/>
  <c r="Y640" i="8"/>
  <c r="Y641" i="8" s="1"/>
  <c r="W632" i="8"/>
  <c r="W633" i="8" s="1"/>
  <c r="AC628" i="8"/>
  <c r="AC629" i="8" s="1"/>
  <c r="O628" i="8"/>
  <c r="O629" i="8" s="1"/>
  <c r="S10" i="13"/>
  <c r="S30" i="13" s="1"/>
  <c r="T10" i="13"/>
  <c r="T30" i="13" s="1"/>
  <c r="U10" i="13"/>
  <c r="U30" i="13" s="1"/>
  <c r="V10" i="13"/>
  <c r="V30" i="13" s="1"/>
  <c r="X10" i="13"/>
  <c r="X30" i="13" s="1"/>
  <c r="Y10" i="13"/>
  <c r="Y30" i="13" s="1"/>
  <c r="L10" i="13"/>
  <c r="L30" i="13" s="1"/>
  <c r="Z10" i="13"/>
  <c r="Z30" i="13" s="1"/>
  <c r="M10" i="13"/>
  <c r="M30" i="13" s="1"/>
  <c r="AA10" i="13"/>
  <c r="AA30" i="13" s="1"/>
  <c r="P10" i="13"/>
  <c r="P30" i="13" s="1"/>
  <c r="AD10" i="13"/>
  <c r="AD30" i="13" s="1"/>
  <c r="T1052" i="8"/>
  <c r="T1053" i="8" s="1"/>
  <c r="Z1048" i="8"/>
  <c r="Z1049" i="8" s="1"/>
  <c r="L1048" i="8"/>
  <c r="L1049" i="8" s="1"/>
  <c r="R1044" i="8"/>
  <c r="R1045" i="8" s="1"/>
  <c r="X1040" i="8"/>
  <c r="X1041" i="8" s="1"/>
  <c r="AD1036" i="8"/>
  <c r="AD1037" i="8" s="1"/>
  <c r="P1036" i="8"/>
  <c r="P1037" i="8" s="1"/>
  <c r="V1032" i="8"/>
  <c r="V1033" i="8" s="1"/>
  <c r="AB1028" i="8"/>
  <c r="AB1029" i="8" s="1"/>
  <c r="N1028" i="8"/>
  <c r="N1029" i="8" s="1"/>
  <c r="T1024" i="8"/>
  <c r="T1025" i="8" s="1"/>
  <c r="V35" i="13"/>
  <c r="AB10" i="13"/>
  <c r="AB30" i="13" s="1"/>
  <c r="AE12" i="13"/>
  <c r="AE32" i="13" s="1"/>
  <c r="P13" i="13"/>
  <c r="P33" i="13" s="1"/>
  <c r="V652" i="8"/>
  <c r="V653" i="8" s="1"/>
  <c r="AB648" i="8"/>
  <c r="AB649" i="8" s="1"/>
  <c r="N648" i="8"/>
  <c r="N649" i="8" s="1"/>
  <c r="T644" i="8"/>
  <c r="T645" i="8" s="1"/>
  <c r="Z640" i="8"/>
  <c r="Z641" i="8" s="1"/>
  <c r="L640" i="8"/>
  <c r="L641" i="8" s="1"/>
  <c r="X632" i="8"/>
  <c r="X633" i="8" s="1"/>
  <c r="P628" i="8"/>
  <c r="P629" i="8" s="1"/>
  <c r="L15" i="13"/>
  <c r="L35" i="13" s="1"/>
  <c r="Z15" i="13"/>
  <c r="Z35" i="13" s="1"/>
  <c r="M15" i="13"/>
  <c r="M35" i="13" s="1"/>
  <c r="AA15" i="13"/>
  <c r="AA35" i="13" s="1"/>
  <c r="N15" i="13"/>
  <c r="N35" i="13" s="1"/>
  <c r="AB15" i="13"/>
  <c r="AB35" i="13" s="1"/>
  <c r="O15" i="13"/>
  <c r="O35" i="13" s="1"/>
  <c r="AC15" i="13"/>
  <c r="AC35" i="13" s="1"/>
  <c r="Q15" i="13"/>
  <c r="Q35" i="13" s="1"/>
  <c r="AE15" i="13"/>
  <c r="AE35" i="13" s="1"/>
  <c r="R15" i="13"/>
  <c r="R35" i="13" s="1"/>
  <c r="S15" i="13"/>
  <c r="S35" i="13" s="1"/>
  <c r="T15" i="13"/>
  <c r="T35" i="13" s="1"/>
  <c r="W15" i="13"/>
  <c r="W35" i="13" s="1"/>
  <c r="U1052" i="8"/>
  <c r="U1053" i="8" s="1"/>
  <c r="M1048" i="8"/>
  <c r="M1049" i="8" s="1"/>
  <c r="Y1040" i="8"/>
  <c r="Y1041" i="8" s="1"/>
  <c r="Q1036" i="8"/>
  <c r="Q1037" i="8" s="1"/>
  <c r="AC1028" i="8"/>
  <c r="AC1029" i="8" s="1"/>
  <c r="U1024" i="8"/>
  <c r="U1025" i="8" s="1"/>
  <c r="X15" i="13"/>
  <c r="X35" i="13" s="1"/>
  <c r="AB656" i="8"/>
  <c r="AB657" i="8" s="1"/>
  <c r="N656" i="8"/>
  <c r="N657" i="8" s="1"/>
  <c r="T652" i="8"/>
  <c r="T653" i="8" s="1"/>
  <c r="Z648" i="8"/>
  <c r="Z649" i="8" s="1"/>
  <c r="L648" i="8"/>
  <c r="L649" i="8" s="1"/>
  <c r="R644" i="8"/>
  <c r="R645" i="8" s="1"/>
  <c r="X640" i="8"/>
  <c r="X641" i="8" s="1"/>
  <c r="AD636" i="8"/>
  <c r="AD637" i="8" s="1"/>
  <c r="P636" i="8"/>
  <c r="P637" i="8" s="1"/>
  <c r="S1052" i="8"/>
  <c r="S1053" i="8" s="1"/>
  <c r="Y1048" i="8"/>
  <c r="Y1049" i="8" s="1"/>
  <c r="AE1044" i="8"/>
  <c r="AE1045" i="8" s="1"/>
  <c r="Q1044" i="8"/>
  <c r="Q1045" i="8" s="1"/>
  <c r="W1040" i="8"/>
  <c r="W1041" i="8" s="1"/>
  <c r="AC1036" i="8"/>
  <c r="AC1037" i="8" s="1"/>
  <c r="O1036" i="8"/>
  <c r="O1037" i="8" s="1"/>
  <c r="U1032" i="8"/>
  <c r="U1033" i="8" s="1"/>
  <c r="AA1028" i="8"/>
  <c r="AA1029" i="8" s="1"/>
  <c r="S1024" i="8"/>
  <c r="S1025" i="8" s="1"/>
  <c r="L155" i="13"/>
  <c r="Z155" i="13"/>
  <c r="M155" i="13"/>
  <c r="AA155" i="13"/>
  <c r="O155" i="13"/>
  <c r="AC155" i="13"/>
  <c r="Q155" i="13"/>
  <c r="R155" i="13"/>
  <c r="S155" i="13"/>
  <c r="T155" i="13"/>
  <c r="U155" i="13"/>
  <c r="V155" i="13"/>
  <c r="Y155" i="13"/>
  <c r="W155" i="13"/>
  <c r="X155" i="13"/>
  <c r="P155" i="13"/>
  <c r="AD155" i="13"/>
  <c r="AB155" i="13"/>
  <c r="AE155" i="13"/>
  <c r="W10" i="13"/>
  <c r="W30" i="13" s="1"/>
  <c r="AC12" i="13"/>
  <c r="AC32" i="13" s="1"/>
  <c r="U15" i="13"/>
  <c r="U35" i="13" s="1"/>
  <c r="X648" i="8"/>
  <c r="X649" i="8" s="1"/>
  <c r="AB636" i="8"/>
  <c r="AB637" i="8" s="1"/>
  <c r="AE1052" i="8"/>
  <c r="AE1053" i="8" s="1"/>
  <c r="Y1028" i="8"/>
  <c r="Y1029" i="8" s="1"/>
  <c r="Y656" i="8"/>
  <c r="Y657" i="8" s="1"/>
  <c r="AE652" i="8"/>
  <c r="AE653" i="8" s="1"/>
  <c r="O644" i="8"/>
  <c r="O645" i="8" s="1"/>
  <c r="U640" i="8"/>
  <c r="U641" i="8" s="1"/>
  <c r="AA636" i="8"/>
  <c r="AA637" i="8" s="1"/>
  <c r="M636" i="8"/>
  <c r="M637" i="8" s="1"/>
  <c r="Y628" i="8"/>
  <c r="Y629" i="8" s="1"/>
  <c r="AD1052" i="8"/>
  <c r="AD1053" i="8" s="1"/>
  <c r="P1052" i="8"/>
  <c r="P1053" i="8" s="1"/>
  <c r="V1048" i="8"/>
  <c r="V1049" i="8" s="1"/>
  <c r="AB1044" i="8"/>
  <c r="AB1045" i="8" s="1"/>
  <c r="N1044" i="8"/>
  <c r="N1045" i="8" s="1"/>
  <c r="T1040" i="8"/>
  <c r="T1041" i="8" s="1"/>
  <c r="Z1036" i="8"/>
  <c r="Z1037" i="8" s="1"/>
  <c r="L1036" i="8"/>
  <c r="L1037" i="8" s="1"/>
  <c r="R1032" i="8"/>
  <c r="R1033" i="8" s="1"/>
  <c r="X1028" i="8"/>
  <c r="X1029" i="8" s="1"/>
  <c r="AD1024" i="8"/>
  <c r="AD1025" i="8" s="1"/>
  <c r="P1024" i="8"/>
  <c r="P1025" i="8" s="1"/>
  <c r="S154" i="13"/>
  <c r="T154" i="13"/>
  <c r="V154" i="13"/>
  <c r="M154" i="13"/>
  <c r="AD154" i="13"/>
  <c r="N154" i="13"/>
  <c r="AE154" i="13"/>
  <c r="O154" i="13"/>
  <c r="P154" i="13"/>
  <c r="Q154" i="13"/>
  <c r="R154" i="13"/>
  <c r="X154" i="13"/>
  <c r="Y154" i="13"/>
  <c r="Z154" i="13"/>
  <c r="L154" i="13"/>
  <c r="U154" i="13"/>
  <c r="W154" i="13"/>
  <c r="AA154" i="13"/>
  <c r="AB154" i="13"/>
  <c r="AC154" i="13"/>
  <c r="O10" i="13"/>
  <c r="O30" i="13" s="1"/>
  <c r="R12" i="13"/>
  <c r="R32" i="13" s="1"/>
  <c r="AB14" i="13"/>
  <c r="AB34" i="13" s="1"/>
  <c r="O1052" i="8"/>
  <c r="O1053" i="8" s="1"/>
  <c r="Q1032" i="8"/>
  <c r="Q1033" i="8" s="1"/>
  <c r="W656" i="8"/>
  <c r="W657" i="8" s="1"/>
  <c r="AC652" i="8"/>
  <c r="AC653" i="8" s="1"/>
  <c r="O652" i="8"/>
  <c r="O653" i="8" s="1"/>
  <c r="AA644" i="8"/>
  <c r="AA645" i="8" s="1"/>
  <c r="M644" i="8"/>
  <c r="M645" i="8" s="1"/>
  <c r="S640" i="8"/>
  <c r="S641" i="8" s="1"/>
  <c r="Y636" i="8"/>
  <c r="Y637" i="8" s="1"/>
  <c r="AE632" i="8"/>
  <c r="AE633" i="8" s="1"/>
  <c r="Q632" i="8"/>
  <c r="Q633" i="8" s="1"/>
  <c r="N1052" i="8"/>
  <c r="N1053" i="8" s="1"/>
  <c r="T1048" i="8"/>
  <c r="T1049" i="8" s="1"/>
  <c r="Z1044" i="8"/>
  <c r="Z1045" i="8" s="1"/>
  <c r="L1044" i="8"/>
  <c r="L1045" i="8" s="1"/>
  <c r="R1040" i="8"/>
  <c r="R1041" i="8" s="1"/>
  <c r="X1036" i="8"/>
  <c r="X1037" i="8" s="1"/>
  <c r="AD1032" i="8"/>
  <c r="AD1033" i="8" s="1"/>
  <c r="P1032" i="8"/>
  <c r="P1033" i="8" s="1"/>
  <c r="V1028" i="8"/>
  <c r="V1029" i="8" s="1"/>
  <c r="AB1024" i="8"/>
  <c r="AB1025" i="8" s="1"/>
  <c r="N1024" i="8"/>
  <c r="N1025" i="8" s="1"/>
  <c r="P36" i="13"/>
  <c r="O12" i="13"/>
  <c r="O32" i="13" s="1"/>
  <c r="AA656" i="8"/>
  <c r="AA657" i="8" s="1"/>
  <c r="Y648" i="8"/>
  <c r="Y649" i="8" s="1"/>
  <c r="AC636" i="8"/>
  <c r="AC637" i="8" s="1"/>
  <c r="AA628" i="8"/>
  <c r="AA629" i="8" s="1"/>
  <c r="S14" i="13"/>
  <c r="S34" i="13" s="1"/>
  <c r="T14" i="13"/>
  <c r="T34" i="13" s="1"/>
  <c r="U14" i="13"/>
  <c r="U34" i="13" s="1"/>
  <c r="V14" i="13"/>
  <c r="V34" i="13" s="1"/>
  <c r="X14" i="13"/>
  <c r="X34" i="13" s="1"/>
  <c r="Y14" i="13"/>
  <c r="Y34" i="13" s="1"/>
  <c r="L14" i="13"/>
  <c r="L34" i="13" s="1"/>
  <c r="Z14" i="13"/>
  <c r="Z34" i="13" s="1"/>
  <c r="M14" i="13"/>
  <c r="M34" i="13" s="1"/>
  <c r="AA14" i="13"/>
  <c r="AA34" i="13" s="1"/>
  <c r="P14" i="13"/>
  <c r="P34" i="13" s="1"/>
  <c r="AD14" i="13"/>
  <c r="AD34" i="13" s="1"/>
  <c r="R1052" i="8"/>
  <c r="R1053" i="8" s="1"/>
  <c r="AD1044" i="8"/>
  <c r="AD1045" i="8" s="1"/>
  <c r="V1040" i="8"/>
  <c r="V1041" i="8" s="1"/>
  <c r="AB1036" i="8"/>
  <c r="AB1037" i="8" s="1"/>
  <c r="T1032" i="8"/>
  <c r="T1033" i="8" s="1"/>
  <c r="L1028" i="8"/>
  <c r="L1029" i="8" s="1"/>
  <c r="S150" i="13"/>
  <c r="T150" i="13"/>
  <c r="V150" i="13"/>
  <c r="Q150" i="13"/>
  <c r="R150" i="13"/>
  <c r="U150" i="13"/>
  <c r="W150" i="13"/>
  <c r="X150" i="13"/>
  <c r="Y150" i="13"/>
  <c r="AB150" i="13"/>
  <c r="N150" i="13"/>
  <c r="O150" i="13"/>
  <c r="AD150" i="13"/>
  <c r="AE150" i="13"/>
  <c r="AA150" i="13"/>
  <c r="L150" i="13"/>
  <c r="M150" i="13"/>
  <c r="P150" i="13"/>
  <c r="Z150" i="13"/>
  <c r="AE14" i="13"/>
  <c r="AE34" i="13" s="1"/>
  <c r="AC1044" i="8"/>
  <c r="AC1045" i="8" s="1"/>
  <c r="U1040" i="8"/>
  <c r="U1041" i="8" s="1"/>
  <c r="M1036" i="8"/>
  <c r="M1037" i="8" s="1"/>
  <c r="Q1024" i="8"/>
  <c r="Q1025" i="8" s="1"/>
  <c r="V656" i="8"/>
  <c r="V657" i="8" s="1"/>
  <c r="AB652" i="8"/>
  <c r="AB653" i="8" s="1"/>
  <c r="N652" i="8"/>
  <c r="N653" i="8" s="1"/>
  <c r="T648" i="8"/>
  <c r="T649" i="8" s="1"/>
  <c r="Z644" i="8"/>
  <c r="Z645" i="8" s="1"/>
  <c r="L644" i="8"/>
  <c r="L645" i="8" s="1"/>
  <c r="R640" i="8"/>
  <c r="R641" i="8" s="1"/>
  <c r="X636" i="8"/>
  <c r="X637" i="8" s="1"/>
  <c r="P632" i="8"/>
  <c r="P633" i="8" s="1"/>
  <c r="V628" i="8"/>
  <c r="V629" i="8" s="1"/>
  <c r="S17" i="13"/>
  <c r="S37" i="13" s="1"/>
  <c r="X17" i="13"/>
  <c r="X37" i="13" s="1"/>
  <c r="Y17" i="13"/>
  <c r="Y37" i="13" s="1"/>
  <c r="Z17" i="13"/>
  <c r="Z37" i="13" s="1"/>
  <c r="L17" i="13"/>
  <c r="L37" i="13" s="1"/>
  <c r="AA17" i="13"/>
  <c r="AA37" i="13" s="1"/>
  <c r="N17" i="13"/>
  <c r="N37" i="13" s="1"/>
  <c r="AC17" i="13"/>
  <c r="AC37" i="13" s="1"/>
  <c r="O17" i="13"/>
  <c r="O37" i="13" s="1"/>
  <c r="AD17" i="13"/>
  <c r="AD37" i="13" s="1"/>
  <c r="P17" i="13"/>
  <c r="P37" i="13" s="1"/>
  <c r="AE17" i="13"/>
  <c r="AE37" i="13" s="1"/>
  <c r="Q17" i="13"/>
  <c r="Q37" i="13" s="1"/>
  <c r="U17" i="13"/>
  <c r="U37" i="13" s="1"/>
  <c r="AA1052" i="8"/>
  <c r="AA1053" i="8" s="1"/>
  <c r="M1052" i="8"/>
  <c r="M1053" i="8" s="1"/>
  <c r="S1048" i="8"/>
  <c r="S1049" i="8" s="1"/>
  <c r="Y1044" i="8"/>
  <c r="Y1045" i="8" s="1"/>
  <c r="AE1040" i="8"/>
  <c r="AE1041" i="8" s="1"/>
  <c r="Q1040" i="8"/>
  <c r="Q1041" i="8" s="1"/>
  <c r="W1036" i="8"/>
  <c r="W1037" i="8" s="1"/>
  <c r="AC1032" i="8"/>
  <c r="AC1033" i="8" s="1"/>
  <c r="O1032" i="8"/>
  <c r="O1033" i="8" s="1"/>
  <c r="U1028" i="8"/>
  <c r="U1029" i="8" s="1"/>
  <c r="AA1024" i="8"/>
  <c r="AA1025" i="8" s="1"/>
  <c r="M1024" i="8"/>
  <c r="M1025" i="8" s="1"/>
  <c r="L153" i="13"/>
  <c r="Z153" i="13"/>
  <c r="M153" i="13"/>
  <c r="AA153" i="13"/>
  <c r="O153" i="13"/>
  <c r="AC153" i="13"/>
  <c r="AB153" i="13"/>
  <c r="AD153" i="13"/>
  <c r="AE153" i="13"/>
  <c r="N153" i="13"/>
  <c r="P153" i="13"/>
  <c r="Q153" i="13"/>
  <c r="T153" i="13"/>
  <c r="R153" i="13"/>
  <c r="X153" i="13"/>
  <c r="Y153" i="13"/>
  <c r="U153" i="13"/>
  <c r="V153" i="13"/>
  <c r="W153" i="13"/>
  <c r="AD11" i="13"/>
  <c r="AD31" i="13" s="1"/>
  <c r="Q14" i="13"/>
  <c r="Q34" i="13" s="1"/>
  <c r="V16" i="13"/>
  <c r="V36" i="13" s="1"/>
  <c r="N155" i="13"/>
  <c r="S652" i="8"/>
  <c r="S653" i="8" s="1"/>
  <c r="N1036" i="8"/>
  <c r="N1037" i="8" s="1"/>
  <c r="Q1052" i="8"/>
  <c r="Q1053" i="8" s="1"/>
  <c r="W14" i="13"/>
  <c r="W34" i="13" s="1"/>
  <c r="U656" i="8"/>
  <c r="U657" i="8" s="1"/>
  <c r="AA652" i="8"/>
  <c r="AA653" i="8" s="1"/>
  <c r="M652" i="8"/>
  <c r="M653" i="8" s="1"/>
  <c r="S648" i="8"/>
  <c r="S649" i="8" s="1"/>
  <c r="Y644" i="8"/>
  <c r="Y645" i="8" s="1"/>
  <c r="AE640" i="8"/>
  <c r="AE641" i="8" s="1"/>
  <c r="Q640" i="8"/>
  <c r="Q641" i="8" s="1"/>
  <c r="W636" i="8"/>
  <c r="W637" i="8" s="1"/>
  <c r="AC632" i="8"/>
  <c r="AC633" i="8" s="1"/>
  <c r="O632" i="8"/>
  <c r="O633" i="8" s="1"/>
  <c r="U628" i="8"/>
  <c r="U629" i="8" s="1"/>
  <c r="S12" i="13"/>
  <c r="S32" i="13" s="1"/>
  <c r="T12" i="13"/>
  <c r="T32" i="13" s="1"/>
  <c r="U12" i="13"/>
  <c r="U32" i="13" s="1"/>
  <c r="V12" i="13"/>
  <c r="V32" i="13" s="1"/>
  <c r="X12" i="13"/>
  <c r="X32" i="13" s="1"/>
  <c r="Y12" i="13"/>
  <c r="Y32" i="13" s="1"/>
  <c r="L12" i="13"/>
  <c r="L32" i="13" s="1"/>
  <c r="Z12" i="13"/>
  <c r="Z32" i="13" s="1"/>
  <c r="M12" i="13"/>
  <c r="M32" i="13" s="1"/>
  <c r="AA12" i="13"/>
  <c r="AA32" i="13" s="1"/>
  <c r="P12" i="13"/>
  <c r="P32" i="13" s="1"/>
  <c r="AD12" i="13"/>
  <c r="AD32" i="13" s="1"/>
  <c r="Z1052" i="8"/>
  <c r="Z1053" i="8" s="1"/>
  <c r="L1052" i="8"/>
  <c r="L1053" i="8" s="1"/>
  <c r="R1048" i="8"/>
  <c r="R1049" i="8" s="1"/>
  <c r="X1044" i="8"/>
  <c r="X1045" i="8" s="1"/>
  <c r="AD1040" i="8"/>
  <c r="AD1041" i="8" s="1"/>
  <c r="P1040" i="8"/>
  <c r="P1041" i="8" s="1"/>
  <c r="V1036" i="8"/>
  <c r="V1037" i="8" s="1"/>
  <c r="AB1032" i="8"/>
  <c r="AB1033" i="8" s="1"/>
  <c r="N1032" i="8"/>
  <c r="N1033" i="8" s="1"/>
  <c r="T1028" i="8"/>
  <c r="T1029" i="8" s="1"/>
  <c r="Z1024" i="8"/>
  <c r="Z1025" i="8" s="1"/>
  <c r="L1024" i="8"/>
  <c r="L1025" i="8" s="1"/>
  <c r="O14" i="13"/>
  <c r="O34" i="13" s="1"/>
  <c r="M656" i="8"/>
  <c r="M657" i="8" s="1"/>
  <c r="X1048" i="8"/>
  <c r="X1049" i="8" s="1"/>
  <c r="R1024" i="8"/>
  <c r="R1025" i="8" s="1"/>
  <c r="L656" i="8"/>
  <c r="L657" i="8" s="1"/>
  <c r="T632" i="8"/>
  <c r="T633" i="8" s="1"/>
  <c r="L628" i="8"/>
  <c r="L629" i="8" s="1"/>
  <c r="S1032" i="8"/>
  <c r="S1033" i="8" s="1"/>
  <c r="N644" i="8"/>
  <c r="N645" i="8" s="1"/>
  <c r="X628" i="8"/>
  <c r="X629" i="8" s="1"/>
  <c r="U1048" i="8"/>
  <c r="U1049" i="8" s="1"/>
  <c r="T656" i="8"/>
  <c r="T657" i="8" s="1"/>
  <c r="Z652" i="8"/>
  <c r="Z653" i="8" s="1"/>
  <c r="L652" i="8"/>
  <c r="L653" i="8" s="1"/>
  <c r="R648" i="8"/>
  <c r="R649" i="8" s="1"/>
  <c r="X644" i="8"/>
  <c r="X645" i="8" s="1"/>
  <c r="AD640" i="8"/>
  <c r="AD641" i="8" s="1"/>
  <c r="V636" i="8"/>
  <c r="V637" i="8" s="1"/>
  <c r="AB632" i="8"/>
  <c r="AB633" i="8" s="1"/>
  <c r="N632" i="8"/>
  <c r="N633" i="8" s="1"/>
  <c r="T628" i="8"/>
  <c r="T629" i="8" s="1"/>
  <c r="Y1052" i="8"/>
  <c r="Y1053" i="8" s="1"/>
  <c r="AE1048" i="8"/>
  <c r="AE1049" i="8" s="1"/>
  <c r="Q1048" i="8"/>
  <c r="Q1049" i="8" s="1"/>
  <c r="W1044" i="8"/>
  <c r="W1045" i="8" s="1"/>
  <c r="AC1040" i="8"/>
  <c r="AC1041" i="8" s="1"/>
  <c r="O1040" i="8"/>
  <c r="O1041" i="8" s="1"/>
  <c r="U1036" i="8"/>
  <c r="U1037" i="8" s="1"/>
  <c r="AA1032" i="8"/>
  <c r="AA1033" i="8" s="1"/>
  <c r="M1032" i="8"/>
  <c r="M1033" i="8" s="1"/>
  <c r="S1028" i="8"/>
  <c r="S1029" i="8" s="1"/>
  <c r="Y1024" i="8"/>
  <c r="Y1025" i="8" s="1"/>
  <c r="X11" i="13"/>
  <c r="X31" i="13" s="1"/>
  <c r="N14" i="13"/>
  <c r="N34" i="13" s="1"/>
  <c r="P156" i="13"/>
  <c r="U632" i="8"/>
  <c r="U633" i="8" s="1"/>
  <c r="P1044" i="8"/>
  <c r="P1045" i="8" s="1"/>
  <c r="Z656" i="8"/>
  <c r="Z657" i="8" s="1"/>
  <c r="R652" i="8"/>
  <c r="R653" i="8" s="1"/>
  <c r="AD644" i="8"/>
  <c r="AD645" i="8" s="1"/>
  <c r="P644" i="8"/>
  <c r="P645" i="8" s="1"/>
  <c r="W1048" i="8"/>
  <c r="W1049" i="8" s="1"/>
  <c r="AA1036" i="8"/>
  <c r="AA1037" i="8" s="1"/>
  <c r="AE1024" i="8"/>
  <c r="AE1025" i="8" s="1"/>
  <c r="AC14" i="13"/>
  <c r="AC34" i="13" s="1"/>
  <c r="X656" i="8"/>
  <c r="X657" i="8" s="1"/>
  <c r="V648" i="8"/>
  <c r="V649" i="8" s="1"/>
  <c r="T640" i="8"/>
  <c r="T641" i="8" s="1"/>
  <c r="L636" i="8"/>
  <c r="L637" i="8" s="1"/>
  <c r="L13" i="13"/>
  <c r="L33" i="13" s="1"/>
  <c r="Z13" i="13"/>
  <c r="Z33" i="13" s="1"/>
  <c r="M13" i="13"/>
  <c r="M33" i="13" s="1"/>
  <c r="AA13" i="13"/>
  <c r="AA33" i="13" s="1"/>
  <c r="N13" i="13"/>
  <c r="N33" i="13" s="1"/>
  <c r="AB13" i="13"/>
  <c r="AB33" i="13" s="1"/>
  <c r="O13" i="13"/>
  <c r="O33" i="13" s="1"/>
  <c r="AC13" i="13"/>
  <c r="AC33" i="13" s="1"/>
  <c r="Q13" i="13"/>
  <c r="Q33" i="13" s="1"/>
  <c r="AE13" i="13"/>
  <c r="AE33" i="13" s="1"/>
  <c r="R13" i="13"/>
  <c r="R33" i="13" s="1"/>
  <c r="S13" i="13"/>
  <c r="S33" i="13" s="1"/>
  <c r="T13" i="13"/>
  <c r="T33" i="13" s="1"/>
  <c r="W13" i="13"/>
  <c r="W33" i="13" s="1"/>
  <c r="AA1044" i="8"/>
  <c r="AA1045" i="8" s="1"/>
  <c r="Y1036" i="8"/>
  <c r="Y1037" i="8" s="1"/>
  <c r="W1028" i="8"/>
  <c r="W1029" i="8" s="1"/>
  <c r="O1024" i="8"/>
  <c r="O1025" i="8" s="1"/>
  <c r="L149" i="13"/>
  <c r="M149" i="13"/>
  <c r="O149" i="13"/>
  <c r="AC149" i="13"/>
  <c r="P149" i="13"/>
  <c r="AD149" i="13"/>
  <c r="Q149" i="13"/>
  <c r="AE149" i="13"/>
  <c r="R149" i="13"/>
  <c r="S149" i="13"/>
  <c r="T149" i="13"/>
  <c r="W149" i="13"/>
  <c r="N149" i="13"/>
  <c r="U149" i="13"/>
  <c r="Z149" i="13"/>
  <c r="AA149" i="13"/>
  <c r="Y149" i="13"/>
  <c r="AB149" i="13"/>
  <c r="V149" i="13"/>
  <c r="X149" i="13"/>
  <c r="Y652" i="8"/>
  <c r="Y653" i="8" s="1"/>
  <c r="Q648" i="8"/>
  <c r="Q649" i="8" s="1"/>
  <c r="W644" i="8"/>
  <c r="W645" i="8" s="1"/>
  <c r="AC640" i="8"/>
  <c r="AC641" i="8" s="1"/>
  <c r="U636" i="8"/>
  <c r="U637" i="8" s="1"/>
  <c r="AA632" i="8"/>
  <c r="AA633" i="8" s="1"/>
  <c r="M632" i="8"/>
  <c r="M633" i="8" s="1"/>
  <c r="S628" i="8"/>
  <c r="S629" i="8" s="1"/>
  <c r="L16" i="13"/>
  <c r="L36" i="13" s="1"/>
  <c r="Z16" i="13"/>
  <c r="Z36" i="13" s="1"/>
  <c r="R16" i="13"/>
  <c r="R36" i="13" s="1"/>
  <c r="S16" i="13"/>
  <c r="S36" i="13" s="1"/>
  <c r="T16" i="13"/>
  <c r="T36" i="13" s="1"/>
  <c r="U16" i="13"/>
  <c r="U36" i="13" s="1"/>
  <c r="W16" i="13"/>
  <c r="W36" i="13" s="1"/>
  <c r="X16" i="13"/>
  <c r="X36" i="13" s="1"/>
  <c r="Y16" i="13"/>
  <c r="Y36" i="13" s="1"/>
  <c r="AA16" i="13"/>
  <c r="AA36" i="13" s="1"/>
  <c r="O16" i="13"/>
  <c r="O36" i="13" s="1"/>
  <c r="AD16" i="13"/>
  <c r="AD36" i="13" s="1"/>
  <c r="X1052" i="8"/>
  <c r="X1053" i="8" s="1"/>
  <c r="AD1048" i="8"/>
  <c r="AD1049" i="8" s="1"/>
  <c r="P1048" i="8"/>
  <c r="P1049" i="8" s="1"/>
  <c r="V1044" i="8"/>
  <c r="V1045" i="8" s="1"/>
  <c r="AB1040" i="8"/>
  <c r="AB1041" i="8" s="1"/>
  <c r="N1040" i="8"/>
  <c r="N1041" i="8" s="1"/>
  <c r="T1036" i="8"/>
  <c r="T1037" i="8" s="1"/>
  <c r="Z1032" i="8"/>
  <c r="Z1033" i="8" s="1"/>
  <c r="L1032" i="8"/>
  <c r="L1033" i="8" s="1"/>
  <c r="R1028" i="8"/>
  <c r="R1029" i="8" s="1"/>
  <c r="X1024" i="8"/>
  <c r="X1025" i="8" s="1"/>
  <c r="S152" i="13"/>
  <c r="T152" i="13"/>
  <c r="V152" i="13"/>
  <c r="Y152" i="13"/>
  <c r="Z152" i="13"/>
  <c r="AA152" i="13"/>
  <c r="AB152" i="13"/>
  <c r="L152" i="13"/>
  <c r="AC152" i="13"/>
  <c r="M152" i="13"/>
  <c r="AD152" i="13"/>
  <c r="P152" i="13"/>
  <c r="N152" i="13"/>
  <c r="O152" i="13"/>
  <c r="W152" i="13"/>
  <c r="X152" i="13"/>
  <c r="R152" i="13"/>
  <c r="AE152" i="13"/>
  <c r="Y13" i="13"/>
  <c r="Y33" i="13" s="1"/>
  <c r="N16" i="13"/>
  <c r="N36" i="13" s="1"/>
  <c r="W640" i="8"/>
  <c r="W641" i="8" s="1"/>
  <c r="AD648" i="8"/>
  <c r="AD649" i="8" s="1"/>
  <c r="P648" i="8"/>
  <c r="P649" i="8" s="1"/>
  <c r="V644" i="8"/>
  <c r="V645" i="8" s="1"/>
  <c r="AB640" i="8"/>
  <c r="AB641" i="8" s="1"/>
  <c r="N640" i="8"/>
  <c r="N641" i="8" s="1"/>
  <c r="T636" i="8"/>
  <c r="T637" i="8" s="1"/>
  <c r="Z632" i="8"/>
  <c r="Z633" i="8" s="1"/>
  <c r="L632" i="8"/>
  <c r="L633" i="8" s="1"/>
  <c r="R628" i="8"/>
  <c r="R629" i="8" s="1"/>
  <c r="L11" i="13"/>
  <c r="L31" i="13" s="1"/>
  <c r="Z11" i="13"/>
  <c r="Z31" i="13" s="1"/>
  <c r="M11" i="13"/>
  <c r="M31" i="13" s="1"/>
  <c r="AA11" i="13"/>
  <c r="AA31" i="13" s="1"/>
  <c r="N11" i="13"/>
  <c r="N31" i="13" s="1"/>
  <c r="AB11" i="13"/>
  <c r="AB31" i="13" s="1"/>
  <c r="O11" i="13"/>
  <c r="O31" i="13" s="1"/>
  <c r="AC11" i="13"/>
  <c r="AC31" i="13" s="1"/>
  <c r="Q11" i="13"/>
  <c r="Q31" i="13" s="1"/>
  <c r="AE11" i="13"/>
  <c r="AE31" i="13" s="1"/>
  <c r="R11" i="13"/>
  <c r="R31" i="13" s="1"/>
  <c r="S11" i="13"/>
  <c r="S31" i="13" s="1"/>
  <c r="T11" i="13"/>
  <c r="T31" i="13" s="1"/>
  <c r="W11" i="13"/>
  <c r="W31" i="13" s="1"/>
  <c r="W1052" i="8"/>
  <c r="W1053" i="8" s="1"/>
  <c r="AC1048" i="8"/>
  <c r="AC1049" i="8" s="1"/>
  <c r="O1048" i="8"/>
  <c r="O1049" i="8" s="1"/>
  <c r="U1044" i="8"/>
  <c r="U1045" i="8" s="1"/>
  <c r="AA1040" i="8"/>
  <c r="AA1041" i="8" s="1"/>
  <c r="M1040" i="8"/>
  <c r="M1041" i="8" s="1"/>
  <c r="S1036" i="8"/>
  <c r="S1037" i="8" s="1"/>
  <c r="AE1028" i="8"/>
  <c r="AE1029" i="8" s="1"/>
  <c r="Q1028" i="8"/>
  <c r="Q1029" i="8" s="1"/>
  <c r="W1024" i="8"/>
  <c r="W1025" i="8" s="1"/>
  <c r="U11" i="13"/>
  <c r="U31" i="13" s="1"/>
  <c r="X13" i="13"/>
  <c r="X33" i="13" s="1"/>
  <c r="AD15" i="13"/>
  <c r="AD35" i="13" s="1"/>
  <c r="M16" i="13"/>
  <c r="M36" i="13" s="1"/>
  <c r="M628" i="8"/>
  <c r="M629" i="8" s="1"/>
  <c r="Z628" i="8"/>
  <c r="Z629" i="8" s="1"/>
  <c r="O1044" i="8"/>
  <c r="O1045" i="8" s="1"/>
  <c r="AD652" i="8"/>
  <c r="AD653" i="8" s="1"/>
  <c r="AB644" i="8"/>
  <c r="AB645" i="8" s="1"/>
  <c r="Z636" i="8"/>
  <c r="Z637" i="8" s="1"/>
  <c r="AC1052" i="8"/>
  <c r="AC1053" i="8" s="1"/>
  <c r="M1044" i="8"/>
  <c r="M1045" i="8" s="1"/>
  <c r="AE1032" i="8"/>
  <c r="AE1033" i="8" s="1"/>
  <c r="AC1024" i="8"/>
  <c r="AC1025" i="8" s="1"/>
  <c r="AE656" i="8"/>
  <c r="AE657" i="8" s="1"/>
  <c r="Q656" i="8"/>
  <c r="Q657" i="8" s="1"/>
  <c r="AC648" i="8"/>
  <c r="AC649" i="8" s="1"/>
  <c r="U644" i="8"/>
  <c r="U645" i="8" s="1"/>
  <c r="AA640" i="8"/>
  <c r="AA641" i="8" s="1"/>
  <c r="M640" i="8"/>
  <c r="M641" i="8" s="1"/>
  <c r="S636" i="8"/>
  <c r="S637" i="8" s="1"/>
  <c r="Y632" i="8"/>
  <c r="Y633" i="8" s="1"/>
  <c r="Q628" i="8"/>
  <c r="Q629" i="8" s="1"/>
  <c r="V1052" i="8"/>
  <c r="V1053" i="8" s="1"/>
  <c r="AB1048" i="8"/>
  <c r="AB1049" i="8" s="1"/>
  <c r="N1048" i="8"/>
  <c r="N1049" i="8" s="1"/>
  <c r="T1044" i="8"/>
  <c r="T1045" i="8" s="1"/>
  <c r="Z1040" i="8"/>
  <c r="Z1041" i="8" s="1"/>
  <c r="L1040" i="8"/>
  <c r="L1041" i="8" s="1"/>
  <c r="R1036" i="8"/>
  <c r="R1037" i="8" s="1"/>
  <c r="X1032" i="8"/>
  <c r="X1033" i="8" s="1"/>
  <c r="AD1028" i="8"/>
  <c r="AD1029" i="8" s="1"/>
  <c r="P1028" i="8"/>
  <c r="P1029" i="8" s="1"/>
  <c r="V1024" i="8"/>
  <c r="V1025" i="8" s="1"/>
  <c r="S156" i="13"/>
  <c r="T156" i="13"/>
  <c r="V156" i="13"/>
  <c r="R156" i="13"/>
  <c r="U156" i="13"/>
  <c r="W156" i="13"/>
  <c r="X156" i="13"/>
  <c r="Y156" i="13"/>
  <c r="Z156" i="13"/>
  <c r="L156" i="13"/>
  <c r="AC156" i="13"/>
  <c r="AD156" i="13"/>
  <c r="AE156" i="13"/>
  <c r="Q156" i="13"/>
  <c r="AA156" i="13"/>
  <c r="M156" i="13"/>
  <c r="N156" i="13"/>
  <c r="AB156" i="13"/>
  <c r="AE10" i="13"/>
  <c r="AE30" i="13" s="1"/>
  <c r="P11" i="13"/>
  <c r="P31" i="13" s="1"/>
  <c r="V13" i="13"/>
  <c r="V33" i="13" s="1"/>
  <c r="Y15" i="13"/>
  <c r="Y35" i="13" s="1"/>
  <c r="AC150" i="13"/>
  <c r="N30" i="13"/>
  <c r="R34" i="13"/>
  <c r="F731" i="2"/>
  <c r="N731" i="2" s="1"/>
  <c r="N254" i="14" s="1"/>
  <c r="F11" i="11"/>
  <c r="G11" i="11" s="1"/>
  <c r="I11" i="11" s="1"/>
  <c r="F8" i="11"/>
  <c r="G8" i="11" s="1"/>
  <c r="I8" i="11" s="1"/>
  <c r="F5" i="11"/>
  <c r="G5" i="11" s="1"/>
  <c r="F10" i="11"/>
  <c r="G10" i="11" s="1"/>
  <c r="I10" i="11" s="1"/>
  <c r="F7" i="11"/>
  <c r="G7" i="11" s="1"/>
  <c r="F4" i="11"/>
  <c r="G4" i="11" s="1"/>
  <c r="I4" i="11" s="1"/>
  <c r="F9" i="11"/>
  <c r="G9" i="11" s="1"/>
  <c r="F6" i="11"/>
  <c r="G6" i="11" s="1"/>
  <c r="F12" i="11"/>
  <c r="G12" i="11" s="1"/>
  <c r="O54" i="9"/>
  <c r="T54" i="9"/>
  <c r="E364" i="2" s="1"/>
  <c r="F363" i="2"/>
  <c r="R750" i="2"/>
  <c r="V53" i="9"/>
  <c r="G762" i="2" s="1"/>
  <c r="J282" i="2"/>
  <c r="F1510" i="8"/>
  <c r="F729" i="2"/>
  <c r="V58" i="9"/>
  <c r="G368" i="2" s="1"/>
  <c r="F733" i="2"/>
  <c r="N733" i="2" s="1"/>
  <c r="N256" i="14" s="1"/>
  <c r="N60" i="9"/>
  <c r="V60" i="9"/>
  <c r="P56" i="9"/>
  <c r="T55" i="9"/>
  <c r="J679" i="2"/>
  <c r="J281" i="2"/>
  <c r="F1492" i="8"/>
  <c r="J278" i="2"/>
  <c r="J676" i="2"/>
  <c r="J279" i="2"/>
  <c r="J276" i="2"/>
  <c r="J283" i="2"/>
  <c r="E768" i="2"/>
  <c r="E369" i="2"/>
  <c r="N53" i="9"/>
  <c r="M57" i="9"/>
  <c r="M59" i="9"/>
  <c r="H363" i="2"/>
  <c r="N91" i="14" s="1"/>
  <c r="M55" i="9"/>
  <c r="O57" i="9"/>
  <c r="N59" i="9"/>
  <c r="P55" i="9"/>
  <c r="O59" i="9"/>
  <c r="F366" i="2"/>
  <c r="F730" i="2"/>
  <c r="N730" i="2" s="1"/>
  <c r="N253" i="14" s="1"/>
  <c r="H367" i="2"/>
  <c r="N95" i="14" s="1"/>
  <c r="G332" i="2"/>
  <c r="N343" i="2" s="1"/>
  <c r="V55" i="9"/>
  <c r="G764" i="2" s="1"/>
  <c r="V59" i="9"/>
  <c r="F1902" i="8" s="1"/>
  <c r="N58" i="9"/>
  <c r="F370" i="2"/>
  <c r="H370" i="2"/>
  <c r="N98" i="14" s="1"/>
  <c r="N54" i="9"/>
  <c r="T58" i="9"/>
  <c r="E767" i="2" s="1"/>
  <c r="E363" i="2"/>
  <c r="E762" i="2"/>
  <c r="G367" i="2"/>
  <c r="G766" i="2"/>
  <c r="G364" i="2"/>
  <c r="G763" i="2"/>
  <c r="E765" i="2"/>
  <c r="E366" i="2"/>
  <c r="E370" i="2"/>
  <c r="E769" i="2"/>
  <c r="E367" i="2"/>
  <c r="E766" i="2"/>
  <c r="G765" i="2"/>
  <c r="G366" i="2"/>
  <c r="H765" i="2"/>
  <c r="N301" i="14" s="1"/>
  <c r="F768" i="2"/>
  <c r="O58" i="9"/>
  <c r="P54" i="9"/>
  <c r="N57" i="9"/>
  <c r="H764" i="2"/>
  <c r="N300" i="14" s="1"/>
  <c r="F767" i="2"/>
  <c r="M53" i="9"/>
  <c r="M60" i="9"/>
  <c r="F1478" i="8"/>
  <c r="P57" i="9"/>
  <c r="F365" i="2"/>
  <c r="N85" i="14" s="1"/>
  <c r="H369" i="2"/>
  <c r="N97" i="14" s="1"/>
  <c r="F763" i="2"/>
  <c r="H767" i="2"/>
  <c r="N303" i="14" s="1"/>
  <c r="F1479" i="8"/>
  <c r="O53" i="9"/>
  <c r="M56" i="9"/>
  <c r="O60" i="9"/>
  <c r="N56" i="9"/>
  <c r="H763" i="2"/>
  <c r="N299" i="14" s="1"/>
  <c r="F766" i="2"/>
  <c r="O56" i="9"/>
  <c r="AA129" i="2"/>
  <c r="G732" i="2"/>
  <c r="N743" i="2" s="1"/>
  <c r="G736" i="2"/>
  <c r="G731" i="2"/>
  <c r="G735" i="2"/>
  <c r="N746" i="2" s="1"/>
  <c r="E304" i="2"/>
  <c r="V351" i="2"/>
  <c r="G730" i="2"/>
  <c r="G729" i="2"/>
  <c r="N740" i="2" s="1"/>
  <c r="G333" i="2"/>
  <c r="N344" i="2" s="1"/>
  <c r="N804" i="8" s="1"/>
  <c r="N805" i="8" s="1"/>
  <c r="R129" i="2"/>
  <c r="G337" i="2"/>
  <c r="L308" i="2"/>
  <c r="G336" i="2"/>
  <c r="G331" i="2"/>
  <c r="G734" i="2"/>
  <c r="J734" i="2" s="1"/>
  <c r="R308" i="2"/>
  <c r="T587" i="2"/>
  <c r="S308" i="2"/>
  <c r="S14" i="14" s="1"/>
  <c r="G335" i="2"/>
  <c r="J335" i="2" s="1"/>
  <c r="T308" i="2"/>
  <c r="M530" i="2"/>
  <c r="G330" i="2"/>
  <c r="N341" i="2" s="1"/>
  <c r="G733" i="2"/>
  <c r="J733" i="2" s="1"/>
  <c r="U308" i="2"/>
  <c r="AA468" i="2"/>
  <c r="X308" i="2"/>
  <c r="G334" i="2"/>
  <c r="J334" i="2" s="1"/>
  <c r="E299" i="2"/>
  <c r="AC1457" i="8"/>
  <c r="P308" i="2"/>
  <c r="P14" i="14" s="1"/>
  <c r="AD308" i="2"/>
  <c r="AD14" i="14" s="1"/>
  <c r="Q308" i="2"/>
  <c r="Q14" i="14" s="1"/>
  <c r="AE308" i="2"/>
  <c r="AE14" i="14" s="1"/>
  <c r="V308" i="2"/>
  <c r="V14" i="14" s="1"/>
  <c r="W308" i="2"/>
  <c r="W14" i="14" s="1"/>
  <c r="Y308" i="2"/>
  <c r="Y14" i="14" s="1"/>
  <c r="Z308" i="2"/>
  <c r="Z14" i="14" s="1"/>
  <c r="M308" i="2"/>
  <c r="M14" i="14" s="1"/>
  <c r="AA308" i="2"/>
  <c r="AA14" i="14" s="1"/>
  <c r="N308" i="2"/>
  <c r="N14" i="14" s="1"/>
  <c r="AB308" i="2"/>
  <c r="AB14" i="14" s="1"/>
  <c r="O308" i="2"/>
  <c r="O14" i="14" s="1"/>
  <c r="X128" i="2"/>
  <c r="AD468" i="2"/>
  <c r="AC557" i="2"/>
  <c r="R195" i="2"/>
  <c r="L664" i="2"/>
  <c r="N593" i="2"/>
  <c r="AC728" i="2"/>
  <c r="N258" i="2"/>
  <c r="T750" i="2"/>
  <c r="N251" i="2"/>
  <c r="Q251" i="2"/>
  <c r="X251" i="2"/>
  <c r="M27" i="10"/>
  <c r="H672" i="2" s="1"/>
  <c r="Z251" i="2"/>
  <c r="N27" i="10"/>
  <c r="I672" i="2" s="1"/>
  <c r="AA251" i="2"/>
  <c r="O27" i="10"/>
  <c r="J672" i="2" s="1"/>
  <c r="Q269" i="2"/>
  <c r="F337" i="2"/>
  <c r="AA247" i="2"/>
  <c r="E312" i="2"/>
  <c r="E317" i="2"/>
  <c r="E314" i="2"/>
  <c r="E311" i="2"/>
  <c r="F1447" i="8"/>
  <c r="E316" i="2"/>
  <c r="E313" i="2"/>
  <c r="E310" i="2"/>
  <c r="E315" i="2"/>
  <c r="E302" i="2"/>
  <c r="E305" i="2"/>
  <c r="N259" i="2"/>
  <c r="E300" i="2"/>
  <c r="E303" i="2"/>
  <c r="E306" i="2"/>
  <c r="E301" i="2"/>
  <c r="AA618" i="2"/>
  <c r="F335" i="2"/>
  <c r="Y130" i="2"/>
  <c r="Y192" i="2"/>
  <c r="W750" i="2"/>
  <c r="L8" i="2"/>
  <c r="V527" i="2"/>
  <c r="L128" i="2"/>
  <c r="Q128" i="2"/>
  <c r="R128" i="2"/>
  <c r="Z319" i="2"/>
  <c r="AB128" i="2"/>
  <c r="G303" i="2"/>
  <c r="Z247" i="2"/>
  <c r="X247" i="2"/>
  <c r="AA15" i="2"/>
  <c r="N666" i="2"/>
  <c r="Q666" i="2" s="1"/>
  <c r="N267" i="2"/>
  <c r="Q267" i="2" s="1"/>
  <c r="Q33" i="9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Z249" i="2"/>
  <c r="Q69" i="2"/>
  <c r="Z248" i="2"/>
  <c r="R249" i="2"/>
  <c r="T69" i="2"/>
  <c r="V129" i="2"/>
  <c r="AA530" i="2"/>
  <c r="T248" i="2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L249" i="2"/>
  <c r="U251" i="2"/>
  <c r="AE249" i="2"/>
  <c r="Y69" i="2"/>
  <c r="R468" i="2"/>
  <c r="AD587" i="2"/>
  <c r="F330" i="2"/>
  <c r="F736" i="2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D16" i="17" s="1"/>
  <c r="D8" i="18" s="1"/>
  <c r="K27" i="10"/>
  <c r="D18" i="17" s="1"/>
  <c r="J27" i="10"/>
  <c r="I27" i="10"/>
  <c r="H27" i="10"/>
  <c r="G27" i="10"/>
  <c r="D17" i="17" s="1"/>
  <c r="D9" i="18" s="1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R439" i="2"/>
  <c r="X470" i="2"/>
  <c r="Y414" i="2"/>
  <c r="Q11" i="2"/>
  <c r="N97" i="2"/>
  <c r="Z414" i="2"/>
  <c r="AC439" i="2"/>
  <c r="R497" i="2"/>
  <c r="AD247" i="2"/>
  <c r="AD135" i="2"/>
  <c r="X11" i="2"/>
  <c r="R97" i="2"/>
  <c r="AB414" i="2"/>
  <c r="AD439" i="2"/>
  <c r="T497" i="2"/>
  <c r="M280" i="2"/>
  <c r="AB247" i="2"/>
  <c r="AD414" i="2"/>
  <c r="AE439" i="2"/>
  <c r="V497" i="2"/>
  <c r="Y11" i="2"/>
  <c r="AE8" i="2"/>
  <c r="AA11" i="2"/>
  <c r="U97" i="2"/>
  <c r="Z188" i="2"/>
  <c r="Y497" i="2"/>
  <c r="N616" i="8"/>
  <c r="N617" i="8" s="1"/>
  <c r="T97" i="2"/>
  <c r="S15" i="2"/>
  <c r="W97" i="2"/>
  <c r="Y247" i="2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F700" i="2"/>
  <c r="F698" i="2"/>
  <c r="F699" i="2"/>
  <c r="N670" i="2"/>
  <c r="N271" i="2"/>
  <c r="Q271" i="2" s="1"/>
  <c r="Q37" i="9"/>
  <c r="R37" i="9"/>
  <c r="AB37" i="9" s="1"/>
  <c r="AB670" i="2" s="1"/>
  <c r="N664" i="2"/>
  <c r="Q664" i="2" s="1"/>
  <c r="R31" i="9"/>
  <c r="Q31" i="9"/>
  <c r="F704" i="2"/>
  <c r="F702" i="2"/>
  <c r="F703" i="2"/>
  <c r="AB36" i="9"/>
  <c r="AB270" i="2" s="1"/>
  <c r="AA36" i="9"/>
  <c r="AA270" i="2" s="1"/>
  <c r="R269" i="2"/>
  <c r="E256" i="2"/>
  <c r="AE246" i="2"/>
  <c r="AE298" i="2" s="1"/>
  <c r="AE309" i="2" s="1"/>
  <c r="T38" i="2"/>
  <c r="S69" i="2"/>
  <c r="O97" i="2"/>
  <c r="N128" i="2"/>
  <c r="X129" i="2"/>
  <c r="V438" i="2"/>
  <c r="S497" i="2"/>
  <c r="W527" i="2"/>
  <c r="AB533" i="2"/>
  <c r="M278" i="2"/>
  <c r="S248" i="2"/>
  <c r="Y246" i="2"/>
  <c r="Y298" i="2" s="1"/>
  <c r="M678" i="2"/>
  <c r="E656" i="2"/>
  <c r="F701" i="2" s="1"/>
  <c r="F1309" i="8"/>
  <c r="K187" i="2"/>
  <c r="M283" i="2"/>
  <c r="E255" i="2"/>
  <c r="F306" i="2" s="1"/>
  <c r="R248" i="2"/>
  <c r="T246" i="2"/>
  <c r="T298" i="2" s="1"/>
  <c r="L665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U309" i="2"/>
  <c r="U362" i="2" s="1"/>
  <c r="U391" i="2" s="1"/>
  <c r="L269" i="2"/>
  <c r="Q246" i="2"/>
  <c r="Q298" i="2" s="1"/>
  <c r="Q351" i="2" s="1"/>
  <c r="AA728" i="2"/>
  <c r="M676" i="2"/>
  <c r="F735" i="2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AC12" i="14" s="1"/>
  <c r="Y728" i="2"/>
  <c r="P645" i="2"/>
  <c r="P697" i="2" s="1"/>
  <c r="R467" i="2"/>
  <c r="Y620" i="2"/>
  <c r="AB329" i="2"/>
  <c r="Y265" i="2"/>
  <c r="AA248" i="2"/>
  <c r="W728" i="2"/>
  <c r="N645" i="2"/>
  <c r="N697" i="2" s="1"/>
  <c r="N750" i="2" s="1"/>
  <c r="Q39" i="2"/>
  <c r="L557" i="2"/>
  <c r="AA329" i="2"/>
  <c r="G300" i="2"/>
  <c r="M645" i="2"/>
  <c r="M697" i="2" s="1"/>
  <c r="M750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Y248" i="2"/>
  <c r="R718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M681" i="2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I256" i="2" s="1"/>
  <c r="V248" i="2"/>
  <c r="U247" i="2"/>
  <c r="W761" i="2"/>
  <c r="W790" i="2" s="1"/>
  <c r="R38" i="2"/>
  <c r="R41" i="2"/>
  <c r="M97" i="2"/>
  <c r="K128" i="2"/>
  <c r="U129" i="2"/>
  <c r="Y135" i="2"/>
  <c r="T527" i="2"/>
  <c r="M329" i="2"/>
  <c r="Y271" i="2"/>
  <c r="U248" i="2"/>
  <c r="AE409" i="2"/>
  <c r="AD409" i="2"/>
  <c r="O409" i="2"/>
  <c r="Z409" i="2"/>
  <c r="Y409" i="2"/>
  <c r="W409" i="2"/>
  <c r="M409" i="2"/>
  <c r="S409" i="2"/>
  <c r="Q409" i="2"/>
  <c r="K409" i="2"/>
  <c r="P409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M472" i="2"/>
  <c r="AA472" i="2"/>
  <c r="N665" i="2"/>
  <c r="N266" i="2"/>
  <c r="R32" i="9"/>
  <c r="L265" i="2"/>
  <c r="F331" i="2"/>
  <c r="AB8" i="2"/>
  <c r="AB135" i="2"/>
  <c r="X194" i="2"/>
  <c r="Q194" i="2"/>
  <c r="O194" i="2"/>
  <c r="AE593" i="2"/>
  <c r="AD593" i="2"/>
  <c r="AC593" i="2"/>
  <c r="AC8" i="2"/>
  <c r="U15" i="2"/>
  <c r="U25" i="2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S137" i="2" s="1"/>
  <c r="AC129" i="2"/>
  <c r="R133" i="2"/>
  <c r="M135" i="2"/>
  <c r="S158" i="2"/>
  <c r="T194" i="2"/>
  <c r="O220" i="2"/>
  <c r="W466" i="2"/>
  <c r="N471" i="2"/>
  <c r="K531" i="2"/>
  <c r="Y663" i="2"/>
  <c r="Y264" i="2"/>
  <c r="N620" i="8"/>
  <c r="N621" i="8" s="1"/>
  <c r="AA750" i="2"/>
  <c r="AA708" i="2"/>
  <c r="K498" i="2"/>
  <c r="AD15" i="2"/>
  <c r="S194" i="2"/>
  <c r="L220" i="2"/>
  <c r="AB437" i="2"/>
  <c r="AA437" i="2"/>
  <c r="M471" i="2"/>
  <c r="AC246" i="2"/>
  <c r="AC298" i="2" s="1"/>
  <c r="AC329" i="2"/>
  <c r="AE15" i="2"/>
  <c r="AD37" i="2"/>
  <c r="N135" i="2"/>
  <c r="Y194" i="2"/>
  <c r="P220" i="2"/>
  <c r="O414" i="2"/>
  <c r="L414" i="2"/>
  <c r="Q437" i="2"/>
  <c r="Z496" i="2"/>
  <c r="S496" i="2"/>
  <c r="AB496" i="2"/>
  <c r="T496" i="2"/>
  <c r="P531" i="2"/>
  <c r="L270" i="2"/>
  <c r="F336" i="2"/>
  <c r="AC708" i="2"/>
  <c r="AC750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N608" i="8"/>
  <c r="N609" i="8" s="1"/>
  <c r="F332" i="2"/>
  <c r="L266" i="2"/>
  <c r="AB708" i="2"/>
  <c r="AB750" i="2"/>
  <c r="L645" i="2"/>
  <c r="L697" i="2" s="1"/>
  <c r="O100" i="2"/>
  <c r="Q133" i="2"/>
  <c r="K135" i="2"/>
  <c r="AC193" i="2"/>
  <c r="O193" i="2"/>
  <c r="M193" i="2"/>
  <c r="Z498" i="2"/>
  <c r="O246" i="2"/>
  <c r="O298" i="2" s="1"/>
  <c r="O329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U18" i="2" s="1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Y266" i="2"/>
  <c r="Z645" i="2"/>
  <c r="Z697" i="2" s="1"/>
  <c r="Z728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AD351" i="2"/>
  <c r="AD309" i="2"/>
  <c r="P246" i="2"/>
  <c r="P298" i="2" s="1"/>
  <c r="P329" i="2"/>
  <c r="F333" i="2"/>
  <c r="L267" i="2"/>
  <c r="N351" i="2"/>
  <c r="N309" i="2"/>
  <c r="AD329" i="2"/>
  <c r="X362" i="2"/>
  <c r="X391" i="2" s="1"/>
  <c r="X319" i="2"/>
  <c r="M351" i="2"/>
  <c r="M309" i="2"/>
  <c r="W362" i="2"/>
  <c r="W391" i="2" s="1"/>
  <c r="W319" i="2"/>
  <c r="X645" i="2"/>
  <c r="X697" i="2" s="1"/>
  <c r="X728" i="2"/>
  <c r="Q586" i="2"/>
  <c r="AA586" i="2"/>
  <c r="X586" i="2"/>
  <c r="U586" i="2"/>
  <c r="L309" i="2"/>
  <c r="L351" i="2"/>
  <c r="Z617" i="2"/>
  <c r="AB617" i="2"/>
  <c r="Y617" i="2"/>
  <c r="V617" i="2"/>
  <c r="S617" i="2"/>
  <c r="R617" i="2"/>
  <c r="V708" i="2"/>
  <c r="V750" i="2"/>
  <c r="U761" i="2"/>
  <c r="U790" i="2" s="1"/>
  <c r="U718" i="2"/>
  <c r="L271" i="2"/>
  <c r="T761" i="2"/>
  <c r="T790" i="2" s="1"/>
  <c r="T718" i="2"/>
  <c r="L668" i="2"/>
  <c r="F734" i="2"/>
  <c r="L667" i="2"/>
  <c r="N992" i="8"/>
  <c r="N993" i="8" s="1"/>
  <c r="X557" i="2"/>
  <c r="Y557" i="2"/>
  <c r="W557" i="2"/>
  <c r="AE587" i="2"/>
  <c r="AB620" i="2"/>
  <c r="AC620" i="2"/>
  <c r="W329" i="2"/>
  <c r="N596" i="8"/>
  <c r="N597" i="8" s="1"/>
  <c r="M276" i="2"/>
  <c r="T247" i="2"/>
  <c r="T12" i="14" s="1"/>
  <c r="V329" i="2"/>
  <c r="N247" i="2"/>
  <c r="N12" i="14" s="1"/>
  <c r="U329" i="2"/>
  <c r="M247" i="2"/>
  <c r="M12" i="14" s="1"/>
  <c r="S645" i="2"/>
  <c r="S697" i="2" s="1"/>
  <c r="S728" i="2"/>
  <c r="N1012" i="8"/>
  <c r="N1013" i="8" s="1"/>
  <c r="M680" i="2"/>
  <c r="L666" i="2"/>
  <c r="F732" i="2"/>
  <c r="S533" i="2"/>
  <c r="X533" i="2"/>
  <c r="P533" i="2"/>
  <c r="N600" i="8"/>
  <c r="N601" i="8" s="1"/>
  <c r="N1020" i="8"/>
  <c r="N1021" i="8" s="1"/>
  <c r="M682" i="2"/>
  <c r="Y666" i="2"/>
  <c r="Y267" i="2"/>
  <c r="N604" i="8"/>
  <c r="N605" i="8" s="1"/>
  <c r="Y269" i="2"/>
  <c r="V247" i="2"/>
  <c r="V12" i="14" s="1"/>
  <c r="W247" i="2"/>
  <c r="W12" i="14" s="1"/>
  <c r="O247" i="2"/>
  <c r="O12" i="14" s="1"/>
  <c r="AE247" i="2"/>
  <c r="AE12" i="14" s="1"/>
  <c r="P247" i="2"/>
  <c r="P12" i="14" s="1"/>
  <c r="Q247" i="2"/>
  <c r="Q12" i="14" s="1"/>
  <c r="R247" i="2"/>
  <c r="R12" i="14" s="1"/>
  <c r="S247" i="2"/>
  <c r="S12" i="14" s="1"/>
  <c r="L264" i="2"/>
  <c r="N248" i="2"/>
  <c r="R728" i="2"/>
  <c r="N1000" i="8"/>
  <c r="N1001" i="8" s="1"/>
  <c r="AE248" i="2"/>
  <c r="M248" i="2"/>
  <c r="O728" i="2"/>
  <c r="O708" i="2"/>
  <c r="M677" i="2"/>
  <c r="AB248" i="2"/>
  <c r="AB13" i="14" s="1"/>
  <c r="N265" i="2"/>
  <c r="O248" i="2"/>
  <c r="AC248" i="2"/>
  <c r="P248" i="2"/>
  <c r="AD248" i="2"/>
  <c r="AD13" i="14" s="1"/>
  <c r="V728" i="2"/>
  <c r="L663" i="2"/>
  <c r="U728" i="2"/>
  <c r="L670" i="2"/>
  <c r="T728" i="2"/>
  <c r="N1008" i="8"/>
  <c r="N1009" i="8" s="1"/>
  <c r="M679" i="2"/>
  <c r="F937" i="8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AB217" i="2"/>
  <c r="M217" i="2"/>
  <c r="AA217" i="2"/>
  <c r="AA199" i="2" s="1"/>
  <c r="L217" i="2"/>
  <c r="Z217" i="2"/>
  <c r="K217" i="2"/>
  <c r="W217" i="2"/>
  <c r="R217" i="2"/>
  <c r="V217" i="2"/>
  <c r="U217" i="2"/>
  <c r="U203" i="2" s="1"/>
  <c r="T217" i="2"/>
  <c r="Q217" i="2"/>
  <c r="N217" i="2"/>
  <c r="Z12" i="2"/>
  <c r="AC12" i="2"/>
  <c r="X12" i="2"/>
  <c r="W12" i="2"/>
  <c r="U12" i="2"/>
  <c r="U22" i="2" s="1"/>
  <c r="V13" i="2"/>
  <c r="AD41" i="2"/>
  <c r="U41" i="2"/>
  <c r="AE41" i="2"/>
  <c r="M41" i="2"/>
  <c r="AC41" i="2"/>
  <c r="L41" i="2"/>
  <c r="AB41" i="2"/>
  <c r="K41" i="2"/>
  <c r="Z41" i="2"/>
  <c r="AD71" i="2"/>
  <c r="AE217" i="2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T13" i="2"/>
  <c r="S13" i="2"/>
  <c r="P13" i="2"/>
  <c r="L37" i="2"/>
  <c r="Q101" i="2"/>
  <c r="AC157" i="2"/>
  <c r="AB157" i="2"/>
  <c r="X157" i="2"/>
  <c r="Q157" i="2"/>
  <c r="P157" i="2"/>
  <c r="N191" i="2"/>
  <c r="Y408" i="2"/>
  <c r="AE408" i="2"/>
  <c r="AD408" i="2"/>
  <c r="AC408" i="2"/>
  <c r="U408" i="2"/>
  <c r="M408" i="2"/>
  <c r="S408" i="2"/>
  <c r="N408" i="2"/>
  <c r="Q7" i="2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O205" i="2" s="1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R99" i="2"/>
  <c r="M11" i="2"/>
  <c r="M13" i="2"/>
  <c r="S39" i="2"/>
  <c r="Y41" i="2"/>
  <c r="T71" i="2"/>
  <c r="AE75" i="2"/>
  <c r="AA75" i="2"/>
  <c r="P75" i="2"/>
  <c r="P85" i="2" s="1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AD188" i="2"/>
  <c r="U188" i="2"/>
  <c r="S188" i="2"/>
  <c r="R188" i="2"/>
  <c r="Q188" i="2"/>
  <c r="AE191" i="2"/>
  <c r="P217" i="2"/>
  <c r="L473" i="2"/>
  <c r="L500" i="2"/>
  <c r="X37" i="2"/>
  <c r="T37" i="2"/>
  <c r="S37" i="2"/>
  <c r="Q37" i="2"/>
  <c r="AE37" i="2"/>
  <c r="O37" i="2"/>
  <c r="P408" i="2"/>
  <c r="N436" i="2"/>
  <c r="AD440" i="2"/>
  <c r="O11" i="2"/>
  <c r="L12" i="2"/>
  <c r="N13" i="2"/>
  <c r="V37" i="2"/>
  <c r="V22" i="2" s="1"/>
  <c r="U39" i="2"/>
  <c r="AA41" i="2"/>
  <c r="V71" i="2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P71" i="2"/>
  <c r="P81" i="2" s="1"/>
  <c r="AE71" i="2"/>
  <c r="N71" i="2"/>
  <c r="AC71" i="2"/>
  <c r="L71" i="2"/>
  <c r="U71" i="2"/>
  <c r="Q71" i="2"/>
  <c r="O71" i="2"/>
  <c r="M71" i="2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Y38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AE74" i="2"/>
  <c r="AD74" i="2"/>
  <c r="Z74" i="2"/>
  <c r="S195" i="2"/>
  <c r="S439" i="2"/>
  <c r="AE559" i="2"/>
  <c r="Y559" i="2"/>
  <c r="V559" i="2"/>
  <c r="P559" i="2"/>
  <c r="N559" i="2"/>
  <c r="Q616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Y72" i="2"/>
  <c r="Z194" i="2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Z12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AE73" i="2"/>
  <c r="O73" i="2"/>
  <c r="AB73" i="2"/>
  <c r="M73" i="2"/>
  <c r="N73" i="2"/>
  <c r="L73" i="2"/>
  <c r="Y73" i="2"/>
  <c r="X73" i="2"/>
  <c r="W73" i="2"/>
  <c r="Q73" i="2"/>
  <c r="P73" i="2"/>
  <c r="P83" i="2" s="1"/>
  <c r="R9" i="2"/>
  <c r="U10" i="2"/>
  <c r="U20" i="2" s="1"/>
  <c r="X67" i="2"/>
  <c r="S9" i="2"/>
  <c r="V10" i="2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S7" i="2"/>
  <c r="AD7" i="2"/>
  <c r="L7" i="2"/>
  <c r="AC7" i="2"/>
  <c r="K7" i="2"/>
  <c r="V7" i="2"/>
  <c r="T7" i="2"/>
  <c r="R7" i="2"/>
  <c r="Z14" i="2"/>
  <c r="T70" i="2"/>
  <c r="S70" i="2"/>
  <c r="AB70" i="2"/>
  <c r="N70" i="2"/>
  <c r="Z70" i="2"/>
  <c r="L70" i="2"/>
  <c r="O70" i="2"/>
  <c r="M70" i="2"/>
  <c r="X70" i="2"/>
  <c r="W70" i="2"/>
  <c r="V70" i="2"/>
  <c r="Q70" i="2"/>
  <c r="P70" i="2"/>
  <c r="P80" i="2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D40" i="2"/>
  <c r="K70" i="2"/>
  <c r="V74" i="2"/>
  <c r="T74" i="2"/>
  <c r="AC74" i="2"/>
  <c r="M74" i="2"/>
  <c r="AB74" i="2"/>
  <c r="L74" i="2"/>
  <c r="W74" i="2"/>
  <c r="S74" i="2"/>
  <c r="K74" i="2"/>
  <c r="X74" i="2"/>
  <c r="U74" i="2"/>
  <c r="R74" i="2"/>
  <c r="O74" i="2"/>
  <c r="N74" i="2"/>
  <c r="Y10" i="2"/>
  <c r="K10" i="2"/>
  <c r="S10" i="2"/>
  <c r="AE10" i="2"/>
  <c r="Q10" i="2"/>
  <c r="Z10" i="2"/>
  <c r="X10" i="2"/>
  <c r="P10" i="2"/>
  <c r="O10" i="2"/>
  <c r="N10" i="2"/>
  <c r="U9" i="2"/>
  <c r="U19" i="2" s="1"/>
  <c r="AC9" i="2"/>
  <c r="O9" i="2"/>
  <c r="AA9" i="2"/>
  <c r="M9" i="2"/>
  <c r="N9" i="2"/>
  <c r="AE9" i="2"/>
  <c r="L9" i="2"/>
  <c r="W9" i="2"/>
  <c r="V9" i="2"/>
  <c r="T9" i="2"/>
  <c r="V67" i="2"/>
  <c r="U67" i="2"/>
  <c r="AD67" i="2"/>
  <c r="P67" i="2"/>
  <c r="P77" i="2" s="1"/>
  <c r="AB67" i="2"/>
  <c r="N67" i="2"/>
  <c r="AE67" i="2"/>
  <c r="K67" i="2"/>
  <c r="AC67" i="2"/>
  <c r="T67" i="2"/>
  <c r="S67" i="2"/>
  <c r="R67" i="2"/>
  <c r="M67" i="2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AD130" i="2"/>
  <c r="L130" i="2"/>
  <c r="X130" i="2"/>
  <c r="W130" i="2"/>
  <c r="Q130" i="2"/>
  <c r="N130" i="2"/>
  <c r="K130" i="2"/>
  <c r="AE130" i="2"/>
  <c r="AB130" i="2"/>
  <c r="S130" i="2"/>
  <c r="S140" i="2" s="1"/>
  <c r="R130" i="2"/>
  <c r="V134" i="2"/>
  <c r="AE134" i="2"/>
  <c r="Q134" i="2"/>
  <c r="AC134" i="2"/>
  <c r="O134" i="2"/>
  <c r="W134" i="2"/>
  <c r="U134" i="2"/>
  <c r="T134" i="2"/>
  <c r="N134" i="2"/>
  <c r="AD134" i="2"/>
  <c r="L134" i="2"/>
  <c r="Y134" i="2"/>
  <c r="X134" i="2"/>
  <c r="P134" i="2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L14" i="2"/>
  <c r="W14" i="2"/>
  <c r="V14" i="2"/>
  <c r="T14" i="2"/>
  <c r="X9" i="2"/>
  <c r="W10" i="2"/>
  <c r="Y14" i="2"/>
  <c r="AA73" i="2"/>
  <c r="Y9" i="2"/>
  <c r="AA67" i="2"/>
  <c r="AC73" i="2"/>
  <c r="AB10" i="2"/>
  <c r="L63" i="2"/>
  <c r="O7" i="2"/>
  <c r="AD9" i="2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S131" i="2"/>
  <c r="S141" i="2" s="1"/>
  <c r="AE131" i="2"/>
  <c r="Q131" i="2"/>
  <c r="AD131" i="2"/>
  <c r="N131" i="2"/>
  <c r="AC131" i="2"/>
  <c r="M131" i="2"/>
  <c r="AB131" i="2"/>
  <c r="L131" i="2"/>
  <c r="X131" i="2"/>
  <c r="V131" i="2"/>
  <c r="P131" i="2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P12" i="2"/>
  <c r="N68" i="2"/>
  <c r="Q75" i="2"/>
  <c r="Q100" i="2"/>
  <c r="Q12" i="2"/>
  <c r="O68" i="2"/>
  <c r="AD69" i="2"/>
  <c r="P69" i="2"/>
  <c r="P79" i="2" s="1"/>
  <c r="AC69" i="2"/>
  <c r="O69" i="2"/>
  <c r="X69" i="2"/>
  <c r="V69" i="2"/>
  <c r="AA69" i="2"/>
  <c r="R75" i="2"/>
  <c r="P68" i="2"/>
  <c r="P78" i="2" s="1"/>
  <c r="AE127" i="2"/>
  <c r="Q127" i="2"/>
  <c r="AC127" i="2"/>
  <c r="O127" i="2"/>
  <c r="AD127" i="2"/>
  <c r="M127" i="2"/>
  <c r="AB127" i="2"/>
  <c r="L127" i="2"/>
  <c r="AA127" i="2"/>
  <c r="K127" i="2"/>
  <c r="W127" i="2"/>
  <c r="U127" i="2"/>
  <c r="P127" i="2"/>
  <c r="N127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AA197" i="2"/>
  <c r="S12" i="2"/>
  <c r="AA12" i="2"/>
  <c r="M12" i="2"/>
  <c r="Y12" i="2"/>
  <c r="K12" i="2"/>
  <c r="AB12" i="2"/>
  <c r="AA68" i="2"/>
  <c r="Z75" i="2"/>
  <c r="L75" i="2"/>
  <c r="X75" i="2"/>
  <c r="T75" i="2"/>
  <c r="S75" i="2"/>
  <c r="AD75" i="2"/>
  <c r="N75" i="2"/>
  <c r="AB75" i="2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V133" i="2"/>
  <c r="T133" i="2"/>
  <c r="P133" i="2"/>
  <c r="AE133" i="2"/>
  <c r="O133" i="2"/>
  <c r="O159" i="2"/>
  <c r="L183" i="2"/>
  <c r="U128" i="2"/>
  <c r="S128" i="2"/>
  <c r="S138" i="2" s="1"/>
  <c r="Y128" i="2"/>
  <c r="U472" i="2"/>
  <c r="R472" i="2"/>
  <c r="Q472" i="2"/>
  <c r="AE472" i="2"/>
  <c r="P472" i="2"/>
  <c r="AD472" i="2"/>
  <c r="O472" i="2"/>
  <c r="Z472" i="2"/>
  <c r="K472" i="2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W15" i="2"/>
  <c r="M128" i="2"/>
  <c r="AC128" i="2"/>
  <c r="K8" i="2"/>
  <c r="Q13" i="2"/>
  <c r="AE13" i="2"/>
  <c r="K15" i="2"/>
  <c r="R37" i="2"/>
  <c r="X41" i="2"/>
  <c r="AB72" i="2"/>
  <c r="N72" i="2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P190" i="2"/>
  <c r="AB190" i="2"/>
  <c r="N190" i="2"/>
  <c r="AE190" i="2"/>
  <c r="Z190" i="2"/>
  <c r="X190" i="2"/>
  <c r="W190" i="2"/>
  <c r="T190" i="2"/>
  <c r="M190" i="2"/>
  <c r="AD192" i="2"/>
  <c r="P192" i="2"/>
  <c r="AC192" i="2"/>
  <c r="O192" i="2"/>
  <c r="AA192" i="2"/>
  <c r="M192" i="2"/>
  <c r="X192" i="2"/>
  <c r="V192" i="2"/>
  <c r="U192" i="2"/>
  <c r="R192" i="2"/>
  <c r="N192" i="2"/>
  <c r="L192" i="2"/>
  <c r="K192" i="2"/>
  <c r="Z192" i="2"/>
  <c r="AB195" i="2"/>
  <c r="N195" i="2"/>
  <c r="AA195" i="2"/>
  <c r="M195" i="2"/>
  <c r="Y195" i="2"/>
  <c r="K195" i="2"/>
  <c r="V195" i="2"/>
  <c r="T195" i="2"/>
  <c r="AC195" i="2"/>
  <c r="X195" i="2"/>
  <c r="W195" i="2"/>
  <c r="U195" i="2"/>
  <c r="P195" i="2"/>
  <c r="W71" i="2"/>
  <c r="O72" i="2"/>
  <c r="AD72" i="2"/>
  <c r="S97" i="2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K99" i="2"/>
  <c r="AB99" i="2"/>
  <c r="W128" i="2"/>
  <c r="P135" i="2"/>
  <c r="W157" i="2"/>
  <c r="K190" i="2"/>
  <c r="Q192" i="2"/>
  <c r="L195" i="2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W189" i="2"/>
  <c r="T193" i="2"/>
  <c r="S193" i="2"/>
  <c r="AE193" i="2"/>
  <c r="Q193" i="2"/>
  <c r="AB193" i="2"/>
  <c r="N193" i="2"/>
  <c r="Z193" i="2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M188" i="2"/>
  <c r="Y188" i="2"/>
  <c r="K188" i="2"/>
  <c r="V188" i="2"/>
  <c r="T188" i="2"/>
  <c r="AE188" i="2"/>
  <c r="K193" i="2"/>
  <c r="N437" i="2"/>
  <c r="R189" i="2"/>
  <c r="AE189" i="2"/>
  <c r="Q189" i="2"/>
  <c r="AC189" i="2"/>
  <c r="O189" i="2"/>
  <c r="Z189" i="2"/>
  <c r="L189" i="2"/>
  <c r="X189" i="2"/>
  <c r="AD189" i="2"/>
  <c r="L462" i="2"/>
  <c r="M189" i="2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AD187" i="2"/>
  <c r="R191" i="2"/>
  <c r="P194" i="2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K191" i="2"/>
  <c r="Y191" i="2"/>
  <c r="W194" i="2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E102" i="17" l="1"/>
  <c r="D10" i="18"/>
  <c r="D11" i="18" s="1"/>
  <c r="B102" i="17"/>
  <c r="D6" i="18"/>
  <c r="D27" i="18" s="1"/>
  <c r="F1898" i="8"/>
  <c r="F1901" i="8"/>
  <c r="F1897" i="8"/>
  <c r="G769" i="2"/>
  <c r="V287" i="14" s="1"/>
  <c r="F1903" i="8"/>
  <c r="F1896" i="8"/>
  <c r="E764" i="2"/>
  <c r="Z274" i="14" s="1"/>
  <c r="M992" i="8"/>
  <c r="M993" i="8" s="1"/>
  <c r="E716" i="2"/>
  <c r="J736" i="2" s="1"/>
  <c r="D15" i="17"/>
  <c r="D7" i="18" s="1"/>
  <c r="D21" i="18" s="1"/>
  <c r="D102" i="17"/>
  <c r="L20" i="14"/>
  <c r="M347" i="2"/>
  <c r="M816" i="8" s="1"/>
  <c r="M817" i="8" s="1"/>
  <c r="M600" i="8"/>
  <c r="M601" i="8" s="1"/>
  <c r="M342" i="2"/>
  <c r="M796" i="8" s="1"/>
  <c r="M797" i="8" s="1"/>
  <c r="N290" i="14"/>
  <c r="N297" i="14"/>
  <c r="N294" i="14"/>
  <c r="M620" i="8"/>
  <c r="M621" i="8" s="1"/>
  <c r="L600" i="8"/>
  <c r="L601" i="8" s="1"/>
  <c r="L92" i="14"/>
  <c r="L84" i="14"/>
  <c r="U588" i="8"/>
  <c r="U589" i="8" s="1"/>
  <c r="U12" i="14"/>
  <c r="M279" i="14"/>
  <c r="AA279" i="14"/>
  <c r="N279" i="14"/>
  <c r="AB279" i="14"/>
  <c r="O279" i="14"/>
  <c r="AC279" i="14"/>
  <c r="P279" i="14"/>
  <c r="AD279" i="14"/>
  <c r="R279" i="14"/>
  <c r="S279" i="14"/>
  <c r="V279" i="14"/>
  <c r="U279" i="14"/>
  <c r="W279" i="14"/>
  <c r="X279" i="14"/>
  <c r="Y279" i="14"/>
  <c r="Z279" i="14"/>
  <c r="AE279" i="14"/>
  <c r="L279" i="14"/>
  <c r="Q279" i="14"/>
  <c r="T279" i="14"/>
  <c r="V592" i="8"/>
  <c r="V593" i="8" s="1"/>
  <c r="V13" i="14"/>
  <c r="V24" i="14" s="1"/>
  <c r="O72" i="14"/>
  <c r="AC72" i="14"/>
  <c r="V72" i="14"/>
  <c r="W72" i="14"/>
  <c r="X72" i="14"/>
  <c r="Y72" i="14"/>
  <c r="Z72" i="14"/>
  <c r="N72" i="14"/>
  <c r="AD72" i="14"/>
  <c r="L72" i="14"/>
  <c r="M72" i="14"/>
  <c r="P72" i="14"/>
  <c r="Q72" i="14"/>
  <c r="S72" i="14"/>
  <c r="T72" i="14"/>
  <c r="U72" i="14"/>
  <c r="AB72" i="14"/>
  <c r="R72" i="14"/>
  <c r="AA72" i="14"/>
  <c r="AE72" i="14"/>
  <c r="L1580" i="8"/>
  <c r="L1686" i="8"/>
  <c r="L1581" i="8"/>
  <c r="L1687" i="8"/>
  <c r="M300" i="14"/>
  <c r="M292" i="14"/>
  <c r="AD588" i="8"/>
  <c r="AD589" i="8" s="1"/>
  <c r="AD12" i="14"/>
  <c r="AD20" i="14" s="1"/>
  <c r="Z592" i="8"/>
  <c r="Z593" i="8" s="1"/>
  <c r="Z13" i="14"/>
  <c r="X1457" i="8"/>
  <c r="X14" i="14"/>
  <c r="L1457" i="8"/>
  <c r="L14" i="14"/>
  <c r="O68" i="14"/>
  <c r="AC68" i="14"/>
  <c r="M68" i="14"/>
  <c r="AB68" i="14"/>
  <c r="N68" i="14"/>
  <c r="AD68" i="14"/>
  <c r="P68" i="14"/>
  <c r="AE68" i="14"/>
  <c r="Q68" i="14"/>
  <c r="R68" i="14"/>
  <c r="U68" i="14"/>
  <c r="Z68" i="14"/>
  <c r="AA68" i="14"/>
  <c r="L68" i="14"/>
  <c r="S68" i="14"/>
  <c r="X68" i="14"/>
  <c r="V68" i="14"/>
  <c r="W68" i="14"/>
  <c r="Y68" i="14"/>
  <c r="T68" i="14"/>
  <c r="T282" i="14"/>
  <c r="U282" i="14"/>
  <c r="V282" i="14"/>
  <c r="W282" i="14"/>
  <c r="Y282" i="14"/>
  <c r="L282" i="14"/>
  <c r="Z282" i="14"/>
  <c r="O282" i="14"/>
  <c r="AC282" i="14"/>
  <c r="AD282" i="14"/>
  <c r="AE282" i="14"/>
  <c r="M282" i="14"/>
  <c r="N282" i="14"/>
  <c r="Q282" i="14"/>
  <c r="R282" i="14"/>
  <c r="S282" i="14"/>
  <c r="X282" i="14"/>
  <c r="AA282" i="14"/>
  <c r="AB282" i="14"/>
  <c r="P282" i="14"/>
  <c r="V71" i="14"/>
  <c r="P71" i="14"/>
  <c r="AE71" i="14"/>
  <c r="Q71" i="14"/>
  <c r="R71" i="14"/>
  <c r="S71" i="14"/>
  <c r="T71" i="14"/>
  <c r="X71" i="14"/>
  <c r="M71" i="14"/>
  <c r="N71" i="14"/>
  <c r="O71" i="14"/>
  <c r="U71" i="14"/>
  <c r="W71" i="14"/>
  <c r="Z71" i="14"/>
  <c r="AA71" i="14"/>
  <c r="AB71" i="14"/>
  <c r="Y71" i="14"/>
  <c r="AC71" i="14"/>
  <c r="AD71" i="14"/>
  <c r="L71" i="14"/>
  <c r="M301" i="14"/>
  <c r="M293" i="14"/>
  <c r="L1593" i="8"/>
  <c r="L1717" i="8"/>
  <c r="M302" i="14"/>
  <c r="M294" i="14"/>
  <c r="U592" i="8"/>
  <c r="U593" i="8" s="1"/>
  <c r="U13" i="14"/>
  <c r="M275" i="14"/>
  <c r="AA275" i="14"/>
  <c r="N275" i="14"/>
  <c r="AB275" i="14"/>
  <c r="R275" i="14"/>
  <c r="V275" i="14"/>
  <c r="Y275" i="14"/>
  <c r="Z275" i="14"/>
  <c r="AC275" i="14"/>
  <c r="AD275" i="14"/>
  <c r="AE275" i="14"/>
  <c r="L275" i="14"/>
  <c r="O275" i="14"/>
  <c r="Q275" i="14"/>
  <c r="T275" i="14"/>
  <c r="U275" i="14"/>
  <c r="W275" i="14"/>
  <c r="X275" i="14"/>
  <c r="P275" i="14"/>
  <c r="S275" i="14"/>
  <c r="T278" i="14"/>
  <c r="U278" i="14"/>
  <c r="V278" i="14"/>
  <c r="W278" i="14"/>
  <c r="Y278" i="14"/>
  <c r="L278" i="14"/>
  <c r="Z278" i="14"/>
  <c r="O278" i="14"/>
  <c r="AC278" i="14"/>
  <c r="AA278" i="14"/>
  <c r="AB278" i="14"/>
  <c r="AD278" i="14"/>
  <c r="AE278" i="14"/>
  <c r="N278" i="14"/>
  <c r="M278" i="14"/>
  <c r="P278" i="14"/>
  <c r="S278" i="14"/>
  <c r="R278" i="14"/>
  <c r="X278" i="14"/>
  <c r="Q278" i="14"/>
  <c r="O78" i="14"/>
  <c r="AC78" i="14"/>
  <c r="L78" i="14"/>
  <c r="AA78" i="14"/>
  <c r="M78" i="14"/>
  <c r="AB78" i="14"/>
  <c r="N78" i="14"/>
  <c r="AD78" i="14"/>
  <c r="P78" i="14"/>
  <c r="AE78" i="14"/>
  <c r="Q78" i="14"/>
  <c r="T78" i="14"/>
  <c r="R78" i="14"/>
  <c r="S78" i="14"/>
  <c r="V78" i="14"/>
  <c r="W78" i="14"/>
  <c r="X78" i="14"/>
  <c r="Z78" i="14"/>
  <c r="U78" i="14"/>
  <c r="Y78" i="14"/>
  <c r="M97" i="14"/>
  <c r="M89" i="14"/>
  <c r="R592" i="8"/>
  <c r="R593" i="8" s="1"/>
  <c r="R13" i="14"/>
  <c r="R20" i="14" s="1"/>
  <c r="L1592" i="8"/>
  <c r="L1716" i="8"/>
  <c r="M592" i="8"/>
  <c r="M593" i="8" s="1"/>
  <c r="M13" i="14"/>
  <c r="M20" i="14" s="1"/>
  <c r="L24" i="14"/>
  <c r="L1583" i="8"/>
  <c r="L1582" i="8"/>
  <c r="L1584" i="8"/>
  <c r="L1585" i="8"/>
  <c r="X588" i="8"/>
  <c r="X589" i="8" s="1"/>
  <c r="X12" i="14"/>
  <c r="O74" i="14"/>
  <c r="AC74" i="14"/>
  <c r="S74" i="14"/>
  <c r="T74" i="14"/>
  <c r="U74" i="14"/>
  <c r="V74" i="14"/>
  <c r="W74" i="14"/>
  <c r="Z74" i="14"/>
  <c r="AA74" i="14"/>
  <c r="AB74" i="14"/>
  <c r="AD74" i="14"/>
  <c r="AE74" i="14"/>
  <c r="L74" i="14"/>
  <c r="M74" i="14"/>
  <c r="N74" i="14"/>
  <c r="X74" i="14"/>
  <c r="Y74" i="14"/>
  <c r="R74" i="14"/>
  <c r="P74" i="14"/>
  <c r="Q74" i="14"/>
  <c r="L675" i="2"/>
  <c r="M298" i="14"/>
  <c r="M290" i="14"/>
  <c r="N83" i="14"/>
  <c r="M277" i="14"/>
  <c r="AA277" i="14"/>
  <c r="N277" i="14"/>
  <c r="AB277" i="14"/>
  <c r="O277" i="14"/>
  <c r="P277" i="14"/>
  <c r="AD277" i="14"/>
  <c r="R277" i="14"/>
  <c r="V277" i="14"/>
  <c r="AC277" i="14"/>
  <c r="AE277" i="14"/>
  <c r="L277" i="14"/>
  <c r="Q277" i="14"/>
  <c r="T277" i="14"/>
  <c r="W277" i="14"/>
  <c r="X277" i="14"/>
  <c r="Y277" i="14"/>
  <c r="Z277" i="14"/>
  <c r="S277" i="14"/>
  <c r="U277" i="14"/>
  <c r="O66" i="14"/>
  <c r="AC66" i="14"/>
  <c r="Q66" i="14"/>
  <c r="R66" i="14"/>
  <c r="S66" i="14"/>
  <c r="T66" i="14"/>
  <c r="U66" i="14"/>
  <c r="X66" i="14"/>
  <c r="L66" i="14"/>
  <c r="M66" i="14"/>
  <c r="N66" i="14"/>
  <c r="P66" i="14"/>
  <c r="W66" i="14"/>
  <c r="Y66" i="14"/>
  <c r="Z66" i="14"/>
  <c r="AE66" i="14"/>
  <c r="V66" i="14"/>
  <c r="AD66" i="14"/>
  <c r="AA66" i="14"/>
  <c r="AB66" i="14"/>
  <c r="M303" i="14"/>
  <c r="M295" i="14"/>
  <c r="U1457" i="8"/>
  <c r="U14" i="14"/>
  <c r="AE592" i="8"/>
  <c r="AE593" i="8" s="1"/>
  <c r="AE13" i="14"/>
  <c r="AE20" i="14" s="1"/>
  <c r="W592" i="8"/>
  <c r="W593" i="8" s="1"/>
  <c r="W13" i="14"/>
  <c r="W20" i="14" s="1"/>
  <c r="L676" i="2"/>
  <c r="L730" i="2" s="1"/>
  <c r="M299" i="14"/>
  <c r="M291" i="14"/>
  <c r="M98" i="14"/>
  <c r="M90" i="14"/>
  <c r="L1702" i="8"/>
  <c r="L1700" i="8"/>
  <c r="L1690" i="8"/>
  <c r="L1688" i="8"/>
  <c r="L1701" i="8"/>
  <c r="L1703" i="8"/>
  <c r="L1691" i="8"/>
  <c r="L1689" i="8"/>
  <c r="Z588" i="8"/>
  <c r="Z589" i="8" s="1"/>
  <c r="Z12" i="14"/>
  <c r="T284" i="14"/>
  <c r="U284" i="14"/>
  <c r="V284" i="14"/>
  <c r="W284" i="14"/>
  <c r="X284" i="14"/>
  <c r="Y284" i="14"/>
  <c r="L284" i="14"/>
  <c r="Z284" i="14"/>
  <c r="N284" i="14"/>
  <c r="AB284" i="14"/>
  <c r="O284" i="14"/>
  <c r="AC284" i="14"/>
  <c r="M284" i="14"/>
  <c r="P284" i="14"/>
  <c r="Q284" i="14"/>
  <c r="R284" i="14"/>
  <c r="S284" i="14"/>
  <c r="AD284" i="14"/>
  <c r="AA284" i="14"/>
  <c r="AE284" i="14"/>
  <c r="M92" i="14"/>
  <c r="M84" i="14"/>
  <c r="N295" i="14"/>
  <c r="L1591" i="8"/>
  <c r="L1715" i="8"/>
  <c r="M96" i="14"/>
  <c r="M88" i="14"/>
  <c r="V77" i="14"/>
  <c r="U77" i="14"/>
  <c r="W77" i="14"/>
  <c r="X77" i="14"/>
  <c r="Y77" i="14"/>
  <c r="Z77" i="14"/>
  <c r="N77" i="14"/>
  <c r="AC77" i="14"/>
  <c r="O77" i="14"/>
  <c r="P77" i="14"/>
  <c r="Q77" i="14"/>
  <c r="R77" i="14"/>
  <c r="S77" i="14"/>
  <c r="AA77" i="14"/>
  <c r="AB77" i="14"/>
  <c r="AD77" i="14"/>
  <c r="L77" i="14"/>
  <c r="AE77" i="14"/>
  <c r="T77" i="14"/>
  <c r="M77" i="14"/>
  <c r="T280" i="14"/>
  <c r="U280" i="14"/>
  <c r="V280" i="14"/>
  <c r="W280" i="14"/>
  <c r="Y280" i="14"/>
  <c r="L280" i="14"/>
  <c r="Z280" i="14"/>
  <c r="O280" i="14"/>
  <c r="AC280" i="14"/>
  <c r="N280" i="14"/>
  <c r="P280" i="14"/>
  <c r="Q280" i="14"/>
  <c r="R280" i="14"/>
  <c r="S280" i="14"/>
  <c r="X280" i="14"/>
  <c r="AA280" i="14"/>
  <c r="AD280" i="14"/>
  <c r="M280" i="14"/>
  <c r="AB280" i="14"/>
  <c r="AE280" i="14"/>
  <c r="N296" i="14"/>
  <c r="N291" i="14"/>
  <c r="N292" i="14"/>
  <c r="M281" i="14"/>
  <c r="AA281" i="14"/>
  <c r="N281" i="14"/>
  <c r="AB281" i="14"/>
  <c r="O281" i="14"/>
  <c r="AC281" i="14"/>
  <c r="P281" i="14"/>
  <c r="AD281" i="14"/>
  <c r="R281" i="14"/>
  <c r="S281" i="14"/>
  <c r="V281" i="14"/>
  <c r="L281" i="14"/>
  <c r="Q281" i="14"/>
  <c r="T281" i="14"/>
  <c r="U281" i="14"/>
  <c r="X281" i="14"/>
  <c r="W281" i="14"/>
  <c r="AE281" i="14"/>
  <c r="Z281" i="14"/>
  <c r="Y281" i="14"/>
  <c r="M94" i="14"/>
  <c r="M86" i="14"/>
  <c r="L97" i="14"/>
  <c r="L89" i="14"/>
  <c r="Y588" i="8"/>
  <c r="Y589" i="8" s="1"/>
  <c r="Y12" i="14"/>
  <c r="AB588" i="8"/>
  <c r="AB589" i="8" s="1"/>
  <c r="AB12" i="14"/>
  <c r="AB20" i="14" s="1"/>
  <c r="L17" i="14"/>
  <c r="AA588" i="8"/>
  <c r="AA589" i="8" s="1"/>
  <c r="AA12" i="14"/>
  <c r="T1457" i="8"/>
  <c r="T14" i="14"/>
  <c r="T272" i="14"/>
  <c r="U272" i="14"/>
  <c r="O272" i="14"/>
  <c r="AC272" i="14"/>
  <c r="R272" i="14"/>
  <c r="S272" i="14"/>
  <c r="V272" i="14"/>
  <c r="W272" i="14"/>
  <c r="X272" i="14"/>
  <c r="Y272" i="14"/>
  <c r="Z272" i="14"/>
  <c r="AB272" i="14"/>
  <c r="L272" i="14"/>
  <c r="M272" i="14"/>
  <c r="Q272" i="14"/>
  <c r="N272" i="14"/>
  <c r="P272" i="14"/>
  <c r="AA272" i="14"/>
  <c r="AE272" i="14"/>
  <c r="AD272" i="14"/>
  <c r="M297" i="14"/>
  <c r="M305" i="14"/>
  <c r="M296" i="14"/>
  <c r="M304" i="14"/>
  <c r="O76" i="14"/>
  <c r="AC76" i="14"/>
  <c r="P76" i="14"/>
  <c r="AE76" i="14"/>
  <c r="Q76" i="14"/>
  <c r="R76" i="14"/>
  <c r="S76" i="14"/>
  <c r="T76" i="14"/>
  <c r="W76" i="14"/>
  <c r="U76" i="14"/>
  <c r="V76" i="14"/>
  <c r="X76" i="14"/>
  <c r="Y76" i="14"/>
  <c r="Z76" i="14"/>
  <c r="AB76" i="14"/>
  <c r="AD76" i="14"/>
  <c r="M76" i="14"/>
  <c r="L76" i="14"/>
  <c r="N76" i="14"/>
  <c r="AA76" i="14"/>
  <c r="L1590" i="8"/>
  <c r="L1714" i="8"/>
  <c r="L1579" i="8"/>
  <c r="L1685" i="8"/>
  <c r="N592" i="8"/>
  <c r="N593" i="8" s="1"/>
  <c r="N13" i="14"/>
  <c r="M612" i="8"/>
  <c r="M613" i="8" s="1"/>
  <c r="M95" i="14"/>
  <c r="M87" i="14"/>
  <c r="V65" i="14"/>
  <c r="Z65" i="14"/>
  <c r="L65" i="14"/>
  <c r="AA65" i="14"/>
  <c r="M65" i="14"/>
  <c r="AB65" i="14"/>
  <c r="N65" i="14"/>
  <c r="AC65" i="14"/>
  <c r="O65" i="14"/>
  <c r="AD65" i="14"/>
  <c r="R65" i="14"/>
  <c r="P65" i="14"/>
  <c r="Q65" i="14"/>
  <c r="S65" i="14"/>
  <c r="T65" i="14"/>
  <c r="U65" i="14"/>
  <c r="X65" i="14"/>
  <c r="Y65" i="14"/>
  <c r="AE65" i="14"/>
  <c r="W65" i="14"/>
  <c r="N86" i="14"/>
  <c r="N90" i="14"/>
  <c r="L1578" i="8"/>
  <c r="L1684" i="8"/>
  <c r="P592" i="8"/>
  <c r="P593" i="8" s="1"/>
  <c r="P13" i="14"/>
  <c r="P20" i="14" s="1"/>
  <c r="X592" i="8"/>
  <c r="X593" i="8" s="1"/>
  <c r="X13" i="14"/>
  <c r="Y592" i="8"/>
  <c r="Y593" i="8" s="1"/>
  <c r="Y13" i="14"/>
  <c r="AA592" i="8"/>
  <c r="AA593" i="8" s="1"/>
  <c r="AA13" i="14"/>
  <c r="Q592" i="8"/>
  <c r="Q593" i="8" s="1"/>
  <c r="Q13" i="14"/>
  <c r="Q20" i="14" s="1"/>
  <c r="T592" i="8"/>
  <c r="T593" i="8" s="1"/>
  <c r="T13" i="14"/>
  <c r="T20" i="14" s="1"/>
  <c r="M283" i="14"/>
  <c r="AA283" i="14"/>
  <c r="N283" i="14"/>
  <c r="AB283" i="14"/>
  <c r="O283" i="14"/>
  <c r="AC283" i="14"/>
  <c r="P283" i="14"/>
  <c r="AD283" i="14"/>
  <c r="Q283" i="14"/>
  <c r="R283" i="14"/>
  <c r="S283" i="14"/>
  <c r="U283" i="14"/>
  <c r="V283" i="14"/>
  <c r="X283" i="14"/>
  <c r="Y283" i="14"/>
  <c r="Z283" i="14"/>
  <c r="AE283" i="14"/>
  <c r="L283" i="14"/>
  <c r="T283" i="14"/>
  <c r="W283" i="14"/>
  <c r="N293" i="14"/>
  <c r="AC592" i="8"/>
  <c r="AC593" i="8" s="1"/>
  <c r="AC13" i="14"/>
  <c r="AC17" i="14" s="1"/>
  <c r="S592" i="8"/>
  <c r="S593" i="8" s="1"/>
  <c r="S13" i="14"/>
  <c r="S24" i="14" s="1"/>
  <c r="R1457" i="8"/>
  <c r="R14" i="14"/>
  <c r="T276" i="14"/>
  <c r="U276" i="14"/>
  <c r="Y276" i="14"/>
  <c r="O276" i="14"/>
  <c r="AC276" i="14"/>
  <c r="AA276" i="14"/>
  <c r="AB276" i="14"/>
  <c r="AD276" i="14"/>
  <c r="L276" i="14"/>
  <c r="AE276" i="14"/>
  <c r="M276" i="14"/>
  <c r="N276" i="14"/>
  <c r="P276" i="14"/>
  <c r="R276" i="14"/>
  <c r="Q276" i="14"/>
  <c r="S276" i="14"/>
  <c r="X276" i="14"/>
  <c r="V276" i="14"/>
  <c r="W276" i="14"/>
  <c r="Z276" i="14"/>
  <c r="O592" i="8"/>
  <c r="O593" i="8" s="1"/>
  <c r="O13" i="14"/>
  <c r="O20" i="14" s="1"/>
  <c r="M83" i="14"/>
  <c r="M91" i="14"/>
  <c r="L278" i="2"/>
  <c r="M93" i="14"/>
  <c r="M85" i="14"/>
  <c r="V69" i="14"/>
  <c r="S69" i="14"/>
  <c r="T69" i="14"/>
  <c r="U69" i="14"/>
  <c r="W69" i="14"/>
  <c r="X69" i="14"/>
  <c r="L69" i="14"/>
  <c r="AA69" i="14"/>
  <c r="Y69" i="14"/>
  <c r="Z69" i="14"/>
  <c r="AB69" i="14"/>
  <c r="AC69" i="14"/>
  <c r="AD69" i="14"/>
  <c r="M69" i="14"/>
  <c r="Q69" i="14"/>
  <c r="N69" i="14"/>
  <c r="O69" i="14"/>
  <c r="R69" i="14"/>
  <c r="P69" i="14"/>
  <c r="AE69" i="14"/>
  <c r="F1049" i="8"/>
  <c r="F1045" i="8"/>
  <c r="F649" i="8"/>
  <c r="F653" i="8"/>
  <c r="F637" i="8"/>
  <c r="F629" i="8"/>
  <c r="F1041" i="8"/>
  <c r="F1029" i="8"/>
  <c r="F633" i="8"/>
  <c r="F657" i="8"/>
  <c r="F1037" i="8"/>
  <c r="F1053" i="8"/>
  <c r="F1033" i="8"/>
  <c r="F641" i="8"/>
  <c r="F1025" i="8"/>
  <c r="F645" i="8"/>
  <c r="U319" i="8"/>
  <c r="U320" i="8" s="1"/>
  <c r="AA411" i="8"/>
  <c r="AA412" i="8" s="1"/>
  <c r="P343" i="8"/>
  <c r="P344" i="8" s="1"/>
  <c r="P363" i="8"/>
  <c r="P364" i="8" s="1"/>
  <c r="U315" i="8"/>
  <c r="U316" i="8" s="1"/>
  <c r="U299" i="8"/>
  <c r="U300" i="8" s="1"/>
  <c r="U307" i="8"/>
  <c r="U308" i="8" s="1"/>
  <c r="L1588" i="8"/>
  <c r="L1586" i="8"/>
  <c r="L1589" i="8"/>
  <c r="L1587" i="8"/>
  <c r="U427" i="8"/>
  <c r="U428" i="8" s="1"/>
  <c r="U295" i="8"/>
  <c r="U296" i="8" s="1"/>
  <c r="AC407" i="8"/>
  <c r="AC408" i="8" s="1"/>
  <c r="U327" i="8"/>
  <c r="U328" i="8" s="1"/>
  <c r="L100" i="12"/>
  <c r="L69" i="12"/>
  <c r="L30" i="12"/>
  <c r="I5" i="11"/>
  <c r="L94" i="12"/>
  <c r="L81" i="12"/>
  <c r="H731" i="2"/>
  <c r="L42" i="12"/>
  <c r="L70" i="12"/>
  <c r="L58" i="12"/>
  <c r="L43" i="12"/>
  <c r="L82" i="12"/>
  <c r="W199" i="2"/>
  <c r="W411" i="8" s="1"/>
  <c r="W412" i="8" s="1"/>
  <c r="L6" i="12"/>
  <c r="I7" i="11"/>
  <c r="L33" i="12"/>
  <c r="L60" i="12"/>
  <c r="L9" i="12"/>
  <c r="L45" i="12"/>
  <c r="L84" i="12"/>
  <c r="L64" i="12"/>
  <c r="L7" i="12"/>
  <c r="L37" i="12"/>
  <c r="L18" i="12"/>
  <c r="L93" i="12"/>
  <c r="L57" i="12"/>
  <c r="I9" i="11"/>
  <c r="L23" i="12"/>
  <c r="L74" i="12"/>
  <c r="L35" i="12"/>
  <c r="L11" i="12"/>
  <c r="L62" i="12"/>
  <c r="L98" i="12"/>
  <c r="L86" i="12"/>
  <c r="L47" i="12"/>
  <c r="I12" i="11"/>
  <c r="L26" i="12"/>
  <c r="L50" i="12"/>
  <c r="L14" i="12"/>
  <c r="L77" i="12"/>
  <c r="L101" i="12"/>
  <c r="L65" i="12"/>
  <c r="L89" i="12"/>
  <c r="L38" i="12"/>
  <c r="I6" i="11"/>
  <c r="L95" i="12"/>
  <c r="AE351" i="2"/>
  <c r="L46" i="12"/>
  <c r="L59" i="12"/>
  <c r="L97" i="12"/>
  <c r="L61" i="12"/>
  <c r="L36" i="12"/>
  <c r="L87" i="12"/>
  <c r="L10" i="12"/>
  <c r="E763" i="2"/>
  <c r="L32" i="12"/>
  <c r="L21" i="12"/>
  <c r="L8" i="12"/>
  <c r="L22" i="12"/>
  <c r="L88" i="12"/>
  <c r="L83" i="12"/>
  <c r="L96" i="12"/>
  <c r="L75" i="12"/>
  <c r="O202" i="2"/>
  <c r="L20" i="12"/>
  <c r="L31" i="12"/>
  <c r="L73" i="12"/>
  <c r="L63" i="12"/>
  <c r="L72" i="12"/>
  <c r="L48" i="12"/>
  <c r="L19" i="12"/>
  <c r="L49" i="12"/>
  <c r="L25" i="12"/>
  <c r="L44" i="12"/>
  <c r="L85" i="12"/>
  <c r="L13" i="12"/>
  <c r="L34" i="12"/>
  <c r="L99" i="12"/>
  <c r="L24" i="12"/>
  <c r="L71" i="12"/>
  <c r="L76" i="12"/>
  <c r="L12" i="12"/>
  <c r="AA202" i="2"/>
  <c r="R271" i="2"/>
  <c r="W204" i="2"/>
  <c r="W197" i="2"/>
  <c r="W403" i="8" s="1"/>
  <c r="W404" i="8" s="1"/>
  <c r="G363" i="2"/>
  <c r="AB143" i="2"/>
  <c r="M729" i="2"/>
  <c r="N342" i="2"/>
  <c r="N796" i="8" s="1"/>
  <c r="N797" i="8" s="1"/>
  <c r="L342" i="2"/>
  <c r="L796" i="8" s="1"/>
  <c r="L797" i="8" s="1"/>
  <c r="J331" i="2"/>
  <c r="Q144" i="2"/>
  <c r="AB84" i="2"/>
  <c r="N729" i="2"/>
  <c r="AB85" i="2"/>
  <c r="AD84" i="2"/>
  <c r="G767" i="2"/>
  <c r="AB82" i="2"/>
  <c r="X144" i="2"/>
  <c r="N742" i="2"/>
  <c r="N1196" i="8" s="1"/>
  <c r="N1197" i="8" s="1"/>
  <c r="M20" i="2"/>
  <c r="R84" i="2"/>
  <c r="R94" i="2" s="1"/>
  <c r="AE22" i="2"/>
  <c r="AD23" i="2"/>
  <c r="F1499" i="8"/>
  <c r="X80" i="2"/>
  <c r="X77" i="2"/>
  <c r="Z350" i="2"/>
  <c r="K22" i="2"/>
  <c r="K32" i="2" s="1"/>
  <c r="AB140" i="2"/>
  <c r="M771" i="2"/>
  <c r="M88" i="17" s="1"/>
  <c r="N350" i="2"/>
  <c r="N361" i="2" s="1"/>
  <c r="W749" i="2"/>
  <c r="X85" i="2"/>
  <c r="AD749" i="2"/>
  <c r="N749" i="2"/>
  <c r="N760" i="2" s="1"/>
  <c r="V350" i="2"/>
  <c r="R203" i="2"/>
  <c r="V749" i="2"/>
  <c r="X78" i="2"/>
  <c r="X81" i="2"/>
  <c r="L372" i="2"/>
  <c r="W350" i="2"/>
  <c r="K481" i="2"/>
  <c r="K491" i="2" s="1"/>
  <c r="Y205" i="2"/>
  <c r="Z749" i="2"/>
  <c r="Q749" i="2"/>
  <c r="S749" i="2"/>
  <c r="L749" i="2"/>
  <c r="L760" i="2" s="1"/>
  <c r="O749" i="2"/>
  <c r="O760" i="2" s="1"/>
  <c r="L350" i="2"/>
  <c r="L361" i="2" s="1"/>
  <c r="P749" i="2"/>
  <c r="O350" i="2"/>
  <c r="O361" i="2" s="1"/>
  <c r="K483" i="2"/>
  <c r="K493" i="2" s="1"/>
  <c r="M22" i="2"/>
  <c r="H730" i="2"/>
  <c r="N771" i="2"/>
  <c r="N88" i="17" s="1"/>
  <c r="AC749" i="2"/>
  <c r="R749" i="2"/>
  <c r="K476" i="2"/>
  <c r="K486" i="2" s="1"/>
  <c r="I330" i="2"/>
  <c r="O372" i="2"/>
  <c r="AE350" i="2"/>
  <c r="AB350" i="2"/>
  <c r="AA749" i="2"/>
  <c r="Y749" i="2"/>
  <c r="U350" i="2"/>
  <c r="M749" i="2"/>
  <c r="M760" i="2" s="1"/>
  <c r="J337" i="2"/>
  <c r="K199" i="2"/>
  <c r="K209" i="2" s="1"/>
  <c r="Y350" i="2"/>
  <c r="T749" i="2"/>
  <c r="R350" i="2"/>
  <c r="AD350" i="2"/>
  <c r="O771" i="2"/>
  <c r="O88" i="17" s="1"/>
  <c r="K482" i="2"/>
  <c r="K492" i="2" s="1"/>
  <c r="W79" i="2"/>
  <c r="M372" i="2"/>
  <c r="P350" i="2"/>
  <c r="AD299" i="2"/>
  <c r="AA350" i="2"/>
  <c r="X749" i="2"/>
  <c r="L771" i="2"/>
  <c r="L88" i="17" s="1"/>
  <c r="AB749" i="2"/>
  <c r="P142" i="2"/>
  <c r="M350" i="2"/>
  <c r="M361" i="2" s="1"/>
  <c r="AC350" i="2"/>
  <c r="N372" i="2"/>
  <c r="W80" i="2"/>
  <c r="X350" i="2"/>
  <c r="T350" i="2"/>
  <c r="AE749" i="2"/>
  <c r="U749" i="2"/>
  <c r="Q350" i="2"/>
  <c r="S350" i="2"/>
  <c r="R205" i="2"/>
  <c r="N346" i="2"/>
  <c r="N812" i="8" s="1"/>
  <c r="N813" i="8" s="1"/>
  <c r="J332" i="2"/>
  <c r="G365" i="2"/>
  <c r="G370" i="2"/>
  <c r="AA205" i="2"/>
  <c r="AA319" i="2"/>
  <c r="J333" i="2"/>
  <c r="M740" i="2"/>
  <c r="E365" i="2"/>
  <c r="AD139" i="2"/>
  <c r="AA198" i="2"/>
  <c r="H729" i="2"/>
  <c r="N330" i="2"/>
  <c r="M79" i="2"/>
  <c r="AB79" i="2"/>
  <c r="L18" i="2"/>
  <c r="H332" i="2"/>
  <c r="F1494" i="8"/>
  <c r="M84" i="2"/>
  <c r="M78" i="2"/>
  <c r="E711" i="2"/>
  <c r="J731" i="2" s="1"/>
  <c r="Q141" i="2"/>
  <c r="AC77" i="2"/>
  <c r="M80" i="2"/>
  <c r="AE201" i="2"/>
  <c r="E702" i="2"/>
  <c r="I733" i="2" s="1"/>
  <c r="Z199" i="2"/>
  <c r="M81" i="2"/>
  <c r="N747" i="2"/>
  <c r="N1216" i="8" s="1"/>
  <c r="N1217" i="8" s="1"/>
  <c r="Q309" i="2"/>
  <c r="Q319" i="2" s="1"/>
  <c r="T199" i="2"/>
  <c r="Q140" i="2"/>
  <c r="T79" i="2"/>
  <c r="G768" i="2"/>
  <c r="G369" i="2"/>
  <c r="M83" i="2"/>
  <c r="M82" i="2"/>
  <c r="Q137" i="2"/>
  <c r="M77" i="2"/>
  <c r="E368" i="2"/>
  <c r="F1481" i="8"/>
  <c r="K17" i="2"/>
  <c r="K27" i="2" s="1"/>
  <c r="T18" i="2"/>
  <c r="N741" i="2"/>
  <c r="N1192" i="8" s="1"/>
  <c r="N1193" i="8" s="1"/>
  <c r="S81" i="2"/>
  <c r="P144" i="2"/>
  <c r="K20" i="2"/>
  <c r="K30" i="2" s="1"/>
  <c r="J336" i="2"/>
  <c r="P139" i="2"/>
  <c r="AA85" i="2"/>
  <c r="P205" i="2"/>
  <c r="N335" i="2"/>
  <c r="AB138" i="2"/>
  <c r="M345" i="2"/>
  <c r="M808" i="8" s="1"/>
  <c r="M809" i="8" s="1"/>
  <c r="N85" i="2"/>
  <c r="AA669" i="2"/>
  <c r="Z306" i="2"/>
  <c r="AD24" i="2"/>
  <c r="P204" i="2"/>
  <c r="M735" i="2"/>
  <c r="U82" i="2"/>
  <c r="V19" i="2"/>
  <c r="M708" i="2"/>
  <c r="M761" i="2" s="1"/>
  <c r="M790" i="2" s="1"/>
  <c r="M741" i="2"/>
  <c r="M1192" i="8" s="1"/>
  <c r="M1193" i="8" s="1"/>
  <c r="E705" i="2"/>
  <c r="I736" i="2" s="1"/>
  <c r="W81" i="2"/>
  <c r="M200" i="2"/>
  <c r="AD19" i="2"/>
  <c r="M996" i="8"/>
  <c r="M997" i="8" s="1"/>
  <c r="U85" i="2"/>
  <c r="N345" i="2"/>
  <c r="N808" i="8" s="1"/>
  <c r="N809" i="8" s="1"/>
  <c r="AC23" i="2"/>
  <c r="AC79" i="2"/>
  <c r="AC19" i="2"/>
  <c r="AC24" i="2"/>
  <c r="X204" i="2"/>
  <c r="N337" i="2"/>
  <c r="O84" i="2"/>
  <c r="AE199" i="2"/>
  <c r="P141" i="2"/>
  <c r="U319" i="2"/>
  <c r="AE708" i="2"/>
  <c r="AE761" i="2" s="1"/>
  <c r="AE790" i="2" s="1"/>
  <c r="E698" i="2"/>
  <c r="I729" i="2" s="1"/>
  <c r="AE200" i="2"/>
  <c r="AB669" i="2"/>
  <c r="AE203" i="2"/>
  <c r="L205" i="2"/>
  <c r="N82" i="2"/>
  <c r="M346" i="2"/>
  <c r="M812" i="8" s="1"/>
  <c r="M813" i="8" s="1"/>
  <c r="E699" i="2"/>
  <c r="I730" i="2" s="1"/>
  <c r="AE197" i="2"/>
  <c r="E712" i="2"/>
  <c r="J732" i="2" s="1"/>
  <c r="AE198" i="2"/>
  <c r="L197" i="2"/>
  <c r="Y718" i="2"/>
  <c r="H335" i="2"/>
  <c r="E715" i="2"/>
  <c r="J735" i="2" s="1"/>
  <c r="L198" i="2"/>
  <c r="E713" i="2"/>
  <c r="P197" i="2"/>
  <c r="M205" i="2"/>
  <c r="P140" i="2"/>
  <c r="V80" i="2"/>
  <c r="V17" i="2"/>
  <c r="V20" i="2"/>
  <c r="P18" i="2"/>
  <c r="W203" i="2"/>
  <c r="V25" i="2"/>
  <c r="S18" i="2"/>
  <c r="R664" i="2"/>
  <c r="P137" i="2"/>
  <c r="AC78" i="2"/>
  <c r="V24" i="2"/>
  <c r="U83" i="2"/>
  <c r="N745" i="2"/>
  <c r="N1208" i="8" s="1"/>
  <c r="N1209" i="8" s="1"/>
  <c r="M337" i="2"/>
  <c r="I337" i="2"/>
  <c r="S1457" i="8"/>
  <c r="Y1457" i="8"/>
  <c r="O1457" i="8"/>
  <c r="AD1457" i="8"/>
  <c r="V1457" i="8"/>
  <c r="Z1457" i="8"/>
  <c r="AE1457" i="8"/>
  <c r="P1457" i="8"/>
  <c r="Q1457" i="8"/>
  <c r="AA1457" i="8"/>
  <c r="M1457" i="8"/>
  <c r="W1457" i="8"/>
  <c r="AB1457" i="8"/>
  <c r="N1457" i="8"/>
  <c r="Z202" i="2"/>
  <c r="AC25" i="2"/>
  <c r="Z203" i="2"/>
  <c r="K23" i="2"/>
  <c r="K319" i="8" s="1"/>
  <c r="Z200" i="2"/>
  <c r="Z204" i="2"/>
  <c r="I332" i="2"/>
  <c r="R267" i="2"/>
  <c r="R666" i="2"/>
  <c r="K203" i="2"/>
  <c r="K213" i="2" s="1"/>
  <c r="K197" i="2"/>
  <c r="K403" i="8" s="1"/>
  <c r="I334" i="2"/>
  <c r="L281" i="2"/>
  <c r="I331" i="2"/>
  <c r="E701" i="2"/>
  <c r="I732" i="2" s="1"/>
  <c r="AD197" i="2"/>
  <c r="Z197" i="2"/>
  <c r="E714" i="2"/>
  <c r="E704" i="2"/>
  <c r="I735" i="2" s="1"/>
  <c r="I335" i="2"/>
  <c r="AD200" i="2"/>
  <c r="I336" i="2"/>
  <c r="E700" i="2"/>
  <c r="I731" i="2" s="1"/>
  <c r="S309" i="2"/>
  <c r="S362" i="2" s="1"/>
  <c r="S391" i="2" s="1"/>
  <c r="I333" i="2"/>
  <c r="E710" i="2"/>
  <c r="J730" i="2" s="1"/>
  <c r="E703" i="2"/>
  <c r="I734" i="2" s="1"/>
  <c r="E709" i="2"/>
  <c r="J729" i="2" s="1"/>
  <c r="F1450" i="8"/>
  <c r="N1200" i="8"/>
  <c r="N1201" i="8" s="1"/>
  <c r="M85" i="2"/>
  <c r="N139" i="2"/>
  <c r="N1212" i="8"/>
  <c r="N1213" i="8" s="1"/>
  <c r="M199" i="2"/>
  <c r="M202" i="2"/>
  <c r="O21" i="2"/>
  <c r="J330" i="2"/>
  <c r="F1446" i="8"/>
  <c r="M198" i="2"/>
  <c r="M258" i="2"/>
  <c r="M259" i="2"/>
  <c r="L199" i="2"/>
  <c r="AE81" i="2"/>
  <c r="K25" i="2"/>
  <c r="K35" i="2" s="1"/>
  <c r="M331" i="2"/>
  <c r="M46" i="14" s="1"/>
  <c r="N735" i="2"/>
  <c r="N258" i="14" s="1"/>
  <c r="H736" i="2"/>
  <c r="N347" i="2"/>
  <c r="M616" i="8"/>
  <c r="M617" i="8" s="1"/>
  <c r="AD82" i="2"/>
  <c r="P202" i="2"/>
  <c r="N78" i="2"/>
  <c r="K19" i="2"/>
  <c r="K303" i="8" s="1"/>
  <c r="W84" i="2"/>
  <c r="O80" i="2"/>
  <c r="AD17" i="2"/>
  <c r="W78" i="2"/>
  <c r="O200" i="2"/>
  <c r="AD708" i="2"/>
  <c r="AD761" i="2" s="1"/>
  <c r="AD790" i="2" s="1"/>
  <c r="H735" i="2"/>
  <c r="Y94" i="2"/>
  <c r="Z299" i="2"/>
  <c r="W85" i="2"/>
  <c r="M335" i="2"/>
  <c r="R204" i="2"/>
  <c r="L203" i="2"/>
  <c r="O82" i="2"/>
  <c r="AB205" i="2"/>
  <c r="K18" i="2"/>
  <c r="K28" i="2" s="1"/>
  <c r="AB22" i="2"/>
  <c r="AB199" i="2"/>
  <c r="W82" i="2"/>
  <c r="W83" i="2"/>
  <c r="Q138" i="2"/>
  <c r="AD78" i="2"/>
  <c r="K201" i="2"/>
  <c r="K211" i="2" s="1"/>
  <c r="R197" i="2"/>
  <c r="K202" i="2"/>
  <c r="K423" i="8" s="1"/>
  <c r="N80" i="2"/>
  <c r="L201" i="2"/>
  <c r="R199" i="2"/>
  <c r="K82" i="2"/>
  <c r="K92" i="2" s="1"/>
  <c r="L202" i="2"/>
  <c r="AC84" i="2"/>
  <c r="N79" i="2"/>
  <c r="X139" i="2"/>
  <c r="Q142" i="2"/>
  <c r="L79" i="2"/>
  <c r="W77" i="2"/>
  <c r="R198" i="2"/>
  <c r="R202" i="2"/>
  <c r="AC139" i="2"/>
  <c r="R201" i="2"/>
  <c r="N84" i="2"/>
  <c r="N83" i="2"/>
  <c r="N744" i="2"/>
  <c r="N77" i="2"/>
  <c r="K424" i="2"/>
  <c r="K434" i="2" s="1"/>
  <c r="K198" i="2"/>
  <c r="K208" i="2" s="1"/>
  <c r="K200" i="2"/>
  <c r="K210" i="2" s="1"/>
  <c r="K205" i="2"/>
  <c r="K215" i="2" s="1"/>
  <c r="P200" i="2"/>
  <c r="O78" i="2"/>
  <c r="S24" i="2"/>
  <c r="O83" i="2"/>
  <c r="AB204" i="2"/>
  <c r="N81" i="2"/>
  <c r="N25" i="2"/>
  <c r="R200" i="2"/>
  <c r="AA37" i="9"/>
  <c r="AA670" i="2" s="1"/>
  <c r="Y80" i="2"/>
  <c r="N736" i="2"/>
  <c r="F301" i="2"/>
  <c r="L77" i="2"/>
  <c r="AB18" i="2"/>
  <c r="T204" i="2"/>
  <c r="Y85" i="2"/>
  <c r="AB197" i="2"/>
  <c r="R81" i="2"/>
  <c r="L84" i="2"/>
  <c r="L17" i="2"/>
  <c r="Y79" i="2"/>
  <c r="AE204" i="2"/>
  <c r="U78" i="2"/>
  <c r="T78" i="2"/>
  <c r="H330" i="2"/>
  <c r="L80" i="2"/>
  <c r="L23" i="2"/>
  <c r="W299" i="2"/>
  <c r="T83" i="2"/>
  <c r="L299" i="2"/>
  <c r="Y78" i="2"/>
  <c r="T77" i="2"/>
  <c r="AA299" i="2"/>
  <c r="Q143" i="2"/>
  <c r="L82" i="2"/>
  <c r="Y81" i="2"/>
  <c r="L78" i="2"/>
  <c r="V140" i="2"/>
  <c r="T84" i="2"/>
  <c r="N348" i="2"/>
  <c r="L24" i="2"/>
  <c r="O17" i="2"/>
  <c r="Y83" i="2"/>
  <c r="Y82" i="2"/>
  <c r="T81" i="2"/>
  <c r="AB201" i="2"/>
  <c r="Q668" i="2"/>
  <c r="V85" i="2"/>
  <c r="T85" i="2"/>
  <c r="T82" i="2"/>
  <c r="T80" i="2"/>
  <c r="L83" i="2"/>
  <c r="X299" i="2"/>
  <c r="P203" i="2"/>
  <c r="Y77" i="2"/>
  <c r="L85" i="2"/>
  <c r="L81" i="2"/>
  <c r="F300" i="2"/>
  <c r="S149" i="2"/>
  <c r="S375" i="8"/>
  <c r="S376" i="8" s="1"/>
  <c r="AB137" i="2"/>
  <c r="O79" i="2"/>
  <c r="R77" i="2"/>
  <c r="L20" i="2"/>
  <c r="AB139" i="2"/>
  <c r="AA18" i="2"/>
  <c r="AD145" i="2"/>
  <c r="L204" i="2"/>
  <c r="V299" i="2"/>
  <c r="O85" i="2"/>
  <c r="K604" i="2"/>
  <c r="K614" i="2" s="1"/>
  <c r="R82" i="2"/>
  <c r="K48" i="10"/>
  <c r="Y48" i="10"/>
  <c r="Y138" i="5" s="1"/>
  <c r="Y218" i="14" s="1"/>
  <c r="Y329" i="14" s="1"/>
  <c r="X48" i="10"/>
  <c r="X138" i="5" s="1"/>
  <c r="X218" i="14" s="1"/>
  <c r="X329" i="14" s="1"/>
  <c r="Z48" i="10"/>
  <c r="Z138" i="5" s="1"/>
  <c r="Z218" i="14" s="1"/>
  <c r="Z329" i="14" s="1"/>
  <c r="L48" i="10"/>
  <c r="L138" i="5" s="1"/>
  <c r="L218" i="14" s="1"/>
  <c r="L329" i="14" s="1"/>
  <c r="AA48" i="10"/>
  <c r="AA138" i="5" s="1"/>
  <c r="AA218" i="14" s="1"/>
  <c r="AA329" i="14" s="1"/>
  <c r="M48" i="10"/>
  <c r="M138" i="5" s="1"/>
  <c r="M218" i="14" s="1"/>
  <c r="M329" i="14" s="1"/>
  <c r="AB48" i="10"/>
  <c r="AB138" i="5" s="1"/>
  <c r="AB218" i="14" s="1"/>
  <c r="AB329" i="14" s="1"/>
  <c r="N48" i="10"/>
  <c r="N138" i="5" s="1"/>
  <c r="N218" i="14" s="1"/>
  <c r="N329" i="14" s="1"/>
  <c r="AC48" i="10"/>
  <c r="AC138" i="5" s="1"/>
  <c r="AC218" i="14" s="1"/>
  <c r="AC329" i="14" s="1"/>
  <c r="O48" i="10"/>
  <c r="O138" i="5" s="1"/>
  <c r="O218" i="14" s="1"/>
  <c r="O329" i="14" s="1"/>
  <c r="AD48" i="10"/>
  <c r="AD138" i="5" s="1"/>
  <c r="AD218" i="14" s="1"/>
  <c r="AD329" i="14" s="1"/>
  <c r="P48" i="10"/>
  <c r="P138" i="5" s="1"/>
  <c r="P218" i="14" s="1"/>
  <c r="P329" i="14" s="1"/>
  <c r="AE48" i="10"/>
  <c r="AE138" i="5" s="1"/>
  <c r="AE218" i="14" s="1"/>
  <c r="AE329" i="14" s="1"/>
  <c r="T48" i="10"/>
  <c r="T138" i="5" s="1"/>
  <c r="T218" i="14" s="1"/>
  <c r="T329" i="14" s="1"/>
  <c r="Q48" i="10"/>
  <c r="Q138" i="5" s="1"/>
  <c r="Q218" i="14" s="1"/>
  <c r="Q329" i="14" s="1"/>
  <c r="AF48" i="10"/>
  <c r="R48" i="10"/>
  <c r="R138" i="5" s="1"/>
  <c r="R218" i="14" s="1"/>
  <c r="R329" i="14" s="1"/>
  <c r="AG48" i="10"/>
  <c r="S48" i="10"/>
  <c r="S138" i="5" s="1"/>
  <c r="S218" i="14" s="1"/>
  <c r="S329" i="14" s="1"/>
  <c r="AH48" i="10"/>
  <c r="AI48" i="10"/>
  <c r="U48" i="10"/>
  <c r="U138" i="5" s="1"/>
  <c r="U218" i="14" s="1"/>
  <c r="U329" i="14" s="1"/>
  <c r="V48" i="10"/>
  <c r="V138" i="5" s="1"/>
  <c r="V218" i="14" s="1"/>
  <c r="V329" i="14" s="1"/>
  <c r="W48" i="10"/>
  <c r="W138" i="5" s="1"/>
  <c r="W218" i="14" s="1"/>
  <c r="W329" i="14" s="1"/>
  <c r="AB203" i="2"/>
  <c r="R79" i="2"/>
  <c r="L19" i="2"/>
  <c r="AB142" i="2"/>
  <c r="N142" i="2"/>
  <c r="X137" i="2"/>
  <c r="AD20" i="2"/>
  <c r="S20" i="2"/>
  <c r="M197" i="2"/>
  <c r="U79" i="2"/>
  <c r="N306" i="2"/>
  <c r="T42" i="10"/>
  <c r="AH42" i="10"/>
  <c r="U42" i="10"/>
  <c r="AI42" i="10"/>
  <c r="V42" i="10"/>
  <c r="W42" i="10"/>
  <c r="W71" i="17" s="1"/>
  <c r="X42" i="10"/>
  <c r="K42" i="10"/>
  <c r="Y42" i="10"/>
  <c r="Y71" i="17" s="1"/>
  <c r="L42" i="10"/>
  <c r="L71" i="17" s="1"/>
  <c r="Z42" i="10"/>
  <c r="Z71" i="17" s="1"/>
  <c r="M42" i="10"/>
  <c r="AA42" i="10"/>
  <c r="N42" i="10"/>
  <c r="AB42" i="10"/>
  <c r="O42" i="10"/>
  <c r="AC42" i="10"/>
  <c r="Q42" i="10"/>
  <c r="AE42" i="10"/>
  <c r="AG42" i="10"/>
  <c r="R42" i="10"/>
  <c r="P42" i="10"/>
  <c r="P71" i="17" s="1"/>
  <c r="S42" i="10"/>
  <c r="AD42" i="10"/>
  <c r="AF42" i="10"/>
  <c r="T306" i="2"/>
  <c r="Q201" i="2"/>
  <c r="N144" i="2"/>
  <c r="S153" i="2"/>
  <c r="X143" i="2"/>
  <c r="AE25" i="2"/>
  <c r="R80" i="2"/>
  <c r="U84" i="2"/>
  <c r="R83" i="2"/>
  <c r="AE205" i="2"/>
  <c r="Y197" i="2"/>
  <c r="Q139" i="2"/>
  <c r="M624" i="8"/>
  <c r="M625" i="8" s="1"/>
  <c r="L306" i="2"/>
  <c r="M25" i="2"/>
  <c r="S152" i="2"/>
  <c r="N143" i="2"/>
  <c r="N140" i="2"/>
  <c r="O81" i="2"/>
  <c r="X82" i="2"/>
  <c r="O23" i="2"/>
  <c r="AB141" i="2"/>
  <c r="Z19" i="2"/>
  <c r="X84" i="2"/>
  <c r="U81" i="2"/>
  <c r="X25" i="2"/>
  <c r="AA201" i="2"/>
  <c r="L280" i="2"/>
  <c r="Q43" i="10"/>
  <c r="Q127" i="5" s="1"/>
  <c r="AE43" i="10"/>
  <c r="AE127" i="5" s="1"/>
  <c r="R43" i="10"/>
  <c r="R127" i="5" s="1"/>
  <c r="AF43" i="10"/>
  <c r="S43" i="10"/>
  <c r="S127" i="5" s="1"/>
  <c r="AG43" i="10"/>
  <c r="T43" i="10"/>
  <c r="T127" i="5" s="1"/>
  <c r="AH43" i="10"/>
  <c r="U43" i="10"/>
  <c r="U127" i="5" s="1"/>
  <c r="AI43" i="10"/>
  <c r="V43" i="10"/>
  <c r="V127" i="5" s="1"/>
  <c r="W43" i="10"/>
  <c r="W127" i="5" s="1"/>
  <c r="AA43" i="10"/>
  <c r="AA127" i="5" s="1"/>
  <c r="X43" i="10"/>
  <c r="X127" i="5" s="1"/>
  <c r="K43" i="10"/>
  <c r="Y43" i="10"/>
  <c r="Y127" i="5" s="1"/>
  <c r="L43" i="10"/>
  <c r="L127" i="5" s="1"/>
  <c r="Z43" i="10"/>
  <c r="Z127" i="5" s="1"/>
  <c r="M43" i="10"/>
  <c r="M127" i="5" s="1"/>
  <c r="N43" i="10"/>
  <c r="N127" i="5" s="1"/>
  <c r="AB43" i="10"/>
  <c r="AB127" i="5" s="1"/>
  <c r="AC43" i="10"/>
  <c r="AC127" i="5" s="1"/>
  <c r="AD43" i="10"/>
  <c r="AD127" i="5" s="1"/>
  <c r="O43" i="10"/>
  <c r="O127" i="5" s="1"/>
  <c r="P43" i="10"/>
  <c r="P127" i="5" s="1"/>
  <c r="R85" i="2"/>
  <c r="X140" i="2"/>
  <c r="U77" i="2"/>
  <c r="O20" i="2"/>
  <c r="T202" i="2"/>
  <c r="T45" i="10"/>
  <c r="Y45" i="10"/>
  <c r="K45" i="10"/>
  <c r="Z45" i="10"/>
  <c r="L45" i="10"/>
  <c r="AA45" i="10"/>
  <c r="M45" i="10"/>
  <c r="AB45" i="10"/>
  <c r="N45" i="10"/>
  <c r="AC45" i="10"/>
  <c r="O45" i="10"/>
  <c r="AD45" i="10"/>
  <c r="P45" i="10"/>
  <c r="AE45" i="10"/>
  <c r="U45" i="10"/>
  <c r="Q45" i="10"/>
  <c r="AF45" i="10"/>
  <c r="R45" i="10"/>
  <c r="AG45" i="10"/>
  <c r="S45" i="10"/>
  <c r="AH45" i="10"/>
  <c r="V45" i="10"/>
  <c r="AI45" i="10"/>
  <c r="W45" i="10"/>
  <c r="X45" i="10"/>
  <c r="N137" i="2"/>
  <c r="AB200" i="2"/>
  <c r="S22" i="2"/>
  <c r="Z17" i="2"/>
  <c r="X83" i="2"/>
  <c r="L25" i="2"/>
  <c r="U299" i="2"/>
  <c r="E21" i="9"/>
  <c r="O77" i="2"/>
  <c r="AD18" i="2"/>
  <c r="Q204" i="2"/>
  <c r="X197" i="2"/>
  <c r="Z18" i="2"/>
  <c r="AB202" i="2"/>
  <c r="W21" i="2"/>
  <c r="L22" i="2"/>
  <c r="P199" i="2"/>
  <c r="K204" i="2"/>
  <c r="K431" i="8" s="1"/>
  <c r="L283" i="2"/>
  <c r="AC197" i="2"/>
  <c r="N44" i="10"/>
  <c r="N134" i="5" s="1"/>
  <c r="N707" i="2" s="1"/>
  <c r="AB44" i="10"/>
  <c r="AB134" i="5" s="1"/>
  <c r="AB707" i="2" s="1"/>
  <c r="AB221" i="14" s="1"/>
  <c r="O44" i="10"/>
  <c r="O134" i="5" s="1"/>
  <c r="O707" i="2" s="1"/>
  <c r="AC44" i="10"/>
  <c r="AC134" i="5" s="1"/>
  <c r="AC707" i="2" s="1"/>
  <c r="P44" i="10"/>
  <c r="P134" i="5" s="1"/>
  <c r="P707" i="2" s="1"/>
  <c r="AD44" i="10"/>
  <c r="AD134" i="5" s="1"/>
  <c r="AD707" i="2" s="1"/>
  <c r="Q44" i="10"/>
  <c r="Q134" i="5" s="1"/>
  <c r="Q707" i="2" s="1"/>
  <c r="AE44" i="10"/>
  <c r="AE134" i="5" s="1"/>
  <c r="AE707" i="2" s="1"/>
  <c r="AE221" i="14" s="1"/>
  <c r="R44" i="10"/>
  <c r="R134" i="5" s="1"/>
  <c r="R707" i="2" s="1"/>
  <c r="R221" i="14" s="1"/>
  <c r="AF44" i="10"/>
  <c r="S44" i="10"/>
  <c r="S134" i="5" s="1"/>
  <c r="S707" i="2" s="1"/>
  <c r="S221" i="14" s="1"/>
  <c r="AG44" i="10"/>
  <c r="T44" i="10"/>
  <c r="T134" i="5" s="1"/>
  <c r="T707" i="2" s="1"/>
  <c r="T221" i="14" s="1"/>
  <c r="AH44" i="10"/>
  <c r="X44" i="10"/>
  <c r="X134" i="5" s="1"/>
  <c r="X707" i="2" s="1"/>
  <c r="U44" i="10"/>
  <c r="U134" i="5" s="1"/>
  <c r="U707" i="2" s="1"/>
  <c r="AI44" i="10"/>
  <c r="V44" i="10"/>
  <c r="V134" i="5" s="1"/>
  <c r="V707" i="2" s="1"/>
  <c r="W44" i="10"/>
  <c r="W134" i="5" s="1"/>
  <c r="W707" i="2" s="1"/>
  <c r="K44" i="10"/>
  <c r="Y44" i="10"/>
  <c r="Y134" i="5" s="1"/>
  <c r="Y707" i="2" s="1"/>
  <c r="L44" i="10"/>
  <c r="L134" i="5" s="1"/>
  <c r="L707" i="2" s="1"/>
  <c r="M44" i="10"/>
  <c r="M134" i="5" s="1"/>
  <c r="M707" i="2" s="1"/>
  <c r="Z44" i="10"/>
  <c r="Z134" i="5" s="1"/>
  <c r="Z707" i="2" s="1"/>
  <c r="AA44" i="10"/>
  <c r="AA134" i="5" s="1"/>
  <c r="AA707" i="2" s="1"/>
  <c r="S148" i="2"/>
  <c r="AB198" i="2"/>
  <c r="AA137" i="2"/>
  <c r="R78" i="2"/>
  <c r="O24" i="2"/>
  <c r="S154" i="2"/>
  <c r="K601" i="2"/>
  <c r="K611" i="2" s="1"/>
  <c r="Q84" i="2"/>
  <c r="X79" i="2"/>
  <c r="U80" i="2"/>
  <c r="AB144" i="2"/>
  <c r="Z20" i="2"/>
  <c r="X142" i="2"/>
  <c r="AE202" i="2"/>
  <c r="AD25" i="2"/>
  <c r="Z198" i="2"/>
  <c r="O18" i="2"/>
  <c r="Q46" i="10"/>
  <c r="AE46" i="10"/>
  <c r="T46" i="10"/>
  <c r="AI46" i="10"/>
  <c r="U46" i="10"/>
  <c r="V46" i="10"/>
  <c r="W46" i="10"/>
  <c r="W136" i="5" s="1"/>
  <c r="W145" i="13" s="1"/>
  <c r="X46" i="10"/>
  <c r="Y46" i="10"/>
  <c r="K46" i="10"/>
  <c r="Z46" i="10"/>
  <c r="O46" i="10"/>
  <c r="L46" i="10"/>
  <c r="AA46" i="10"/>
  <c r="M46" i="10"/>
  <c r="AB46" i="10"/>
  <c r="N46" i="10"/>
  <c r="AC46" i="10"/>
  <c r="AD46" i="10"/>
  <c r="P46" i="10"/>
  <c r="P136" i="5" s="1"/>
  <c r="P145" i="13" s="1"/>
  <c r="AF46" i="10"/>
  <c r="AG46" i="10"/>
  <c r="R46" i="10"/>
  <c r="S46" i="10"/>
  <c r="AH46" i="10"/>
  <c r="V32" i="2"/>
  <c r="V315" i="8"/>
  <c r="V316" i="8" s="1"/>
  <c r="F304" i="2"/>
  <c r="F303" i="2"/>
  <c r="F305" i="2"/>
  <c r="AC202" i="2"/>
  <c r="U200" i="2"/>
  <c r="V144" i="2"/>
  <c r="Y203" i="2"/>
  <c r="M730" i="2"/>
  <c r="AC306" i="2"/>
  <c r="T351" i="2"/>
  <c r="T309" i="2"/>
  <c r="AC145" i="2"/>
  <c r="M18" i="2"/>
  <c r="V197" i="2"/>
  <c r="AC588" i="8"/>
  <c r="AC589" i="8" s="1"/>
  <c r="AB33" i="9"/>
  <c r="AA33" i="9"/>
  <c r="Q670" i="2"/>
  <c r="R670" i="2"/>
  <c r="N19" i="2"/>
  <c r="O203" i="2"/>
  <c r="K480" i="2"/>
  <c r="K490" i="2" s="1"/>
  <c r="AD85" i="2"/>
  <c r="K484" i="2"/>
  <c r="K494" i="2" s="1"/>
  <c r="P22" i="2"/>
  <c r="M19" i="2"/>
  <c r="V84" i="2"/>
  <c r="V83" i="2"/>
  <c r="AE21" i="2"/>
  <c r="R306" i="2"/>
  <c r="H331" i="2"/>
  <c r="U306" i="2"/>
  <c r="X306" i="2"/>
  <c r="AA306" i="2"/>
  <c r="S201" i="2"/>
  <c r="V79" i="2"/>
  <c r="N24" i="2"/>
  <c r="AD83" i="2"/>
  <c r="Z21" i="2"/>
  <c r="M348" i="2"/>
  <c r="AD202" i="2"/>
  <c r="Y198" i="2"/>
  <c r="AC203" i="2"/>
  <c r="AD80" i="2"/>
  <c r="AC140" i="2"/>
  <c r="P93" i="2"/>
  <c r="K478" i="2"/>
  <c r="K488" i="2" s="1"/>
  <c r="L21" i="2"/>
  <c r="V145" i="2"/>
  <c r="Q145" i="2"/>
  <c r="O204" i="2"/>
  <c r="Y200" i="2"/>
  <c r="Y199" i="2"/>
  <c r="N202" i="2"/>
  <c r="AC138" i="2"/>
  <c r="AC141" i="2"/>
  <c r="V78" i="2"/>
  <c r="M17" i="2"/>
  <c r="M343" i="2"/>
  <c r="S200" i="2"/>
  <c r="AE145" i="2"/>
  <c r="X23" i="2"/>
  <c r="N201" i="2"/>
  <c r="M306" i="2"/>
  <c r="M604" i="8"/>
  <c r="M605" i="8" s="1"/>
  <c r="Y306" i="2"/>
  <c r="AB35" i="9"/>
  <c r="AA35" i="9"/>
  <c r="R351" i="2"/>
  <c r="R309" i="2"/>
  <c r="Q750" i="2"/>
  <c r="Q708" i="2"/>
  <c r="O199" i="2"/>
  <c r="N198" i="2"/>
  <c r="Q202" i="2"/>
  <c r="AC205" i="2"/>
  <c r="V82" i="2"/>
  <c r="AC142" i="2"/>
  <c r="M24" i="2"/>
  <c r="AD77" i="2"/>
  <c r="N20" i="2"/>
  <c r="N17" i="2"/>
  <c r="X18" i="2"/>
  <c r="K21" i="2"/>
  <c r="O201" i="2"/>
  <c r="Y299" i="2"/>
  <c r="AA203" i="2"/>
  <c r="AB145" i="2"/>
  <c r="H256" i="2"/>
  <c r="M1016" i="8"/>
  <c r="M1017" i="8" s="1"/>
  <c r="L681" i="2"/>
  <c r="M746" i="2"/>
  <c r="Q203" i="2"/>
  <c r="N205" i="2"/>
  <c r="AC199" i="2"/>
  <c r="N200" i="2"/>
  <c r="AD79" i="2"/>
  <c r="K479" i="2"/>
  <c r="K489" i="2" s="1"/>
  <c r="AD198" i="2"/>
  <c r="M23" i="2"/>
  <c r="N708" i="2"/>
  <c r="N718" i="2" s="1"/>
  <c r="P750" i="2"/>
  <c r="P708" i="2"/>
  <c r="N203" i="2"/>
  <c r="N23" i="2"/>
  <c r="AD204" i="2"/>
  <c r="Q199" i="2"/>
  <c r="AD203" i="2"/>
  <c r="V205" i="2"/>
  <c r="AC143" i="2"/>
  <c r="AC137" i="2"/>
  <c r="V77" i="2"/>
  <c r="Y359" i="8"/>
  <c r="Y360" i="8" s="1"/>
  <c r="V81" i="2"/>
  <c r="AD81" i="2"/>
  <c r="X21" i="2"/>
  <c r="N331" i="2"/>
  <c r="AC204" i="2"/>
  <c r="M1004" i="8"/>
  <c r="M1005" i="8" s="1"/>
  <c r="M743" i="2"/>
  <c r="L678" i="2"/>
  <c r="AB31" i="9"/>
  <c r="AA31" i="9"/>
  <c r="T24" i="2"/>
  <c r="Y201" i="2"/>
  <c r="K477" i="2"/>
  <c r="K487" i="2" s="1"/>
  <c r="AC144" i="2"/>
  <c r="T19" i="2"/>
  <c r="X20" i="2"/>
  <c r="O197" i="2"/>
  <c r="AB271" i="2"/>
  <c r="O306" i="2"/>
  <c r="V203" i="2"/>
  <c r="Y309" i="2"/>
  <c r="Y351" i="2"/>
  <c r="AB91" i="2"/>
  <c r="AB347" i="8"/>
  <c r="AB348" i="8" s="1"/>
  <c r="Z750" i="2"/>
  <c r="Z708" i="2"/>
  <c r="T203" i="2"/>
  <c r="P91" i="2"/>
  <c r="Z141" i="2"/>
  <c r="AD141" i="2"/>
  <c r="S391" i="8"/>
  <c r="S392" i="8" s="1"/>
  <c r="X138" i="2"/>
  <c r="W202" i="2"/>
  <c r="T23" i="2"/>
  <c r="AD319" i="2"/>
  <c r="AD362" i="2"/>
  <c r="AD391" i="2" s="1"/>
  <c r="L279" i="2"/>
  <c r="M608" i="8"/>
  <c r="M609" i="8" s="1"/>
  <c r="M333" i="2"/>
  <c r="M48" i="14" s="1"/>
  <c r="M344" i="2"/>
  <c r="W24" i="2"/>
  <c r="AB25" i="2"/>
  <c r="AB78" i="2"/>
  <c r="X201" i="2"/>
  <c r="AA21" i="2"/>
  <c r="M1020" i="8"/>
  <c r="M1021" i="8" s="1"/>
  <c r="M736" i="2"/>
  <c r="M259" i="14" s="1"/>
  <c r="L682" i="2"/>
  <c r="M747" i="2"/>
  <c r="S708" i="2"/>
  <c r="S750" i="2"/>
  <c r="N1156" i="8"/>
  <c r="N1157" i="8" s="1"/>
  <c r="AE319" i="2"/>
  <c r="AE362" i="2"/>
  <c r="AE391" i="2" s="1"/>
  <c r="AE20" i="2"/>
  <c r="AB20" i="2"/>
  <c r="O140" i="2"/>
  <c r="AB80" i="2"/>
  <c r="AA17" i="2"/>
  <c r="P95" i="2"/>
  <c r="T22" i="2"/>
  <c r="X17" i="2"/>
  <c r="T25" i="2"/>
  <c r="V18" i="2"/>
  <c r="N21" i="2"/>
  <c r="N1168" i="8"/>
  <c r="N1169" i="8" s="1"/>
  <c r="Q588" i="8"/>
  <c r="Q589" i="8" s="1"/>
  <c r="N792" i="8"/>
  <c r="N793" i="8" s="1"/>
  <c r="S306" i="2"/>
  <c r="T302" i="2"/>
  <c r="N333" i="2"/>
  <c r="N48" i="14" s="1"/>
  <c r="Q669" i="2"/>
  <c r="R669" i="2"/>
  <c r="L750" i="2"/>
  <c r="L708" i="2"/>
  <c r="H334" i="2"/>
  <c r="AB30" i="9"/>
  <c r="AA30" i="9"/>
  <c r="N1160" i="8"/>
  <c r="N1161" i="8" s="1"/>
  <c r="M588" i="8"/>
  <c r="M589" i="8" s="1"/>
  <c r="M299" i="2"/>
  <c r="AE23" i="2"/>
  <c r="W198" i="2"/>
  <c r="T20" i="2"/>
  <c r="AE24" i="2"/>
  <c r="AD144" i="2"/>
  <c r="X145" i="2"/>
  <c r="AD205" i="2"/>
  <c r="AB19" i="2"/>
  <c r="AD21" i="2"/>
  <c r="M1008" i="8"/>
  <c r="M1009" i="8" s="1"/>
  <c r="L679" i="2"/>
  <c r="M733" i="2"/>
  <c r="M256" i="14" s="1"/>
  <c r="M744" i="2"/>
  <c r="P588" i="8"/>
  <c r="P589" i="8" s="1"/>
  <c r="P299" i="2"/>
  <c r="N734" i="2"/>
  <c r="N257" i="14" s="1"/>
  <c r="N588" i="8"/>
  <c r="N589" i="8" s="1"/>
  <c r="N299" i="2"/>
  <c r="M596" i="8"/>
  <c r="M597" i="8" s="1"/>
  <c r="L276" i="2"/>
  <c r="M341" i="2"/>
  <c r="M330" i="2"/>
  <c r="V718" i="2"/>
  <c r="V761" i="2"/>
  <c r="V790" i="2" s="1"/>
  <c r="R264" i="2"/>
  <c r="Q264" i="2"/>
  <c r="R588" i="8"/>
  <c r="R589" i="8" s="1"/>
  <c r="M732" i="2"/>
  <c r="M255" i="14" s="1"/>
  <c r="N732" i="2"/>
  <c r="N255" i="14" s="1"/>
  <c r="T588" i="8"/>
  <c r="T589" i="8" s="1"/>
  <c r="T299" i="2"/>
  <c r="M336" i="2"/>
  <c r="M51" i="14" s="1"/>
  <c r="T200" i="2"/>
  <c r="P21" i="2"/>
  <c r="AE588" i="8"/>
  <c r="AE589" i="8" s="1"/>
  <c r="N800" i="8"/>
  <c r="N801" i="8" s="1"/>
  <c r="AE306" i="2"/>
  <c r="X708" i="2"/>
  <c r="X750" i="2"/>
  <c r="H336" i="2"/>
  <c r="W201" i="2"/>
  <c r="U205" i="2"/>
  <c r="W200" i="2"/>
  <c r="AD143" i="2"/>
  <c r="AD137" i="2"/>
  <c r="AB17" i="2"/>
  <c r="V141" i="2"/>
  <c r="P355" i="8"/>
  <c r="P356" i="8" s="1"/>
  <c r="M203" i="2"/>
  <c r="L200" i="2"/>
  <c r="H734" i="2"/>
  <c r="M1000" i="8"/>
  <c r="M1001" i="8" s="1"/>
  <c r="M742" i="2"/>
  <c r="L677" i="2"/>
  <c r="M731" i="2"/>
  <c r="M254" i="14" s="1"/>
  <c r="O588" i="8"/>
  <c r="O589" i="8" s="1"/>
  <c r="AE299" i="2"/>
  <c r="R299" i="2"/>
  <c r="Q306" i="2"/>
  <c r="L331" i="2"/>
  <c r="L46" i="14" s="1"/>
  <c r="AB34" i="9"/>
  <c r="AA34" i="9"/>
  <c r="P351" i="2"/>
  <c r="P309" i="2"/>
  <c r="AD138" i="2"/>
  <c r="S588" i="8"/>
  <c r="S589" i="8" s="1"/>
  <c r="N334" i="2"/>
  <c r="N49" i="14" s="1"/>
  <c r="M334" i="2"/>
  <c r="M49" i="14" s="1"/>
  <c r="L336" i="2"/>
  <c r="L51" i="14" s="1"/>
  <c r="L620" i="8"/>
  <c r="L621" i="8" s="1"/>
  <c r="L347" i="2"/>
  <c r="P25" i="2"/>
  <c r="M362" i="2"/>
  <c r="M391" i="2" s="1"/>
  <c r="M319" i="2"/>
  <c r="N362" i="2"/>
  <c r="N391" i="2" s="1"/>
  <c r="N319" i="2"/>
  <c r="R270" i="2"/>
  <c r="Q270" i="2"/>
  <c r="AA19" i="2"/>
  <c r="M1012" i="8"/>
  <c r="M1013" i="8" s="1"/>
  <c r="M745" i="2"/>
  <c r="L680" i="2"/>
  <c r="M734" i="2"/>
  <c r="M257" i="14" s="1"/>
  <c r="Q663" i="2"/>
  <c r="R663" i="2"/>
  <c r="U197" i="2"/>
  <c r="AD199" i="2"/>
  <c r="W205" i="2"/>
  <c r="X200" i="2"/>
  <c r="K143" i="2"/>
  <c r="K153" i="2" s="1"/>
  <c r="P24" i="2"/>
  <c r="X141" i="2"/>
  <c r="AE18" i="2"/>
  <c r="AA83" i="2"/>
  <c r="AB77" i="2"/>
  <c r="S387" i="8"/>
  <c r="S388" i="8" s="1"/>
  <c r="P90" i="2"/>
  <c r="AE17" i="2"/>
  <c r="U199" i="2"/>
  <c r="P201" i="2"/>
  <c r="AD22" i="2"/>
  <c r="T21" i="2"/>
  <c r="AD592" i="8"/>
  <c r="AD593" i="8" s="1"/>
  <c r="W588" i="8"/>
  <c r="W589" i="8" s="1"/>
  <c r="W302" i="2"/>
  <c r="W306" i="2"/>
  <c r="Q299" i="2"/>
  <c r="N1188" i="8"/>
  <c r="N1189" i="8" s="1"/>
  <c r="H337" i="2"/>
  <c r="AD306" i="2"/>
  <c r="O351" i="2"/>
  <c r="O309" i="2"/>
  <c r="AB718" i="2"/>
  <c r="AB761" i="2"/>
  <c r="AB790" i="2" s="1"/>
  <c r="Q268" i="2"/>
  <c r="R268" i="2"/>
  <c r="AC351" i="2"/>
  <c r="AC309" i="2"/>
  <c r="AE19" i="2"/>
  <c r="X199" i="2"/>
  <c r="T198" i="2"/>
  <c r="X205" i="2"/>
  <c r="AD142" i="2"/>
  <c r="AA22" i="2"/>
  <c r="AA24" i="2"/>
  <c r="T17" i="2"/>
  <c r="X24" i="2"/>
  <c r="O718" i="2"/>
  <c r="O761" i="2"/>
  <c r="O790" i="2" s="1"/>
  <c r="V588" i="8"/>
  <c r="V589" i="8" s="1"/>
  <c r="V306" i="2"/>
  <c r="O299" i="2"/>
  <c r="S299" i="2"/>
  <c r="P306" i="2"/>
  <c r="Q667" i="2"/>
  <c r="R667" i="2"/>
  <c r="AC299" i="2"/>
  <c r="T201" i="2"/>
  <c r="U202" i="2"/>
  <c r="P19" i="2"/>
  <c r="P17" i="2"/>
  <c r="Y24" i="2"/>
  <c r="AB83" i="2"/>
  <c r="N197" i="2"/>
  <c r="Y204" i="2"/>
  <c r="AD201" i="2"/>
  <c r="Y202" i="2"/>
  <c r="AA204" i="2"/>
  <c r="AA23" i="2"/>
  <c r="H732" i="2"/>
  <c r="H333" i="2"/>
  <c r="AB32" i="9"/>
  <c r="AA32" i="9"/>
  <c r="AB362" i="2"/>
  <c r="AB391" i="2" s="1"/>
  <c r="AB319" i="2"/>
  <c r="K139" i="2"/>
  <c r="K149" i="2" s="1"/>
  <c r="T205" i="2"/>
  <c r="T197" i="2"/>
  <c r="W20" i="2"/>
  <c r="AD140" i="2"/>
  <c r="AA20" i="2"/>
  <c r="AB33" i="2"/>
  <c r="AA25" i="2"/>
  <c r="X22" i="2"/>
  <c r="AB592" i="8"/>
  <c r="AB593" i="8" s="1"/>
  <c r="AB306" i="2"/>
  <c r="AE302" i="2"/>
  <c r="L362" i="2"/>
  <c r="L391" i="2" s="1"/>
  <c r="L319" i="2"/>
  <c r="M332" i="2"/>
  <c r="M47" i="14" s="1"/>
  <c r="N332" i="2"/>
  <c r="N47" i="14" s="1"/>
  <c r="AA761" i="2"/>
  <c r="AA790" i="2" s="1"/>
  <c r="AA718" i="2"/>
  <c r="N336" i="2"/>
  <c r="N51" i="14" s="1"/>
  <c r="Q266" i="2"/>
  <c r="R266" i="2"/>
  <c r="K536" i="2"/>
  <c r="K546" i="2" s="1"/>
  <c r="X202" i="2"/>
  <c r="Y137" i="2"/>
  <c r="X19" i="2"/>
  <c r="P20" i="2"/>
  <c r="O22" i="2"/>
  <c r="Q265" i="2"/>
  <c r="R265" i="2"/>
  <c r="H733" i="2"/>
  <c r="AB299" i="2"/>
  <c r="AC718" i="2"/>
  <c r="AC761" i="2"/>
  <c r="AC790" i="2" s="1"/>
  <c r="Q665" i="2"/>
  <c r="R665" i="2"/>
  <c r="Z139" i="2"/>
  <c r="Z142" i="2"/>
  <c r="AE143" i="2"/>
  <c r="Z137" i="2"/>
  <c r="R141" i="2"/>
  <c r="Y20" i="2"/>
  <c r="K80" i="2"/>
  <c r="K90" i="2" s="1"/>
  <c r="K539" i="2"/>
  <c r="K549" i="2" s="1"/>
  <c r="R144" i="2"/>
  <c r="Z143" i="2"/>
  <c r="AC18" i="2"/>
  <c r="AC20" i="2"/>
  <c r="S147" i="2"/>
  <c r="S367" i="8"/>
  <c r="S368" i="8" s="1"/>
  <c r="L145" i="2"/>
  <c r="Q78" i="2"/>
  <c r="S199" i="2"/>
  <c r="Z145" i="2"/>
  <c r="Q22" i="2"/>
  <c r="Q19" i="2"/>
  <c r="L142" i="2"/>
  <c r="L139" i="2"/>
  <c r="K84" i="2"/>
  <c r="K94" i="2" s="1"/>
  <c r="K542" i="2"/>
  <c r="K552" i="2" s="1"/>
  <c r="R140" i="2"/>
  <c r="Y22" i="2"/>
  <c r="AC80" i="2"/>
  <c r="AC82" i="2"/>
  <c r="R143" i="2"/>
  <c r="R145" i="2"/>
  <c r="Q21" i="2"/>
  <c r="Q25" i="2"/>
  <c r="Q18" i="2"/>
  <c r="K540" i="2"/>
  <c r="K550" i="2" s="1"/>
  <c r="K541" i="2"/>
  <c r="K551" i="2" s="1"/>
  <c r="K85" i="2"/>
  <c r="K95" i="2" s="1"/>
  <c r="S202" i="2"/>
  <c r="S204" i="2"/>
  <c r="R139" i="2"/>
  <c r="Y18" i="2"/>
  <c r="Y21" i="2"/>
  <c r="Y17" i="2"/>
  <c r="Y25" i="2"/>
  <c r="Y19" i="2"/>
  <c r="AC21" i="2"/>
  <c r="V200" i="2"/>
  <c r="Z85" i="2"/>
  <c r="L137" i="2"/>
  <c r="AE141" i="2"/>
  <c r="O25" i="2"/>
  <c r="Z24" i="2"/>
  <c r="V204" i="2"/>
  <c r="Q205" i="2"/>
  <c r="N18" i="2"/>
  <c r="P198" i="2"/>
  <c r="X203" i="2"/>
  <c r="O198" i="2"/>
  <c r="M21" i="2"/>
  <c r="S25" i="2"/>
  <c r="M201" i="2"/>
  <c r="K598" i="2"/>
  <c r="K608" i="2" s="1"/>
  <c r="U204" i="2"/>
  <c r="V138" i="2"/>
  <c r="S82" i="2"/>
  <c r="AA209" i="2"/>
  <c r="Q24" i="2"/>
  <c r="AC83" i="2"/>
  <c r="Y144" i="2"/>
  <c r="AA140" i="2"/>
  <c r="W19" i="2"/>
  <c r="AC81" i="2"/>
  <c r="S21" i="2"/>
  <c r="V21" i="2"/>
  <c r="S203" i="2"/>
  <c r="L144" i="2"/>
  <c r="AE140" i="2"/>
  <c r="Q20" i="2"/>
  <c r="M204" i="2"/>
  <c r="AC201" i="2"/>
  <c r="N22" i="2"/>
  <c r="V201" i="2"/>
  <c r="V23" i="2"/>
  <c r="Y23" i="2"/>
  <c r="N138" i="2"/>
  <c r="Q17" i="2"/>
  <c r="S19" i="2"/>
  <c r="Q200" i="2"/>
  <c r="AC17" i="2"/>
  <c r="W17" i="2"/>
  <c r="Z201" i="2"/>
  <c r="W22" i="2"/>
  <c r="AC85" i="2"/>
  <c r="K537" i="2"/>
  <c r="K547" i="2" s="1"/>
  <c r="K600" i="2"/>
  <c r="K610" i="2" s="1"/>
  <c r="K538" i="2"/>
  <c r="K548" i="2" s="1"/>
  <c r="V198" i="2"/>
  <c r="P145" i="2"/>
  <c r="V202" i="2"/>
  <c r="Q23" i="2"/>
  <c r="W25" i="2"/>
  <c r="AE137" i="2"/>
  <c r="W23" i="2"/>
  <c r="L141" i="2"/>
  <c r="O19" i="2"/>
  <c r="K24" i="2"/>
  <c r="Q197" i="2"/>
  <c r="AA200" i="2"/>
  <c r="AB24" i="2"/>
  <c r="P23" i="2"/>
  <c r="AC22" i="2"/>
  <c r="S17" i="2"/>
  <c r="V199" i="2"/>
  <c r="Z25" i="2"/>
  <c r="Z205" i="2"/>
  <c r="Q198" i="2"/>
  <c r="S23" i="2"/>
  <c r="Z22" i="2"/>
  <c r="AC200" i="2"/>
  <c r="N204" i="2"/>
  <c r="Z23" i="2"/>
  <c r="S198" i="2"/>
  <c r="O139" i="2"/>
  <c r="AE138" i="2"/>
  <c r="W18" i="2"/>
  <c r="Y138" i="2"/>
  <c r="P143" i="2"/>
  <c r="N141" i="2"/>
  <c r="Q77" i="2"/>
  <c r="AE144" i="2"/>
  <c r="P138" i="2"/>
  <c r="S197" i="2"/>
  <c r="S205" i="2"/>
  <c r="X198" i="2"/>
  <c r="U198" i="2"/>
  <c r="N199" i="2"/>
  <c r="AB21" i="2"/>
  <c r="N145" i="2"/>
  <c r="U201" i="2"/>
  <c r="P88" i="2"/>
  <c r="P335" i="8"/>
  <c r="P336" i="8" s="1"/>
  <c r="Y149" i="2"/>
  <c r="Y375" i="8"/>
  <c r="Y376" i="8" s="1"/>
  <c r="Z89" i="2"/>
  <c r="Z339" i="8"/>
  <c r="Z340" i="8" s="1"/>
  <c r="W142" i="2"/>
  <c r="W145" i="2"/>
  <c r="W143" i="2"/>
  <c r="R22" i="2"/>
  <c r="R21" i="2"/>
  <c r="R25" i="2"/>
  <c r="R18" i="2"/>
  <c r="R23" i="2"/>
  <c r="S155" i="2"/>
  <c r="S399" i="8"/>
  <c r="S400" i="8" s="1"/>
  <c r="AA207" i="2"/>
  <c r="AA403" i="8"/>
  <c r="AA404" i="8" s="1"/>
  <c r="W138" i="2"/>
  <c r="AA141" i="2"/>
  <c r="AA139" i="2"/>
  <c r="AA144" i="2"/>
  <c r="AA138" i="2"/>
  <c r="W137" i="2"/>
  <c r="M141" i="2"/>
  <c r="AA152" i="2"/>
  <c r="AA387" i="8"/>
  <c r="AA388" i="8" s="1"/>
  <c r="U142" i="2"/>
  <c r="U139" i="2"/>
  <c r="U143" i="2"/>
  <c r="P89" i="2"/>
  <c r="P339" i="8"/>
  <c r="P340" i="8" s="1"/>
  <c r="P94" i="2"/>
  <c r="P359" i="8"/>
  <c r="P360" i="8" s="1"/>
  <c r="U29" i="2"/>
  <c r="U303" i="8"/>
  <c r="U304" i="8" s="1"/>
  <c r="K597" i="2"/>
  <c r="K602" i="2"/>
  <c r="K599" i="2"/>
  <c r="O138" i="2"/>
  <c r="O142" i="2"/>
  <c r="P92" i="2"/>
  <c r="P351" i="8"/>
  <c r="P352" i="8" s="1"/>
  <c r="T142" i="2"/>
  <c r="T137" i="2"/>
  <c r="T139" i="2"/>
  <c r="U31" i="2"/>
  <c r="U311" i="8"/>
  <c r="U312" i="8" s="1"/>
  <c r="U35" i="2"/>
  <c r="U28" i="2"/>
  <c r="U32" i="2"/>
  <c r="U33" i="2"/>
  <c r="M142" i="2"/>
  <c r="M139" i="2"/>
  <c r="M145" i="2"/>
  <c r="K417" i="2"/>
  <c r="K416" i="2"/>
  <c r="K419" i="2"/>
  <c r="P87" i="2"/>
  <c r="P331" i="8"/>
  <c r="P332" i="8" s="1"/>
  <c r="M143" i="2"/>
  <c r="T145" i="2"/>
  <c r="AA143" i="2"/>
  <c r="U213" i="2"/>
  <c r="O145" i="2"/>
  <c r="U145" i="2"/>
  <c r="Y143" i="2"/>
  <c r="K137" i="2"/>
  <c r="Q85" i="2"/>
  <c r="K141" i="2"/>
  <c r="R20" i="2"/>
  <c r="R147" i="2"/>
  <c r="R367" i="8"/>
  <c r="R368" i="8" s="1"/>
  <c r="S150" i="2"/>
  <c r="S379" i="8"/>
  <c r="S380" i="8" s="1"/>
  <c r="M140" i="2"/>
  <c r="K543" i="2"/>
  <c r="AE139" i="2"/>
  <c r="AE142" i="2"/>
  <c r="O143" i="2"/>
  <c r="R142" i="2"/>
  <c r="S83" i="2"/>
  <c r="K140" i="2"/>
  <c r="AE83" i="2"/>
  <c r="K544" i="2"/>
  <c r="W139" i="2"/>
  <c r="T138" i="2"/>
  <c r="V137" i="2"/>
  <c r="V142" i="2"/>
  <c r="V139" i="2"/>
  <c r="S85" i="2"/>
  <c r="O215" i="2"/>
  <c r="O435" i="8"/>
  <c r="O436" i="8" s="1"/>
  <c r="Z78" i="2"/>
  <c r="U34" i="2"/>
  <c r="U323" i="8"/>
  <c r="U324" i="8" s="1"/>
  <c r="T144" i="2"/>
  <c r="R138" i="2"/>
  <c r="U30" i="2"/>
  <c r="K420" i="2"/>
  <c r="O137" i="2"/>
  <c r="L138" i="2"/>
  <c r="Y141" i="2"/>
  <c r="R19" i="2"/>
  <c r="K596" i="2"/>
  <c r="K418" i="2"/>
  <c r="Z82" i="2"/>
  <c r="Z81" i="2"/>
  <c r="Z77" i="2"/>
  <c r="Z84" i="2"/>
  <c r="K138" i="2"/>
  <c r="K142" i="2"/>
  <c r="K145" i="2"/>
  <c r="AA79" i="2"/>
  <c r="O144" i="2"/>
  <c r="L140" i="2"/>
  <c r="S77" i="2"/>
  <c r="S84" i="2"/>
  <c r="Q79" i="2"/>
  <c r="Q81" i="2"/>
  <c r="Q82" i="2"/>
  <c r="Y142" i="2"/>
  <c r="Y140" i="2"/>
  <c r="L143" i="2"/>
  <c r="T141" i="2"/>
  <c r="S371" i="8"/>
  <c r="S372" i="8" s="1"/>
  <c r="AA84" i="2"/>
  <c r="AA81" i="2"/>
  <c r="AE79" i="2"/>
  <c r="AE85" i="2"/>
  <c r="AE84" i="2"/>
  <c r="AE78" i="2"/>
  <c r="K423" i="2"/>
  <c r="U141" i="2"/>
  <c r="S151" i="2"/>
  <c r="S383" i="8"/>
  <c r="S384" i="8" s="1"/>
  <c r="AA80" i="2"/>
  <c r="K603" i="2"/>
  <c r="K422" i="2"/>
  <c r="S79" i="2"/>
  <c r="S78" i="2"/>
  <c r="AA78" i="2"/>
  <c r="AA82" i="2"/>
  <c r="W141" i="2"/>
  <c r="K144" i="2"/>
  <c r="T140" i="2"/>
  <c r="K77" i="2"/>
  <c r="AB319" i="8"/>
  <c r="AB320" i="8" s="1"/>
  <c r="P347" i="8"/>
  <c r="P348" i="8" s="1"/>
  <c r="S395" i="8"/>
  <c r="S396" i="8" s="1"/>
  <c r="AE82" i="2"/>
  <c r="K421" i="2"/>
  <c r="AC208" i="2"/>
  <c r="U138" i="2"/>
  <c r="U137" i="2"/>
  <c r="K81" i="2"/>
  <c r="AE80" i="2"/>
  <c r="Y145" i="2"/>
  <c r="AA77" i="2"/>
  <c r="M144" i="2"/>
  <c r="U140" i="2"/>
  <c r="K79" i="2"/>
  <c r="AE77" i="2"/>
  <c r="Q80" i="2"/>
  <c r="R17" i="2"/>
  <c r="Z140" i="2"/>
  <c r="Z144" i="2"/>
  <c r="T143" i="2"/>
  <c r="O141" i="2"/>
  <c r="K83" i="2"/>
  <c r="U144" i="2"/>
  <c r="W140" i="2"/>
  <c r="AA145" i="2"/>
  <c r="M138" i="2"/>
  <c r="V143" i="2"/>
  <c r="Z138" i="2"/>
  <c r="M137" i="2"/>
  <c r="K78" i="2"/>
  <c r="W144" i="2"/>
  <c r="Z83" i="2"/>
  <c r="Q83" i="2"/>
  <c r="Z80" i="2"/>
  <c r="U27" i="2"/>
  <c r="R24" i="2"/>
  <c r="S80" i="2"/>
  <c r="D23" i="18" l="1"/>
  <c r="D22" i="18"/>
  <c r="AB287" i="14"/>
  <c r="R287" i="14"/>
  <c r="Z287" i="14"/>
  <c r="O287" i="14"/>
  <c r="AA287" i="14"/>
  <c r="X287" i="14"/>
  <c r="L287" i="14"/>
  <c r="U287" i="14"/>
  <c r="S287" i="14"/>
  <c r="AE287" i="14"/>
  <c r="Q287" i="14"/>
  <c r="AD287" i="14"/>
  <c r="P287" i="14"/>
  <c r="W287" i="14"/>
  <c r="AC287" i="14"/>
  <c r="Y287" i="14"/>
  <c r="N287" i="14"/>
  <c r="T287" i="14"/>
  <c r="M287" i="14"/>
  <c r="S36" i="17"/>
  <c r="AB274" i="14"/>
  <c r="Q274" i="14"/>
  <c r="W274" i="14"/>
  <c r="X274" i="14"/>
  <c r="V274" i="14"/>
  <c r="AC274" i="14"/>
  <c r="R274" i="14"/>
  <c r="O274" i="14"/>
  <c r="S274" i="14"/>
  <c r="Y274" i="14"/>
  <c r="M274" i="14"/>
  <c r="T274" i="14"/>
  <c r="N274" i="14"/>
  <c r="P274" i="14"/>
  <c r="AE274" i="14"/>
  <c r="L274" i="14"/>
  <c r="U274" i="14"/>
  <c r="AD274" i="14"/>
  <c r="AA274" i="14"/>
  <c r="D1881" i="8"/>
  <c r="L740" i="2"/>
  <c r="L1188" i="8" s="1"/>
  <c r="L1189" i="8" s="1"/>
  <c r="U44" i="17"/>
  <c r="Y35" i="17"/>
  <c r="V36" i="17"/>
  <c r="AC26" i="17"/>
  <c r="U41" i="17"/>
  <c r="M39" i="17"/>
  <c r="V39" i="17"/>
  <c r="X37" i="17"/>
  <c r="Y46" i="17"/>
  <c r="T35" i="17"/>
  <c r="AA32" i="17"/>
  <c r="L34" i="17"/>
  <c r="T37" i="17"/>
  <c r="AB40" i="17"/>
  <c r="N44" i="17"/>
  <c r="S35" i="17"/>
  <c r="S41" i="17"/>
  <c r="M31" i="17"/>
  <c r="Y30" i="17"/>
  <c r="X33" i="17"/>
  <c r="W35" i="17"/>
  <c r="AC40" i="17"/>
  <c r="Q25" i="17"/>
  <c r="W25" i="17"/>
  <c r="AA39" i="17"/>
  <c r="AA36" i="17"/>
  <c r="X35" i="17"/>
  <c r="Z42" i="17"/>
  <c r="AE25" i="17"/>
  <c r="Q34" i="17"/>
  <c r="T40" i="17"/>
  <c r="M38" i="17"/>
  <c r="N37" i="17"/>
  <c r="AE40" i="17"/>
  <c r="X26" i="17"/>
  <c r="Z33" i="17"/>
  <c r="V38" i="17"/>
  <c r="AB42" i="17"/>
  <c r="Z36" i="17"/>
  <c r="N36" i="17"/>
  <c r="AD37" i="17"/>
  <c r="P37" i="17"/>
  <c r="L35" i="17"/>
  <c r="AB35" i="17"/>
  <c r="V44" i="17"/>
  <c r="W37" i="17"/>
  <c r="Q42" i="17"/>
  <c r="W38" i="17"/>
  <c r="O35" i="17"/>
  <c r="AA34" i="17"/>
  <c r="AB36" i="17"/>
  <c r="O37" i="17"/>
  <c r="M32" i="17"/>
  <c r="S38" i="17"/>
  <c r="AC46" i="17"/>
  <c r="X36" i="17"/>
  <c r="Q36" i="17"/>
  <c r="U32" i="17"/>
  <c r="Z38" i="17"/>
  <c r="AC32" i="17"/>
  <c r="V25" i="17"/>
  <c r="X25" i="17"/>
  <c r="Q37" i="17"/>
  <c r="Z37" i="17"/>
  <c r="AB33" i="17"/>
  <c r="AC35" i="17"/>
  <c r="Y33" i="17"/>
  <c r="O26" i="17"/>
  <c r="R34" i="17"/>
  <c r="AE37" i="17"/>
  <c r="O36" i="17"/>
  <c r="U39" i="17"/>
  <c r="U35" i="17"/>
  <c r="U37" i="17"/>
  <c r="Q46" i="17"/>
  <c r="AE36" i="17"/>
  <c r="AA29" i="17"/>
  <c r="Y32" i="17"/>
  <c r="AB37" i="17"/>
  <c r="V32" i="17"/>
  <c r="AA38" i="17"/>
  <c r="U45" i="17"/>
  <c r="M36" i="17"/>
  <c r="R31" i="17"/>
  <c r="U36" i="17"/>
  <c r="AD36" i="17"/>
  <c r="AE38" i="17"/>
  <c r="AB34" i="17"/>
  <c r="AC37" i="17"/>
  <c r="T30" i="17"/>
  <c r="O39" i="17"/>
  <c r="O41" i="17"/>
  <c r="L43" i="17"/>
  <c r="W39" i="17"/>
  <c r="N38" i="17"/>
  <c r="AC36" i="17"/>
  <c r="Q38" i="17"/>
  <c r="U38" i="17"/>
  <c r="Q40" i="17"/>
  <c r="R40" i="17"/>
  <c r="S40" i="17"/>
  <c r="V42" i="17"/>
  <c r="S44" i="17"/>
  <c r="O46" i="17"/>
  <c r="V34" i="17"/>
  <c r="P25" i="17"/>
  <c r="V37" i="17"/>
  <c r="Q27" i="17"/>
  <c r="T39" i="17"/>
  <c r="V27" i="17"/>
  <c r="AB38" i="17"/>
  <c r="P26" i="17"/>
  <c r="AC38" i="17"/>
  <c r="Q26" i="17"/>
  <c r="L37" i="17"/>
  <c r="AA31" i="17"/>
  <c r="M41" i="17"/>
  <c r="P41" i="17"/>
  <c r="X38" i="17"/>
  <c r="R33" i="17"/>
  <c r="AC42" i="17"/>
  <c r="AC44" i="17"/>
  <c r="AD44" i="17"/>
  <c r="T41" i="17"/>
  <c r="AC39" i="17"/>
  <c r="P38" i="17"/>
  <c r="M40" i="17"/>
  <c r="N40" i="17"/>
  <c r="N42" i="17"/>
  <c r="O42" i="17"/>
  <c r="P42" i="17"/>
  <c r="R44" i="17"/>
  <c r="AC25" i="17"/>
  <c r="M25" i="17"/>
  <c r="V35" i="17"/>
  <c r="AD25" i="17"/>
  <c r="R38" i="17"/>
  <c r="AE27" i="17"/>
  <c r="P40" i="17"/>
  <c r="O28" i="17"/>
  <c r="Y39" i="17"/>
  <c r="AD26" i="17"/>
  <c r="Z39" i="17"/>
  <c r="AE26" i="17"/>
  <c r="L38" i="17"/>
  <c r="T32" i="17"/>
  <c r="D15" i="18" s="1"/>
  <c r="AA41" i="17"/>
  <c r="AD41" i="17"/>
  <c r="Q39" i="17"/>
  <c r="Y34" i="17"/>
  <c r="Z44" i="17"/>
  <c r="R46" i="17"/>
  <c r="S46" i="17"/>
  <c r="N43" i="17"/>
  <c r="Y41" i="17"/>
  <c r="Z41" i="17"/>
  <c r="AC41" i="17"/>
  <c r="Z43" i="17"/>
  <c r="W45" i="17"/>
  <c r="L44" i="17"/>
  <c r="M44" i="17"/>
  <c r="AC45" i="17"/>
  <c r="L27" i="17"/>
  <c r="AA25" i="17"/>
  <c r="R36" i="17"/>
  <c r="W26" i="17"/>
  <c r="S39" i="17"/>
  <c r="X28" i="17"/>
  <c r="N41" i="17"/>
  <c r="AC28" i="17"/>
  <c r="V40" i="17"/>
  <c r="W27" i="17"/>
  <c r="Z40" i="17"/>
  <c r="X27" i="17"/>
  <c r="AD38" i="17"/>
  <c r="M33" i="17"/>
  <c r="T42" i="17"/>
  <c r="W42" i="17"/>
  <c r="AE39" i="17"/>
  <c r="R35" i="17"/>
  <c r="P46" i="17"/>
  <c r="M26" i="17"/>
  <c r="V29" i="17"/>
  <c r="AE44" i="17"/>
  <c r="V43" i="17"/>
  <c r="W43" i="17"/>
  <c r="Y43" i="17"/>
  <c r="V45" i="17"/>
  <c r="U25" i="17"/>
  <c r="Z45" i="17"/>
  <c r="AB45" i="17"/>
  <c r="AB25" i="17"/>
  <c r="N28" i="17"/>
  <c r="T26" i="17"/>
  <c r="S37" i="17"/>
  <c r="P27" i="17"/>
  <c r="O40" i="17"/>
  <c r="Q29" i="17"/>
  <c r="M42" i="17"/>
  <c r="W29" i="17"/>
  <c r="V41" i="17"/>
  <c r="P28" i="17"/>
  <c r="W41" i="17"/>
  <c r="Q28" i="17"/>
  <c r="AB39" i="17"/>
  <c r="AA33" i="17"/>
  <c r="M45" i="17"/>
  <c r="P43" i="17"/>
  <c r="X40" i="17"/>
  <c r="Y36" i="17"/>
  <c r="L26" i="17"/>
  <c r="R27" i="17"/>
  <c r="L25" i="17"/>
  <c r="Z46" i="17"/>
  <c r="AA46" i="17"/>
  <c r="S45" i="17"/>
  <c r="T45" i="17"/>
  <c r="T25" i="17"/>
  <c r="D12" i="18" s="1"/>
  <c r="Z26" i="17"/>
  <c r="Y25" i="17"/>
  <c r="Z25" i="17"/>
  <c r="M28" i="17"/>
  <c r="T29" i="17"/>
  <c r="D13" i="18" s="1"/>
  <c r="M27" i="17"/>
  <c r="O38" i="17"/>
  <c r="AD27" i="17"/>
  <c r="L41" i="17"/>
  <c r="L30" i="17"/>
  <c r="AE42" i="17"/>
  <c r="Q30" i="17"/>
  <c r="R42" i="17"/>
  <c r="AD28" i="17"/>
  <c r="S42" i="17"/>
  <c r="AE28" i="17"/>
  <c r="AA40" i="17"/>
  <c r="T34" i="17"/>
  <c r="AA45" i="17"/>
  <c r="AD43" i="17"/>
  <c r="Q41" i="17"/>
  <c r="R37" i="17"/>
  <c r="N27" i="17"/>
  <c r="O27" i="17"/>
  <c r="U28" i="17"/>
  <c r="N26" i="17"/>
  <c r="N25" i="17"/>
  <c r="O25" i="17"/>
  <c r="AB46" i="17"/>
  <c r="S25" i="17"/>
  <c r="Y26" i="17"/>
  <c r="AC27" i="17"/>
  <c r="AA26" i="17"/>
  <c r="AB26" i="17"/>
  <c r="S29" i="17"/>
  <c r="X30" i="17"/>
  <c r="AA27" i="17"/>
  <c r="L39" i="17"/>
  <c r="W28" i="17"/>
  <c r="L42" i="17"/>
  <c r="AB30" i="17"/>
  <c r="AC43" i="17"/>
  <c r="L31" i="17"/>
  <c r="S43" i="17"/>
  <c r="X29" i="17"/>
  <c r="T43" i="17"/>
  <c r="Y29" i="17"/>
  <c r="X41" i="17"/>
  <c r="M35" i="17"/>
  <c r="T46" i="17"/>
  <c r="W44" i="17"/>
  <c r="AE41" i="17"/>
  <c r="R41" i="17"/>
  <c r="R28" i="17"/>
  <c r="S28" i="17"/>
  <c r="Z29" i="17"/>
  <c r="S27" i="17"/>
  <c r="R26" i="17"/>
  <c r="S26" i="17"/>
  <c r="R25" i="17"/>
  <c r="V26" i="17"/>
  <c r="AB27" i="17"/>
  <c r="L29" i="17"/>
  <c r="N29" i="17"/>
  <c r="L28" i="17"/>
  <c r="V30" i="17"/>
  <c r="O33" i="17"/>
  <c r="T28" i="17"/>
  <c r="L40" i="17"/>
  <c r="P29" i="17"/>
  <c r="AD42" i="17"/>
  <c r="W31" i="17"/>
  <c r="AB44" i="17"/>
  <c r="AC31" i="17"/>
  <c r="O44" i="17"/>
  <c r="R30" i="17"/>
  <c r="P44" i="17"/>
  <c r="S30" i="17"/>
  <c r="U42" i="17"/>
  <c r="AA35" i="17"/>
  <c r="AD33" i="17"/>
  <c r="P45" i="17"/>
  <c r="X42" i="17"/>
  <c r="Y42" i="17"/>
  <c r="U29" i="17"/>
  <c r="AC30" i="17"/>
  <c r="AD30" i="17"/>
  <c r="V28" i="17"/>
  <c r="T27" i="17"/>
  <c r="U27" i="17"/>
  <c r="U26" i="17"/>
  <c r="Z27" i="17"/>
  <c r="N30" i="17"/>
  <c r="O30" i="17"/>
  <c r="P30" i="17"/>
  <c r="O29" i="17"/>
  <c r="AB31" i="17"/>
  <c r="Z34" i="17"/>
  <c r="M29" i="17"/>
  <c r="AD40" i="17"/>
  <c r="AA30" i="17"/>
  <c r="AB43" i="17"/>
  <c r="Q32" i="17"/>
  <c r="Y45" i="17"/>
  <c r="W32" i="17"/>
  <c r="L45" i="17"/>
  <c r="N31" i="17"/>
  <c r="N45" i="17"/>
  <c r="O31" i="17"/>
  <c r="U43" i="17"/>
  <c r="T36" i="17"/>
  <c r="W34" i="17"/>
  <c r="AD45" i="17"/>
  <c r="Q43" i="17"/>
  <c r="R43" i="17"/>
  <c r="Z30" i="17"/>
  <c r="N32" i="17"/>
  <c r="O32" i="17"/>
  <c r="AB29" i="17"/>
  <c r="Y28" i="17"/>
  <c r="Z28" i="17"/>
  <c r="Y27" i="17"/>
  <c r="AB28" i="17"/>
  <c r="U31" i="17"/>
  <c r="X31" i="17"/>
  <c r="Y31" i="17"/>
  <c r="U30" i="17"/>
  <c r="N33" i="17"/>
  <c r="P36" i="17"/>
  <c r="AC29" i="17"/>
  <c r="AB41" i="17"/>
  <c r="V31" i="17"/>
  <c r="AA44" i="17"/>
  <c r="L33" i="17"/>
  <c r="V46" i="17"/>
  <c r="T33" i="17"/>
  <c r="L46" i="17"/>
  <c r="AD31" i="17"/>
  <c r="M46" i="17"/>
  <c r="AE31" i="17"/>
  <c r="Q44" i="17"/>
  <c r="M37" i="17"/>
  <c r="P35" i="17"/>
  <c r="W46" i="17"/>
  <c r="AE45" i="17"/>
  <c r="Y44" i="17"/>
  <c r="L32" i="17"/>
  <c r="S33" i="17"/>
  <c r="W33" i="17"/>
  <c r="AE30" i="17"/>
  <c r="AD29" i="17"/>
  <c r="AE29" i="17"/>
  <c r="AA28" i="17"/>
  <c r="M30" i="17"/>
  <c r="AB32" i="17"/>
  <c r="AD32" i="17"/>
  <c r="AE32" i="17"/>
  <c r="Z31" i="17"/>
  <c r="U34" i="17"/>
  <c r="Y37" i="17"/>
  <c r="W30" i="17"/>
  <c r="AA42" i="17"/>
  <c r="P32" i="17"/>
  <c r="X45" i="17"/>
  <c r="AC34" i="17"/>
  <c r="X39" i="17"/>
  <c r="P34" i="17"/>
  <c r="AD46" i="17"/>
  <c r="X32" i="17"/>
  <c r="AE46" i="17"/>
  <c r="AE95" i="17" s="1"/>
  <c r="Z32" i="17"/>
  <c r="O45" i="17"/>
  <c r="AA37" i="17"/>
  <c r="AD35" i="17"/>
  <c r="Q33" i="17"/>
  <c r="X46" i="17"/>
  <c r="R45" i="17"/>
  <c r="P33" i="17"/>
  <c r="AD34" i="17"/>
  <c r="AE34" i="17"/>
  <c r="R32" i="17"/>
  <c r="S32" i="17"/>
  <c r="P31" i="17"/>
  <c r="Q31" i="17"/>
  <c r="T31" i="17"/>
  <c r="D14" i="18" s="1"/>
  <c r="M34" i="17"/>
  <c r="N34" i="17"/>
  <c r="O34" i="17"/>
  <c r="S34" i="17"/>
  <c r="L36" i="17"/>
  <c r="N39" i="17"/>
  <c r="S31" i="17"/>
  <c r="X43" i="17"/>
  <c r="AC33" i="17"/>
  <c r="U46" i="17"/>
  <c r="Z35" i="17"/>
  <c r="O43" i="17"/>
  <c r="N35" i="17"/>
  <c r="C102" i="17"/>
  <c r="U33" i="17"/>
  <c r="U40" i="17"/>
  <c r="V33" i="17"/>
  <c r="N46" i="17"/>
  <c r="T38" i="17"/>
  <c r="W36" i="17"/>
  <c r="AE33" i="17"/>
  <c r="R29" i="17"/>
  <c r="M43" i="17"/>
  <c r="P39" i="17"/>
  <c r="X34" i="17"/>
  <c r="AE43" i="17"/>
  <c r="Y38" i="17"/>
  <c r="AA43" i="17"/>
  <c r="AD39" i="17"/>
  <c r="Q35" i="17"/>
  <c r="X44" i="17"/>
  <c r="R39" i="17"/>
  <c r="T44" i="17"/>
  <c r="W40" i="17"/>
  <c r="AE35" i="17"/>
  <c r="Q45" i="17"/>
  <c r="Y40" i="17"/>
  <c r="N135" i="5"/>
  <c r="N72" i="17"/>
  <c r="V135" i="5"/>
  <c r="V72" i="17"/>
  <c r="AB135" i="5"/>
  <c r="AB72" i="17"/>
  <c r="R126" i="5"/>
  <c r="R1384" i="8" s="1"/>
  <c r="R1385" i="8" s="1"/>
  <c r="R71" i="17"/>
  <c r="X126" i="5"/>
  <c r="X1384" i="8" s="1"/>
  <c r="X1385" i="8" s="1"/>
  <c r="X71" i="17"/>
  <c r="M135" i="5"/>
  <c r="M72" i="17"/>
  <c r="W135" i="5"/>
  <c r="W72" i="17"/>
  <c r="AC135" i="5"/>
  <c r="AC72" i="17"/>
  <c r="S126" i="5"/>
  <c r="S1384" i="8" s="1"/>
  <c r="S1385" i="8" s="1"/>
  <c r="S71" i="17"/>
  <c r="S135" i="5"/>
  <c r="S72" i="17"/>
  <c r="AE126" i="5"/>
  <c r="AE1384" i="8" s="1"/>
  <c r="AE1385" i="8" s="1"/>
  <c r="AE71" i="17"/>
  <c r="V126" i="5"/>
  <c r="V1384" i="8" s="1"/>
  <c r="V1385" i="8" s="1"/>
  <c r="V71" i="17"/>
  <c r="AA135" i="5"/>
  <c r="AA72" i="17"/>
  <c r="L135" i="5"/>
  <c r="L72" i="17"/>
  <c r="Q126" i="5"/>
  <c r="Q646" i="2" s="1"/>
  <c r="Q219" i="14" s="1"/>
  <c r="Q71" i="17"/>
  <c r="R135" i="5"/>
  <c r="R72" i="17"/>
  <c r="Z135" i="5"/>
  <c r="Z72" i="17"/>
  <c r="AC126" i="5"/>
  <c r="AC1384" i="8" s="1"/>
  <c r="AC1385" i="8" s="1"/>
  <c r="AC71" i="17"/>
  <c r="U126" i="5"/>
  <c r="U646" i="2" s="1"/>
  <c r="U219" i="14" s="1"/>
  <c r="U71" i="17"/>
  <c r="O126" i="5"/>
  <c r="O646" i="2" s="1"/>
  <c r="O219" i="14" s="1"/>
  <c r="O71" i="17"/>
  <c r="Q135" i="5"/>
  <c r="Q72" i="17"/>
  <c r="Y135" i="5"/>
  <c r="Y72" i="17"/>
  <c r="AB126" i="5"/>
  <c r="AB646" i="2" s="1"/>
  <c r="AB219" i="14" s="1"/>
  <c r="AB71" i="17"/>
  <c r="T126" i="5"/>
  <c r="T1384" i="8" s="1"/>
  <c r="T1385" i="8" s="1"/>
  <c r="T71" i="17"/>
  <c r="D17" i="18" s="1"/>
  <c r="D33" i="18" s="1"/>
  <c r="U135" i="5"/>
  <c r="U72" i="17"/>
  <c r="T135" i="5"/>
  <c r="T72" i="17"/>
  <c r="N126" i="5"/>
  <c r="N1384" i="8" s="1"/>
  <c r="N1385" i="8" s="1"/>
  <c r="N71" i="17"/>
  <c r="P135" i="5"/>
  <c r="P72" i="17"/>
  <c r="M126" i="5"/>
  <c r="M1384" i="8" s="1"/>
  <c r="M1385" i="8" s="1"/>
  <c r="M71" i="17"/>
  <c r="AD135" i="5"/>
  <c r="AD72" i="17"/>
  <c r="AE135" i="5"/>
  <c r="AE72" i="17"/>
  <c r="AA126" i="5"/>
  <c r="AA646" i="2" s="1"/>
  <c r="AA219" i="14" s="1"/>
  <c r="AA71" i="17"/>
  <c r="X135" i="5"/>
  <c r="X72" i="17"/>
  <c r="O135" i="5"/>
  <c r="O72" i="17"/>
  <c r="AD126" i="5"/>
  <c r="AD1384" i="8" s="1"/>
  <c r="AD1385" i="8" s="1"/>
  <c r="AD71" i="17"/>
  <c r="M45" i="14"/>
  <c r="N45" i="14"/>
  <c r="W17" i="14"/>
  <c r="X24" i="14"/>
  <c r="AB17" i="14"/>
  <c r="R17" i="14"/>
  <c r="AE17" i="14"/>
  <c r="U24" i="14"/>
  <c r="X17" i="14"/>
  <c r="R24" i="14"/>
  <c r="U17" i="14"/>
  <c r="T24" i="14"/>
  <c r="T17" i="14"/>
  <c r="Z20" i="14"/>
  <c r="Y20" i="14"/>
  <c r="O17" i="14"/>
  <c r="AA1458" i="8"/>
  <c r="AA221" i="14"/>
  <c r="O70" i="14"/>
  <c r="AC70" i="14"/>
  <c r="Y70" i="14"/>
  <c r="Z70" i="14"/>
  <c r="L70" i="14"/>
  <c r="AA70" i="14"/>
  <c r="M70" i="14"/>
  <c r="AB70" i="14"/>
  <c r="N70" i="14"/>
  <c r="AD70" i="14"/>
  <c r="R70" i="14"/>
  <c r="S70" i="14"/>
  <c r="T70" i="14"/>
  <c r="U70" i="14"/>
  <c r="V70" i="14"/>
  <c r="W70" i="14"/>
  <c r="AE70" i="14"/>
  <c r="P70" i="14"/>
  <c r="Q70" i="14"/>
  <c r="X70" i="14"/>
  <c r="L295" i="14"/>
  <c r="L303" i="14"/>
  <c r="L300" i="14"/>
  <c r="L292" i="14"/>
  <c r="L94" i="14"/>
  <c r="L86" i="14"/>
  <c r="AA20" i="14"/>
  <c r="AA24" i="14"/>
  <c r="AA17" i="14"/>
  <c r="N17" i="14"/>
  <c r="N20" i="14"/>
  <c r="N24" i="14"/>
  <c r="L93" i="14"/>
  <c r="L85" i="14"/>
  <c r="V20" i="14"/>
  <c r="M1156" i="8"/>
  <c r="M1157" i="8" s="1"/>
  <c r="M253" i="14"/>
  <c r="M1458" i="8"/>
  <c r="M221" i="14"/>
  <c r="N357" i="2"/>
  <c r="N848" i="8" s="1"/>
  <c r="N849" i="8" s="1"/>
  <c r="N50" i="14"/>
  <c r="AC20" i="14"/>
  <c r="L293" i="14"/>
  <c r="L301" i="14"/>
  <c r="L305" i="14"/>
  <c r="L297" i="14"/>
  <c r="Y1458" i="8"/>
  <c r="Y221" i="14"/>
  <c r="Q1458" i="8"/>
  <c r="Q221" i="14"/>
  <c r="N1180" i="8"/>
  <c r="N1181" i="8" s="1"/>
  <c r="N259" i="14"/>
  <c r="V67" i="14"/>
  <c r="W67" i="14"/>
  <c r="X67" i="14"/>
  <c r="Y67" i="14"/>
  <c r="Z67" i="14"/>
  <c r="L67" i="14"/>
  <c r="AA67" i="14"/>
  <c r="O67" i="14"/>
  <c r="AD67" i="14"/>
  <c r="M67" i="14"/>
  <c r="N67" i="14"/>
  <c r="Q67" i="14"/>
  <c r="R67" i="14"/>
  <c r="S67" i="14"/>
  <c r="AC67" i="14"/>
  <c r="P67" i="14"/>
  <c r="T67" i="14"/>
  <c r="U67" i="14"/>
  <c r="AB67" i="14"/>
  <c r="AE67" i="14"/>
  <c r="V17" i="14"/>
  <c r="S17" i="14"/>
  <c r="O24" i="14"/>
  <c r="Z1458" i="8"/>
  <c r="Z221" i="14"/>
  <c r="W301" i="2"/>
  <c r="W668" i="8" s="1"/>
  <c r="W669" i="8" s="1"/>
  <c r="Q19" i="14"/>
  <c r="AE19" i="14"/>
  <c r="R19" i="14"/>
  <c r="S19" i="14"/>
  <c r="T19" i="14"/>
  <c r="U19" i="14"/>
  <c r="X19" i="14"/>
  <c r="Y19" i="14"/>
  <c r="Z19" i="14"/>
  <c r="AA19" i="14"/>
  <c r="AB19" i="14"/>
  <c r="AC19" i="14"/>
  <c r="L19" i="14"/>
  <c r="M19" i="14"/>
  <c r="V19" i="14"/>
  <c r="AD19" i="14"/>
  <c r="N19" i="14"/>
  <c r="O19" i="14"/>
  <c r="P19" i="14"/>
  <c r="W19" i="14"/>
  <c r="L996" i="8"/>
  <c r="L997" i="8" s="1"/>
  <c r="L291" i="14"/>
  <c r="L299" i="14"/>
  <c r="P24" i="14"/>
  <c r="N760" i="8"/>
  <c r="N761" i="8" s="1"/>
  <c r="N46" i="14"/>
  <c r="AD1458" i="8"/>
  <c r="AD221" i="14"/>
  <c r="N784" i="8"/>
  <c r="N785" i="8" s="1"/>
  <c r="N52" i="14"/>
  <c r="V79" i="14"/>
  <c r="R79" i="14"/>
  <c r="S79" i="14"/>
  <c r="T79" i="14"/>
  <c r="U79" i="14"/>
  <c r="W79" i="14"/>
  <c r="Z79" i="14"/>
  <c r="AD79" i="14"/>
  <c r="AE79" i="14"/>
  <c r="L79" i="14"/>
  <c r="M79" i="14"/>
  <c r="O79" i="14"/>
  <c r="P79" i="14"/>
  <c r="Q79" i="14"/>
  <c r="AB79" i="14"/>
  <c r="N79" i="14"/>
  <c r="X79" i="14"/>
  <c r="Y79" i="14"/>
  <c r="AA79" i="14"/>
  <c r="AC79" i="14"/>
  <c r="M1188" i="8"/>
  <c r="M1189" i="8" s="1"/>
  <c r="M1152" i="8"/>
  <c r="M1153" i="8" s="1"/>
  <c r="M252" i="14"/>
  <c r="Y17" i="14"/>
  <c r="AE24" i="14"/>
  <c r="S20" i="14"/>
  <c r="L83" i="14"/>
  <c r="L91" i="14"/>
  <c r="W1458" i="8"/>
  <c r="W221" i="14"/>
  <c r="P1458" i="8"/>
  <c r="P221" i="14"/>
  <c r="T286" i="14"/>
  <c r="U286" i="14"/>
  <c r="V286" i="14"/>
  <c r="W286" i="14"/>
  <c r="X286" i="14"/>
  <c r="Y286" i="14"/>
  <c r="L286" i="14"/>
  <c r="Z286" i="14"/>
  <c r="N286" i="14"/>
  <c r="AB286" i="14"/>
  <c r="O286" i="14"/>
  <c r="AC286" i="14"/>
  <c r="M286" i="14"/>
  <c r="P286" i="14"/>
  <c r="Q286" i="14"/>
  <c r="R286" i="14"/>
  <c r="S286" i="14"/>
  <c r="AA286" i="14"/>
  <c r="AD286" i="14"/>
  <c r="AE286" i="14"/>
  <c r="L729" i="2"/>
  <c r="M17" i="14"/>
  <c r="Q24" i="14"/>
  <c r="L332" i="2"/>
  <c r="L47" i="14" s="1"/>
  <c r="L343" i="2"/>
  <c r="L800" i="8" s="1"/>
  <c r="L801" i="8" s="1"/>
  <c r="V1458" i="8"/>
  <c r="V221" i="14"/>
  <c r="AC1458" i="8"/>
  <c r="AC221" i="14"/>
  <c r="L346" i="2"/>
  <c r="L812" i="8" s="1"/>
  <c r="L813" i="8" s="1"/>
  <c r="L96" i="14"/>
  <c r="L88" i="14"/>
  <c r="M784" i="8"/>
  <c r="M785" i="8" s="1"/>
  <c r="M52" i="14"/>
  <c r="V73" i="14"/>
  <c r="M73" i="14"/>
  <c r="AB73" i="14"/>
  <c r="N73" i="14"/>
  <c r="AC73" i="14"/>
  <c r="O73" i="14"/>
  <c r="AD73" i="14"/>
  <c r="P73" i="14"/>
  <c r="AE73" i="14"/>
  <c r="Q73" i="14"/>
  <c r="T73" i="14"/>
  <c r="R73" i="14"/>
  <c r="S73" i="14"/>
  <c r="U73" i="14"/>
  <c r="Z73" i="14"/>
  <c r="L73" i="14"/>
  <c r="W73" i="14"/>
  <c r="X73" i="14"/>
  <c r="Y73" i="14"/>
  <c r="AA73" i="14"/>
  <c r="Z17" i="14"/>
  <c r="Q17" i="14"/>
  <c r="AB24" i="14"/>
  <c r="L304" i="14"/>
  <c r="L296" i="14"/>
  <c r="L298" i="14"/>
  <c r="L290" i="14"/>
  <c r="L992" i="8"/>
  <c r="L993" i="8" s="1"/>
  <c r="L604" i="8"/>
  <c r="L605" i="8" s="1"/>
  <c r="O1458" i="8"/>
  <c r="O221" i="14"/>
  <c r="L334" i="2"/>
  <c r="L49" i="14" s="1"/>
  <c r="L95" i="14"/>
  <c r="L87" i="14"/>
  <c r="L741" i="2"/>
  <c r="L1192" i="8" s="1"/>
  <c r="L1193" i="8" s="1"/>
  <c r="M1176" i="8"/>
  <c r="M1177" i="8" s="1"/>
  <c r="M258" i="14"/>
  <c r="P17" i="14"/>
  <c r="R305" i="2"/>
  <c r="R684" i="8" s="1"/>
  <c r="R685" i="8" s="1"/>
  <c r="Q23" i="14"/>
  <c r="AE23" i="14"/>
  <c r="R23" i="14"/>
  <c r="S23" i="14"/>
  <c r="T23" i="14"/>
  <c r="U23" i="14"/>
  <c r="X23" i="14"/>
  <c r="M23" i="14"/>
  <c r="N23" i="14"/>
  <c r="O23" i="14"/>
  <c r="P23" i="14"/>
  <c r="V23" i="14"/>
  <c r="Y23" i="14"/>
  <c r="Z23" i="14"/>
  <c r="AA23" i="14"/>
  <c r="L23" i="14"/>
  <c r="W23" i="14"/>
  <c r="AB23" i="14"/>
  <c r="AC23" i="14"/>
  <c r="AD23" i="14"/>
  <c r="U1458" i="8"/>
  <c r="U221" i="14"/>
  <c r="AD24" i="14"/>
  <c r="X1458" i="8"/>
  <c r="X221" i="14"/>
  <c r="N1458" i="8"/>
  <c r="N221" i="14"/>
  <c r="M776" i="8"/>
  <c r="M777" i="8" s="1"/>
  <c r="M50" i="14"/>
  <c r="N80" i="14"/>
  <c r="O80" i="14"/>
  <c r="AC80" i="14"/>
  <c r="X80" i="14"/>
  <c r="Y80" i="14"/>
  <c r="Z80" i="14"/>
  <c r="AA80" i="14"/>
  <c r="L80" i="14"/>
  <c r="AB80" i="14"/>
  <c r="Q80" i="14"/>
  <c r="AD80" i="14"/>
  <c r="AE80" i="14"/>
  <c r="M80" i="14"/>
  <c r="P80" i="14"/>
  <c r="R80" i="14"/>
  <c r="V80" i="14"/>
  <c r="W80" i="14"/>
  <c r="U80" i="14"/>
  <c r="S80" i="14"/>
  <c r="T80" i="14"/>
  <c r="M285" i="14"/>
  <c r="AA285" i="14"/>
  <c r="N285" i="14"/>
  <c r="AB285" i="14"/>
  <c r="O285" i="14"/>
  <c r="AC285" i="14"/>
  <c r="P285" i="14"/>
  <c r="AD285" i="14"/>
  <c r="Q285" i="14"/>
  <c r="AE285" i="14"/>
  <c r="R285" i="14"/>
  <c r="S285" i="14"/>
  <c r="U285" i="14"/>
  <c r="V285" i="14"/>
  <c r="Z285" i="14"/>
  <c r="L285" i="14"/>
  <c r="T285" i="14"/>
  <c r="W285" i="14"/>
  <c r="X285" i="14"/>
  <c r="Y285" i="14"/>
  <c r="AC24" i="14"/>
  <c r="M24" i="14"/>
  <c r="L302" i="14"/>
  <c r="L294" i="14"/>
  <c r="AB303" i="2"/>
  <c r="AB676" i="8" s="1"/>
  <c r="AB677" i="8" s="1"/>
  <c r="Q21" i="14"/>
  <c r="AE21" i="14"/>
  <c r="R21" i="14"/>
  <c r="S21" i="14"/>
  <c r="T21" i="14"/>
  <c r="U21" i="14"/>
  <c r="X21" i="14"/>
  <c r="P21" i="14"/>
  <c r="V21" i="14"/>
  <c r="W21" i="14"/>
  <c r="Y21" i="14"/>
  <c r="Z21" i="14"/>
  <c r="AB21" i="14"/>
  <c r="AC21" i="14"/>
  <c r="AD21" i="14"/>
  <c r="N21" i="14"/>
  <c r="L21" i="14"/>
  <c r="M21" i="14"/>
  <c r="O21" i="14"/>
  <c r="AA21" i="14"/>
  <c r="S304" i="2"/>
  <c r="S680" i="8" s="1"/>
  <c r="S681" i="8" s="1"/>
  <c r="X22" i="14"/>
  <c r="Y22" i="14"/>
  <c r="L22" i="14"/>
  <c r="Z22" i="14"/>
  <c r="M22" i="14"/>
  <c r="AA22" i="14"/>
  <c r="N22" i="14"/>
  <c r="AB22" i="14"/>
  <c r="Q22" i="14"/>
  <c r="AE22" i="14"/>
  <c r="P22" i="14"/>
  <c r="R22" i="14"/>
  <c r="S22" i="14"/>
  <c r="T22" i="14"/>
  <c r="U22" i="14"/>
  <c r="W22" i="14"/>
  <c r="AC22" i="14"/>
  <c r="AD22" i="14"/>
  <c r="O22" i="14"/>
  <c r="V22" i="14"/>
  <c r="V75" i="14"/>
  <c r="Y75" i="14"/>
  <c r="Z75" i="14"/>
  <c r="L75" i="14"/>
  <c r="AA75" i="14"/>
  <c r="M75" i="14"/>
  <c r="AB75" i="14"/>
  <c r="N75" i="14"/>
  <c r="AC75" i="14"/>
  <c r="Q75" i="14"/>
  <c r="U75" i="14"/>
  <c r="W75" i="14"/>
  <c r="X75" i="14"/>
  <c r="AD75" i="14"/>
  <c r="AE75" i="14"/>
  <c r="S75" i="14"/>
  <c r="O75" i="14"/>
  <c r="P75" i="14"/>
  <c r="R75" i="14"/>
  <c r="T75" i="14"/>
  <c r="M273" i="14"/>
  <c r="AA273" i="14"/>
  <c r="N273" i="14"/>
  <c r="AB273" i="14"/>
  <c r="R273" i="14"/>
  <c r="V273" i="14"/>
  <c r="U273" i="14"/>
  <c r="W273" i="14"/>
  <c r="X273" i="14"/>
  <c r="Y273" i="14"/>
  <c r="Z273" i="14"/>
  <c r="AC273" i="14"/>
  <c r="AD273" i="14"/>
  <c r="L273" i="14"/>
  <c r="Q273" i="14"/>
  <c r="S273" i="14"/>
  <c r="T273" i="14"/>
  <c r="AE273" i="14"/>
  <c r="O273" i="14"/>
  <c r="P273" i="14"/>
  <c r="X20" i="14"/>
  <c r="W24" i="14"/>
  <c r="Z24" i="14"/>
  <c r="L348" i="2"/>
  <c r="L820" i="8" s="1"/>
  <c r="L821" i="8" s="1"/>
  <c r="L98" i="14"/>
  <c r="L90" i="14"/>
  <c r="AD17" i="14"/>
  <c r="U20" i="14"/>
  <c r="L1156" i="8"/>
  <c r="L1157" i="8" s="1"/>
  <c r="L253" i="14"/>
  <c r="L1458" i="8"/>
  <c r="L221" i="14"/>
  <c r="Y300" i="2"/>
  <c r="Y664" i="8" s="1"/>
  <c r="Y665" i="8" s="1"/>
  <c r="X18" i="14"/>
  <c r="Y18" i="14"/>
  <c r="L18" i="14"/>
  <c r="Z18" i="14"/>
  <c r="M18" i="14"/>
  <c r="AA18" i="14"/>
  <c r="N18" i="14"/>
  <c r="AB18" i="14"/>
  <c r="Q18" i="14"/>
  <c r="AE18" i="14"/>
  <c r="W18" i="14"/>
  <c r="AC18" i="14"/>
  <c r="AD18" i="14"/>
  <c r="O18" i="14"/>
  <c r="P18" i="14"/>
  <c r="U18" i="14"/>
  <c r="R18" i="14"/>
  <c r="S18" i="14"/>
  <c r="T18" i="14"/>
  <c r="V18" i="14"/>
  <c r="N1152" i="8"/>
  <c r="N1153" i="8" s="1"/>
  <c r="N252" i="14"/>
  <c r="Y24" i="14"/>
  <c r="K299" i="8"/>
  <c r="Y35" i="2"/>
  <c r="Z29" i="2"/>
  <c r="R93" i="2"/>
  <c r="L29" i="2"/>
  <c r="R92" i="2"/>
  <c r="Y351" i="8"/>
  <c r="Y352" i="8" s="1"/>
  <c r="L660" i="8"/>
  <c r="L661" i="8" s="1"/>
  <c r="Y363" i="8"/>
  <c r="Y364" i="8" s="1"/>
  <c r="O335" i="8"/>
  <c r="O336" i="8" s="1"/>
  <c r="W87" i="2"/>
  <c r="AD88" i="2"/>
  <c r="AD210" i="2"/>
  <c r="P147" i="2"/>
  <c r="N95" i="2"/>
  <c r="Z209" i="2"/>
  <c r="M89" i="2"/>
  <c r="M315" i="8"/>
  <c r="M316" i="8" s="1"/>
  <c r="X91" i="2"/>
  <c r="X87" i="2"/>
  <c r="AE147" i="2"/>
  <c r="AC660" i="8"/>
  <c r="AC661" i="8" s="1"/>
  <c r="AB87" i="2"/>
  <c r="P391" i="8"/>
  <c r="P392" i="8" s="1"/>
  <c r="R89" i="2"/>
  <c r="L347" i="8"/>
  <c r="L348" i="8" s="1"/>
  <c r="N375" i="8"/>
  <c r="N376" i="8" s="1"/>
  <c r="X90" i="2"/>
  <c r="AE154" i="2"/>
  <c r="S209" i="2"/>
  <c r="AE153" i="2"/>
  <c r="AB688" i="8"/>
  <c r="AB689" i="8" s="1"/>
  <c r="V28" i="2"/>
  <c r="N215" i="2"/>
  <c r="Y411" i="8"/>
  <c r="Y412" i="8" s="1"/>
  <c r="AA93" i="2"/>
  <c r="Q209" i="2"/>
  <c r="AD93" i="2"/>
  <c r="P411" i="8"/>
  <c r="P412" i="8" s="1"/>
  <c r="Y93" i="2"/>
  <c r="P210" i="2"/>
  <c r="L339" i="8"/>
  <c r="L340" i="8" s="1"/>
  <c r="Q371" i="8"/>
  <c r="Q372" i="8" s="1"/>
  <c r="Z431" i="8"/>
  <c r="Z432" i="8" s="1"/>
  <c r="X335" i="8"/>
  <c r="X336" i="8" s="1"/>
  <c r="Y371" i="8"/>
  <c r="Y372" i="8" s="1"/>
  <c r="P155" i="2"/>
  <c r="P407" i="8"/>
  <c r="P408" i="8" s="1"/>
  <c r="AA319" i="8"/>
  <c r="AA320" i="8" s="1"/>
  <c r="T208" i="2"/>
  <c r="Q660" i="8"/>
  <c r="Q661" i="8" s="1"/>
  <c r="AE299" i="8"/>
  <c r="AE300" i="8" s="1"/>
  <c r="AA303" i="8"/>
  <c r="AA304" i="8" s="1"/>
  <c r="AD371" i="8"/>
  <c r="AD372" i="8" s="1"/>
  <c r="AE688" i="8"/>
  <c r="AE689" i="8" s="1"/>
  <c r="AD214" i="2"/>
  <c r="AC152" i="2"/>
  <c r="M688" i="8"/>
  <c r="M689" i="8" s="1"/>
  <c r="O214" i="2"/>
  <c r="N34" i="2"/>
  <c r="AD95" i="2"/>
  <c r="AC688" i="8"/>
  <c r="AC689" i="8" s="1"/>
  <c r="X152" i="2"/>
  <c r="L315" i="8"/>
  <c r="L316" i="8" s="1"/>
  <c r="O33" i="2"/>
  <c r="R90" i="2"/>
  <c r="AB213" i="2"/>
  <c r="O363" i="8"/>
  <c r="O364" i="8" s="1"/>
  <c r="L363" i="8"/>
  <c r="L364" i="8" s="1"/>
  <c r="O27" i="2"/>
  <c r="W660" i="8"/>
  <c r="W661" i="8" s="1"/>
  <c r="AB299" i="8"/>
  <c r="AB300" i="8" s="1"/>
  <c r="Q387" i="8"/>
  <c r="Q388" i="8" s="1"/>
  <c r="W355" i="8"/>
  <c r="W356" i="8" s="1"/>
  <c r="Z415" i="8"/>
  <c r="Z416" i="8" s="1"/>
  <c r="S299" i="8"/>
  <c r="S300" i="8" s="1"/>
  <c r="M210" i="2"/>
  <c r="AB148" i="2"/>
  <c r="M87" i="2"/>
  <c r="Q395" i="8"/>
  <c r="Q396" i="8" s="1"/>
  <c r="Q33" i="2"/>
  <c r="R391" i="8"/>
  <c r="R392" i="8" s="1"/>
  <c r="AD213" i="2"/>
  <c r="W29" i="2"/>
  <c r="AA327" i="8"/>
  <c r="AA328" i="8" s="1"/>
  <c r="T431" i="8"/>
  <c r="T432" i="8" s="1"/>
  <c r="U419" i="8"/>
  <c r="U420" i="8" s="1"/>
  <c r="W28" i="2"/>
  <c r="V208" i="2"/>
  <c r="Y154" i="2"/>
  <c r="Y32" i="2"/>
  <c r="AC307" i="8"/>
  <c r="AC308" i="8" s="1"/>
  <c r="AA30" i="2"/>
  <c r="P688" i="8"/>
  <c r="P689" i="8" s="1"/>
  <c r="X209" i="2"/>
  <c r="W688" i="8"/>
  <c r="W689" i="8" s="1"/>
  <c r="X151" i="2"/>
  <c r="L415" i="8"/>
  <c r="L416" i="8" s="1"/>
  <c r="V427" i="8"/>
  <c r="V428" i="8" s="1"/>
  <c r="V351" i="8"/>
  <c r="V352" i="8" s="1"/>
  <c r="N419" i="8"/>
  <c r="N420" i="8" s="1"/>
  <c r="Q399" i="8"/>
  <c r="Q400" i="8" s="1"/>
  <c r="V89" i="2"/>
  <c r="Z30" i="2"/>
  <c r="W311" i="8"/>
  <c r="W312" i="8" s="1"/>
  <c r="U660" i="8"/>
  <c r="U661" i="8" s="1"/>
  <c r="X92" i="2"/>
  <c r="AE35" i="2"/>
  <c r="V660" i="8"/>
  <c r="V661" i="8" s="1"/>
  <c r="Y87" i="2"/>
  <c r="L34" i="2"/>
  <c r="L319" i="8"/>
  <c r="L320" i="8" s="1"/>
  <c r="L87" i="2"/>
  <c r="X375" i="8"/>
  <c r="X376" i="8" s="1"/>
  <c r="W351" i="8"/>
  <c r="W352" i="8" s="1"/>
  <c r="O415" i="8"/>
  <c r="O416" i="8" s="1"/>
  <c r="V35" i="2"/>
  <c r="L207" i="2"/>
  <c r="P383" i="8"/>
  <c r="P384" i="8" s="1"/>
  <c r="W91" i="2"/>
  <c r="Q367" i="8"/>
  <c r="Q368" i="8" s="1"/>
  <c r="AE211" i="2"/>
  <c r="AA208" i="2"/>
  <c r="AD660" i="8"/>
  <c r="AD661" i="8" s="1"/>
  <c r="R427" i="8"/>
  <c r="R428" i="8" s="1"/>
  <c r="AD319" i="8"/>
  <c r="AD320" i="8" s="1"/>
  <c r="O212" i="2"/>
  <c r="O407" i="8"/>
  <c r="O408" i="8" s="1"/>
  <c r="L399" i="8"/>
  <c r="L400" i="8" s="1"/>
  <c r="Z149" i="2"/>
  <c r="AD152" i="2"/>
  <c r="AD87" i="2"/>
  <c r="Y688" i="8"/>
  <c r="Y689" i="8" s="1"/>
  <c r="P315" i="8"/>
  <c r="P316" i="8" s="1"/>
  <c r="V423" i="8"/>
  <c r="V424" i="8" s="1"/>
  <c r="X215" i="2"/>
  <c r="Q213" i="2"/>
  <c r="M323" i="8"/>
  <c r="M324" i="8" s="1"/>
  <c r="AE212" i="2"/>
  <c r="AB383" i="8"/>
  <c r="AB384" i="8" s="1"/>
  <c r="U359" i="8"/>
  <c r="U360" i="8" s="1"/>
  <c r="T355" i="8"/>
  <c r="T356" i="8" s="1"/>
  <c r="AD29" i="2"/>
  <c r="R435" i="8"/>
  <c r="R436" i="8" s="1"/>
  <c r="AB94" i="2"/>
  <c r="AE148" i="2"/>
  <c r="AC355" i="8"/>
  <c r="AC356" i="8" s="1"/>
  <c r="Q435" i="8"/>
  <c r="Q436" i="8" s="1"/>
  <c r="R149" i="2"/>
  <c r="R150" i="2"/>
  <c r="AD379" i="8"/>
  <c r="AD380" i="8" s="1"/>
  <c r="S660" i="8"/>
  <c r="S661" i="8" s="1"/>
  <c r="AE29" i="2"/>
  <c r="W672" i="8"/>
  <c r="W673" i="8" s="1"/>
  <c r="P34" i="2"/>
  <c r="M427" i="8"/>
  <c r="M428" i="8" s="1"/>
  <c r="AD215" i="2"/>
  <c r="W423" i="8"/>
  <c r="W424" i="8" s="1"/>
  <c r="O688" i="8"/>
  <c r="O689" i="8" s="1"/>
  <c r="AC431" i="8"/>
  <c r="AC432" i="8" s="1"/>
  <c r="N213" i="2"/>
  <c r="AC435" i="8"/>
  <c r="AC436" i="8" s="1"/>
  <c r="V155" i="2"/>
  <c r="S419" i="8"/>
  <c r="S420" i="8" s="1"/>
  <c r="O427" i="8"/>
  <c r="O428" i="8" s="1"/>
  <c r="Y213" i="2"/>
  <c r="AB395" i="8"/>
  <c r="AB396" i="8" s="1"/>
  <c r="AB212" i="2"/>
  <c r="L35" i="2"/>
  <c r="O347" i="8"/>
  <c r="O348" i="8" s="1"/>
  <c r="X391" i="8"/>
  <c r="X392" i="8" s="1"/>
  <c r="L431" i="8"/>
  <c r="L432" i="8" s="1"/>
  <c r="P427" i="8"/>
  <c r="P428" i="8" s="1"/>
  <c r="L343" i="8"/>
  <c r="L344" i="8" s="1"/>
  <c r="N339" i="8"/>
  <c r="N340" i="8" s="1"/>
  <c r="AB411" i="8"/>
  <c r="AB412" i="8" s="1"/>
  <c r="W88" i="2"/>
  <c r="AE91" i="2"/>
  <c r="M95" i="2"/>
  <c r="Z403" i="8"/>
  <c r="Z404" i="8" s="1"/>
  <c r="Z213" i="2"/>
  <c r="W427" i="8"/>
  <c r="W428" i="8" s="1"/>
  <c r="AE208" i="2"/>
  <c r="AE209" i="2"/>
  <c r="P435" i="8"/>
  <c r="P436" i="8" s="1"/>
  <c r="M351" i="8"/>
  <c r="M352" i="8" s="1"/>
  <c r="M343" i="8"/>
  <c r="M344" i="8" s="1"/>
  <c r="AD149" i="2"/>
  <c r="AE32" i="2"/>
  <c r="X93" i="2"/>
  <c r="N379" i="8"/>
  <c r="N380" i="8" s="1"/>
  <c r="AD399" i="8"/>
  <c r="AD400" i="8" s="1"/>
  <c r="X660" i="8"/>
  <c r="X661" i="8" s="1"/>
  <c r="T94" i="2"/>
  <c r="AC359" i="8"/>
  <c r="AC360" i="8" s="1"/>
  <c r="AB32" i="2"/>
  <c r="AD295" i="8"/>
  <c r="AD296" i="8" s="1"/>
  <c r="L209" i="2"/>
  <c r="AD207" i="2"/>
  <c r="AC327" i="8"/>
  <c r="AC328" i="8" s="1"/>
  <c r="P28" i="2"/>
  <c r="O94" i="2"/>
  <c r="AA95" i="2"/>
  <c r="M93" i="2"/>
  <c r="AC87" i="2"/>
  <c r="R359" i="8"/>
  <c r="R360" i="8" s="1"/>
  <c r="Q34" i="2"/>
  <c r="S431" i="8"/>
  <c r="S432" i="8" s="1"/>
  <c r="Z153" i="2"/>
  <c r="AB660" i="8"/>
  <c r="AB661" i="8" s="1"/>
  <c r="W30" i="2"/>
  <c r="AD211" i="2"/>
  <c r="O660" i="8"/>
  <c r="O661" i="8" s="1"/>
  <c r="Q212" i="2"/>
  <c r="N411" i="8"/>
  <c r="N412" i="8" s="1"/>
  <c r="Z34" i="2"/>
  <c r="V151" i="2"/>
  <c r="AD154" i="2"/>
  <c r="AA311" i="8"/>
  <c r="AA312" i="8" s="1"/>
  <c r="O207" i="2"/>
  <c r="X31" i="2"/>
  <c r="N208" i="2"/>
  <c r="S415" i="8"/>
  <c r="S416" i="8" s="1"/>
  <c r="X688" i="8"/>
  <c r="X689" i="8" s="1"/>
  <c r="U415" i="8"/>
  <c r="U416" i="8" s="1"/>
  <c r="X89" i="2"/>
  <c r="X403" i="8"/>
  <c r="X404" i="8" s="1"/>
  <c r="Z27" i="2"/>
  <c r="N391" i="8"/>
  <c r="N392" i="8" s="1"/>
  <c r="N395" i="8"/>
  <c r="N396" i="8" s="1"/>
  <c r="N688" i="8"/>
  <c r="N689" i="8" s="1"/>
  <c r="AA299" i="8"/>
  <c r="AA300" i="8" s="1"/>
  <c r="L355" i="8"/>
  <c r="L356" i="8" s="1"/>
  <c r="V150" i="2"/>
  <c r="T335" i="8"/>
  <c r="T336" i="8" s="1"/>
  <c r="Y90" i="2"/>
  <c r="N87" i="2"/>
  <c r="L212" i="2"/>
  <c r="O343" i="8"/>
  <c r="O344" i="8" s="1"/>
  <c r="Z212" i="2"/>
  <c r="V307" i="8"/>
  <c r="V308" i="8" s="1"/>
  <c r="AE207" i="2"/>
  <c r="P149" i="2"/>
  <c r="Q151" i="2"/>
  <c r="W89" i="2"/>
  <c r="AA295" i="8"/>
  <c r="AA296" i="8" s="1"/>
  <c r="X148" i="2"/>
  <c r="AE399" i="8"/>
  <c r="AE400" i="8" s="1"/>
  <c r="L311" i="8"/>
  <c r="L312" i="8" s="1"/>
  <c r="AA688" i="8"/>
  <c r="AA689" i="8" s="1"/>
  <c r="N29" i="2"/>
  <c r="V154" i="2"/>
  <c r="U90" i="2"/>
  <c r="S407" i="8"/>
  <c r="S408" i="8" s="1"/>
  <c r="AC419" i="8"/>
  <c r="AC420" i="8" s="1"/>
  <c r="S423" i="8"/>
  <c r="S424" i="8" s="1"/>
  <c r="T207" i="2"/>
  <c r="Y431" i="8"/>
  <c r="Y432" i="8" s="1"/>
  <c r="V688" i="8"/>
  <c r="V689" i="8" s="1"/>
  <c r="X415" i="8"/>
  <c r="X416" i="8" s="1"/>
  <c r="T210" i="2"/>
  <c r="U407" i="8"/>
  <c r="U408" i="8" s="1"/>
  <c r="Q403" i="8"/>
  <c r="Q404" i="8" s="1"/>
  <c r="M431" i="8"/>
  <c r="M432" i="8" s="1"/>
  <c r="S351" i="8"/>
  <c r="S352" i="8" s="1"/>
  <c r="O35" i="2"/>
  <c r="L375" i="8"/>
  <c r="L376" i="8" s="1"/>
  <c r="T215" i="2"/>
  <c r="N403" i="8"/>
  <c r="N404" i="8" s="1"/>
  <c r="W215" i="2"/>
  <c r="AB27" i="2"/>
  <c r="N660" i="8"/>
  <c r="N661" i="8" s="1"/>
  <c r="AE34" i="2"/>
  <c r="O150" i="2"/>
  <c r="AD151" i="2"/>
  <c r="X30" i="2"/>
  <c r="AD347" i="8"/>
  <c r="AD348" i="8" s="1"/>
  <c r="AA427" i="8"/>
  <c r="AA428" i="8" s="1"/>
  <c r="O209" i="2"/>
  <c r="U688" i="8"/>
  <c r="U689" i="8" s="1"/>
  <c r="AC212" i="2"/>
  <c r="Q359" i="8"/>
  <c r="Q360" i="8" s="1"/>
  <c r="Q431" i="8"/>
  <c r="Q432" i="8" s="1"/>
  <c r="S32" i="2"/>
  <c r="T423" i="8"/>
  <c r="T424" i="8" s="1"/>
  <c r="Q419" i="8"/>
  <c r="Q420" i="8" s="1"/>
  <c r="U339" i="8"/>
  <c r="U340" i="8" s="1"/>
  <c r="T90" i="2"/>
  <c r="L88" i="2"/>
  <c r="U88" i="2"/>
  <c r="AB435" i="8"/>
  <c r="AB436" i="8" s="1"/>
  <c r="W359" i="8"/>
  <c r="W360" i="8" s="1"/>
  <c r="V27" i="2"/>
  <c r="X431" i="8"/>
  <c r="X432" i="8" s="1"/>
  <c r="V29" i="2"/>
  <c r="X95" i="2"/>
  <c r="M30" i="2"/>
  <c r="AB153" i="2"/>
  <c r="W315" i="8"/>
  <c r="W316" i="8" s="1"/>
  <c r="Q30" i="2"/>
  <c r="V148" i="2"/>
  <c r="L152" i="2"/>
  <c r="AD209" i="2"/>
  <c r="AD367" i="8"/>
  <c r="AD368" i="8" s="1"/>
  <c r="T307" i="8"/>
  <c r="T308" i="8" s="1"/>
  <c r="T672" i="8"/>
  <c r="T673" i="8" s="1"/>
  <c r="Z151" i="2"/>
  <c r="M33" i="2"/>
  <c r="M27" i="2"/>
  <c r="AC379" i="8"/>
  <c r="AC380" i="8" s="1"/>
  <c r="AD28" i="2"/>
  <c r="M327" i="8"/>
  <c r="M328" i="8" s="1"/>
  <c r="T688" i="8"/>
  <c r="T689" i="8" s="1"/>
  <c r="L30" i="2"/>
  <c r="T92" i="2"/>
  <c r="Y91" i="2"/>
  <c r="AE214" i="2"/>
  <c r="R415" i="8"/>
  <c r="R416" i="8" s="1"/>
  <c r="N355" i="8"/>
  <c r="N356" i="8" s="1"/>
  <c r="R209" i="2"/>
  <c r="O92" i="2"/>
  <c r="M208" i="2"/>
  <c r="V343" i="8"/>
  <c r="V344" i="8" s="1"/>
  <c r="AC34" i="2"/>
  <c r="U351" i="8"/>
  <c r="U352" i="8" s="1"/>
  <c r="T339" i="8"/>
  <c r="T340" i="8" s="1"/>
  <c r="M335" i="8"/>
  <c r="M336" i="8" s="1"/>
  <c r="W343" i="8"/>
  <c r="W344" i="8" s="1"/>
  <c r="Q688" i="8"/>
  <c r="Q689" i="8" s="1"/>
  <c r="T660" i="8"/>
  <c r="T661" i="8" s="1"/>
  <c r="T29" i="2"/>
  <c r="Y660" i="8"/>
  <c r="Y661" i="8" s="1"/>
  <c r="S435" i="8"/>
  <c r="S436" i="8" s="1"/>
  <c r="O29" i="2"/>
  <c r="Z419" i="8"/>
  <c r="Z420" i="8" s="1"/>
  <c r="AE150" i="2"/>
  <c r="U431" i="8"/>
  <c r="U432" i="8" s="1"/>
  <c r="L147" i="2"/>
  <c r="Q303" i="8"/>
  <c r="Q304" i="8" s="1"/>
  <c r="Y30" i="2"/>
  <c r="O315" i="8"/>
  <c r="O316" i="8" s="1"/>
  <c r="Y34" i="2"/>
  <c r="P419" i="8"/>
  <c r="P420" i="8" s="1"/>
  <c r="U403" i="8"/>
  <c r="U404" i="8" s="1"/>
  <c r="P35" i="2"/>
  <c r="R660" i="8"/>
  <c r="R661" i="8" s="1"/>
  <c r="AD391" i="8"/>
  <c r="AD392" i="8" s="1"/>
  <c r="W208" i="2"/>
  <c r="S688" i="8"/>
  <c r="S689" i="8" s="1"/>
  <c r="AB35" i="2"/>
  <c r="AC395" i="8"/>
  <c r="AC396" i="8" s="1"/>
  <c r="AD208" i="2"/>
  <c r="O419" i="8"/>
  <c r="O420" i="8" s="1"/>
  <c r="AD90" i="2"/>
  <c r="R688" i="8"/>
  <c r="R689" i="8" s="1"/>
  <c r="O87" i="2"/>
  <c r="N367" i="8"/>
  <c r="N368" i="8" s="1"/>
  <c r="U87" i="2"/>
  <c r="L688" i="8"/>
  <c r="L689" i="8" s="1"/>
  <c r="S30" i="2"/>
  <c r="R87" i="2"/>
  <c r="T363" i="8"/>
  <c r="T364" i="8" s="1"/>
  <c r="L351" i="8"/>
  <c r="L352" i="8" s="1"/>
  <c r="Y89" i="2"/>
  <c r="N327" i="8"/>
  <c r="N328" i="8" s="1"/>
  <c r="N94" i="2"/>
  <c r="L211" i="2"/>
  <c r="L427" i="8"/>
  <c r="L428" i="8" s="1"/>
  <c r="N88" i="2"/>
  <c r="P150" i="2"/>
  <c r="N351" i="8"/>
  <c r="N352" i="8" s="1"/>
  <c r="AC303" i="8"/>
  <c r="AC304" i="8" s="1"/>
  <c r="P154" i="2"/>
  <c r="Q150" i="2"/>
  <c r="M94" i="2"/>
  <c r="X154" i="2"/>
  <c r="W207" i="2"/>
  <c r="O149" i="2"/>
  <c r="AB93" i="2"/>
  <c r="V91" i="2"/>
  <c r="AB210" i="2"/>
  <c r="O307" i="8"/>
  <c r="O308" i="8" s="1"/>
  <c r="M403" i="8"/>
  <c r="M404" i="8" s="1"/>
  <c r="S403" i="8"/>
  <c r="S404" i="8" s="1"/>
  <c r="L151" i="2"/>
  <c r="W295" i="8"/>
  <c r="W296" i="8" s="1"/>
  <c r="L395" i="8"/>
  <c r="L396" i="8" s="1"/>
  <c r="Z363" i="8"/>
  <c r="Z364" i="8" s="1"/>
  <c r="R151" i="2"/>
  <c r="P30" i="2"/>
  <c r="U209" i="2"/>
  <c r="AE660" i="8"/>
  <c r="AE661" i="8" s="1"/>
  <c r="W415" i="8"/>
  <c r="W416" i="8" s="1"/>
  <c r="P660" i="8"/>
  <c r="P661" i="8" s="1"/>
  <c r="AE33" i="2"/>
  <c r="AE30" i="2"/>
  <c r="W34" i="2"/>
  <c r="T213" i="2"/>
  <c r="V87" i="2"/>
  <c r="V88" i="2"/>
  <c r="AC427" i="8"/>
  <c r="AC428" i="8" s="1"/>
  <c r="AE31" i="2"/>
  <c r="O323" i="8"/>
  <c r="O324" i="8" s="1"/>
  <c r="X150" i="2"/>
  <c r="AA419" i="8"/>
  <c r="AA420" i="8" s="1"/>
  <c r="AD30" i="2"/>
  <c r="O89" i="2"/>
  <c r="V95" i="2"/>
  <c r="Q391" i="8"/>
  <c r="Q392" i="8" s="1"/>
  <c r="L27" i="2"/>
  <c r="N347" i="8"/>
  <c r="N348" i="8" s="1"/>
  <c r="R211" i="2"/>
  <c r="N343" i="8"/>
  <c r="N344" i="8" s="1"/>
  <c r="R214" i="2"/>
  <c r="P423" i="8"/>
  <c r="P424" i="8" s="1"/>
  <c r="M215" i="2"/>
  <c r="L215" i="2"/>
  <c r="AC89" i="2"/>
  <c r="P214" i="2"/>
  <c r="S91" i="2"/>
  <c r="T411" i="8"/>
  <c r="T412" i="8" s="1"/>
  <c r="AA215" i="2"/>
  <c r="Y215" i="2"/>
  <c r="AB92" i="2"/>
  <c r="W214" i="2"/>
  <c r="W319" i="8"/>
  <c r="W320" i="8" s="1"/>
  <c r="AC295" i="8"/>
  <c r="AC296" i="8" s="1"/>
  <c r="S427" i="8"/>
  <c r="S428" i="8" s="1"/>
  <c r="M419" i="8"/>
  <c r="M420" i="8" s="1"/>
  <c r="V210" i="2"/>
  <c r="Z155" i="2"/>
  <c r="Z147" i="2"/>
  <c r="X29" i="2"/>
  <c r="AE672" i="8"/>
  <c r="AE673" i="8" s="1"/>
  <c r="P29" i="2"/>
  <c r="T27" i="2"/>
  <c r="U215" i="2"/>
  <c r="M660" i="8"/>
  <c r="M661" i="8" s="1"/>
  <c r="Y211" i="2"/>
  <c r="AC367" i="8"/>
  <c r="AC368" i="8" s="1"/>
  <c r="AD339" i="8"/>
  <c r="AD340" i="8" s="1"/>
  <c r="AC151" i="2"/>
  <c r="Y208" i="2"/>
  <c r="V93" i="2"/>
  <c r="V403" i="8"/>
  <c r="V404" i="8" s="1"/>
  <c r="R88" i="2"/>
  <c r="R95" i="2"/>
  <c r="X35" i="2"/>
  <c r="Q375" i="8"/>
  <c r="Q376" i="8" s="1"/>
  <c r="X147" i="2"/>
  <c r="AB147" i="2"/>
  <c r="AA660" i="8"/>
  <c r="AA661" i="8" s="1"/>
  <c r="L94" i="2"/>
  <c r="AB431" i="8"/>
  <c r="AB432" i="8" s="1"/>
  <c r="AC375" i="8"/>
  <c r="AC376" i="8" s="1"/>
  <c r="AD92" i="2"/>
  <c r="O311" i="8"/>
  <c r="O312" i="8" s="1"/>
  <c r="U355" i="8"/>
  <c r="U356" i="8" s="1"/>
  <c r="P207" i="2"/>
  <c r="AE427" i="8"/>
  <c r="AE428" i="8" s="1"/>
  <c r="AC33" i="2"/>
  <c r="AD323" i="8"/>
  <c r="AD324" i="8" s="1"/>
  <c r="AB150" i="2"/>
  <c r="Y367" i="8"/>
  <c r="Y368" i="8" s="1"/>
  <c r="U212" i="2"/>
  <c r="AA323" i="8"/>
  <c r="AA324" i="8" s="1"/>
  <c r="W211" i="2"/>
  <c r="T323" i="8"/>
  <c r="T324" i="8" s="1"/>
  <c r="AC391" i="8"/>
  <c r="AC392" i="8" s="1"/>
  <c r="N415" i="8"/>
  <c r="N416" i="8" s="1"/>
  <c r="N27" i="2"/>
  <c r="AC148" i="2"/>
  <c r="AD212" i="2"/>
  <c r="V94" i="2"/>
  <c r="O28" i="2"/>
  <c r="AA147" i="2"/>
  <c r="AC403" i="8"/>
  <c r="AC404" i="8" s="1"/>
  <c r="U91" i="2"/>
  <c r="Y207" i="2"/>
  <c r="N387" i="8"/>
  <c r="N388" i="8" s="1"/>
  <c r="AB211" i="2"/>
  <c r="T87" i="2"/>
  <c r="R91" i="2"/>
  <c r="O93" i="2"/>
  <c r="R212" i="2"/>
  <c r="R403" i="8"/>
  <c r="R404" i="8" s="1"/>
  <c r="W95" i="2"/>
  <c r="M212" i="2"/>
  <c r="V34" i="2"/>
  <c r="Z688" i="8"/>
  <c r="Z689" i="8" s="1"/>
  <c r="T28" i="2"/>
  <c r="L299" i="8"/>
  <c r="L300" i="8" s="1"/>
  <c r="P152" i="2"/>
  <c r="AD94" i="2"/>
  <c r="AA212" i="2"/>
  <c r="W209" i="2"/>
  <c r="Q87" i="2"/>
  <c r="Z435" i="8"/>
  <c r="Z436" i="8" s="1"/>
  <c r="W35" i="2"/>
  <c r="Y29" i="2"/>
  <c r="R155" i="2"/>
  <c r="Q335" i="8"/>
  <c r="Q336" i="8" s="1"/>
  <c r="Z152" i="2"/>
  <c r="X212" i="2"/>
  <c r="T211" i="2"/>
  <c r="AA315" i="8"/>
  <c r="AA316" i="8" s="1"/>
  <c r="AD688" i="8"/>
  <c r="AD689" i="8" s="1"/>
  <c r="N311" i="8"/>
  <c r="N312" i="8" s="1"/>
  <c r="V435" i="8"/>
  <c r="V436" i="8" s="1"/>
  <c r="AC209" i="2"/>
  <c r="N30" i="2"/>
  <c r="N423" i="8"/>
  <c r="N424" i="8" s="1"/>
  <c r="M29" i="2"/>
  <c r="AC155" i="2"/>
  <c r="Z407" i="8"/>
  <c r="Z408" i="8" s="1"/>
  <c r="AB208" i="2"/>
  <c r="X94" i="2"/>
  <c r="AB152" i="2"/>
  <c r="T91" i="2"/>
  <c r="Y88" i="2"/>
  <c r="AB207" i="2"/>
  <c r="S34" i="2"/>
  <c r="R407" i="8"/>
  <c r="R408" i="8" s="1"/>
  <c r="Z660" i="8"/>
  <c r="Z661" i="8" s="1"/>
  <c r="M411" i="8"/>
  <c r="M412" i="8" s="1"/>
  <c r="AC335" i="8"/>
  <c r="AC336" i="8" s="1"/>
  <c r="L407" i="8"/>
  <c r="L408" i="8" s="1"/>
  <c r="AE415" i="8"/>
  <c r="AE416" i="8" s="1"/>
  <c r="U363" i="8"/>
  <c r="U364" i="8" s="1"/>
  <c r="M91" i="2"/>
  <c r="AB89" i="2"/>
  <c r="AB95" i="2"/>
  <c r="W431" i="8"/>
  <c r="W432" i="8" s="1"/>
  <c r="P299" i="8"/>
  <c r="P300" i="8" s="1"/>
  <c r="AA363" i="8"/>
  <c r="AA364" i="8" s="1"/>
  <c r="N331" i="8"/>
  <c r="N332" i="8" s="1"/>
  <c r="L423" i="8"/>
  <c r="L424" i="8" s="1"/>
  <c r="AD403" i="8"/>
  <c r="AD404" i="8" s="1"/>
  <c r="AC35" i="2"/>
  <c r="AB379" i="8"/>
  <c r="AB380" i="8" s="1"/>
  <c r="AA435" i="8"/>
  <c r="AA436" i="8" s="1"/>
  <c r="AC94" i="2"/>
  <c r="O423" i="8"/>
  <c r="O424" i="8" s="1"/>
  <c r="V295" i="8"/>
  <c r="V296" i="8" s="1"/>
  <c r="L39" i="12"/>
  <c r="Z207" i="2"/>
  <c r="N147" i="2"/>
  <c r="AC371" i="8"/>
  <c r="AC372" i="8" s="1"/>
  <c r="L51" i="12"/>
  <c r="Z427" i="8"/>
  <c r="Z428" i="8" s="1"/>
  <c r="AE315" i="8"/>
  <c r="AE316" i="8" s="1"/>
  <c r="L78" i="12"/>
  <c r="L102" i="12"/>
  <c r="L66" i="12"/>
  <c r="L90" i="12"/>
  <c r="L15" i="12"/>
  <c r="F1530" i="8"/>
  <c r="L27" i="12"/>
  <c r="M209" i="2"/>
  <c r="AC88" i="2"/>
  <c r="V347" i="8"/>
  <c r="V348" i="8" s="1"/>
  <c r="M339" i="8"/>
  <c r="M340" i="8" s="1"/>
  <c r="AA423" i="8"/>
  <c r="AA424" i="8" s="1"/>
  <c r="AB419" i="8"/>
  <c r="AB420" i="8" s="1"/>
  <c r="Y355" i="8"/>
  <c r="Y356" i="8" s="1"/>
  <c r="M90" i="2"/>
  <c r="AA32" i="2"/>
  <c r="M35" i="2"/>
  <c r="X214" i="2"/>
  <c r="Q154" i="2"/>
  <c r="R331" i="8"/>
  <c r="R332" i="8" s="1"/>
  <c r="M307" i="8"/>
  <c r="M308" i="8" s="1"/>
  <c r="AB391" i="8"/>
  <c r="AB392" i="8" s="1"/>
  <c r="R411" i="8"/>
  <c r="R412" i="8" s="1"/>
  <c r="AE319" i="8"/>
  <c r="AE320" i="8" s="1"/>
  <c r="T299" i="8"/>
  <c r="T300" i="8" s="1"/>
  <c r="X88" i="2"/>
  <c r="AD303" i="8"/>
  <c r="AD304" i="8" s="1"/>
  <c r="K29" i="2"/>
  <c r="AD335" i="8"/>
  <c r="AD336" i="8" s="1"/>
  <c r="W331" i="8"/>
  <c r="W332" i="8" s="1"/>
  <c r="X331" i="8"/>
  <c r="X332" i="8" s="1"/>
  <c r="L95" i="2"/>
  <c r="Y92" i="2"/>
  <c r="M407" i="8"/>
  <c r="M408" i="8" s="1"/>
  <c r="T89" i="2"/>
  <c r="AC215" i="2"/>
  <c r="M47" i="10"/>
  <c r="M137" i="5" s="1"/>
  <c r="Q155" i="2"/>
  <c r="X379" i="8"/>
  <c r="X380" i="8" s="1"/>
  <c r="K411" i="8"/>
  <c r="Q379" i="8"/>
  <c r="Q380" i="8" s="1"/>
  <c r="AB339" i="8"/>
  <c r="AB340" i="8" s="1"/>
  <c r="AD307" i="8"/>
  <c r="AD308" i="8" s="1"/>
  <c r="AB351" i="8"/>
  <c r="AB352" i="8" s="1"/>
  <c r="N92" i="2"/>
  <c r="K315" i="8"/>
  <c r="Q423" i="8"/>
  <c r="Q424" i="8" s="1"/>
  <c r="X367" i="8"/>
  <c r="X368" i="8" s="1"/>
  <c r="Y435" i="8"/>
  <c r="Y436" i="8" s="1"/>
  <c r="R431" i="8"/>
  <c r="R432" i="8" s="1"/>
  <c r="AB363" i="8"/>
  <c r="AB364" i="8" s="1"/>
  <c r="K391" i="8"/>
  <c r="AA211" i="2"/>
  <c r="Y95" i="2"/>
  <c r="N91" i="2"/>
  <c r="L47" i="10"/>
  <c r="L137" i="5" s="1"/>
  <c r="T359" i="8"/>
  <c r="T360" i="8" s="1"/>
  <c r="M32" i="2"/>
  <c r="R375" i="8"/>
  <c r="R376" i="8" s="1"/>
  <c r="L435" i="8"/>
  <c r="L436" i="8" s="1"/>
  <c r="Z411" i="8"/>
  <c r="Z412" i="8" s="1"/>
  <c r="X347" i="8"/>
  <c r="X348" i="8" s="1"/>
  <c r="K407" i="8"/>
  <c r="AA29" i="2"/>
  <c r="W94" i="2"/>
  <c r="Z214" i="2"/>
  <c r="N211" i="2"/>
  <c r="AD33" i="2"/>
  <c r="Y331" i="8"/>
  <c r="Y332" i="8" s="1"/>
  <c r="Q211" i="2"/>
  <c r="N761" i="2"/>
  <c r="N790" i="2" s="1"/>
  <c r="Q383" i="8"/>
  <c r="Q384" i="8" s="1"/>
  <c r="L411" i="8"/>
  <c r="L412" i="8" s="1"/>
  <c r="AD155" i="2"/>
  <c r="N363" i="8"/>
  <c r="N364" i="8" s="1"/>
  <c r="S307" i="8"/>
  <c r="S308" i="8" s="1"/>
  <c r="O295" i="8"/>
  <c r="O296" i="8" s="1"/>
  <c r="Q148" i="2"/>
  <c r="Z307" i="8"/>
  <c r="Z308" i="8" s="1"/>
  <c r="Y335" i="8"/>
  <c r="Y336" i="8" s="1"/>
  <c r="P403" i="8"/>
  <c r="P404" i="8" s="1"/>
  <c r="T30" i="2"/>
  <c r="T347" i="8"/>
  <c r="T348" i="8" s="1"/>
  <c r="R423" i="8"/>
  <c r="R424" i="8" s="1"/>
  <c r="AE213" i="2"/>
  <c r="U347" i="8"/>
  <c r="U348" i="8" s="1"/>
  <c r="AA307" i="8"/>
  <c r="AA308" i="8" s="1"/>
  <c r="V327" i="8"/>
  <c r="V328" i="8" s="1"/>
  <c r="AD423" i="8"/>
  <c r="AD424" i="8" s="1"/>
  <c r="Q147" i="2"/>
  <c r="AD34" i="2"/>
  <c r="Q149" i="2"/>
  <c r="R213" i="2"/>
  <c r="F1484" i="8"/>
  <c r="AC154" i="2"/>
  <c r="U93" i="2"/>
  <c r="AE419" i="8"/>
  <c r="AE420" i="8" s="1"/>
  <c r="S28" i="2"/>
  <c r="AE28" i="2"/>
  <c r="X343" i="8"/>
  <c r="X344" i="8" s="1"/>
  <c r="N748" i="2"/>
  <c r="N1220" i="8" s="1"/>
  <c r="N1221" i="8" s="1"/>
  <c r="M359" i="8"/>
  <c r="M360" i="8" s="1"/>
  <c r="M435" i="8"/>
  <c r="M436" i="8" s="1"/>
  <c r="AD359" i="8"/>
  <c r="AD360" i="8" s="1"/>
  <c r="X395" i="8"/>
  <c r="X396" i="8" s="1"/>
  <c r="M415" i="8"/>
  <c r="M416" i="8" s="1"/>
  <c r="W347" i="8"/>
  <c r="W348" i="8" s="1"/>
  <c r="P151" i="2"/>
  <c r="P431" i="8"/>
  <c r="P432" i="8" s="1"/>
  <c r="AE210" i="2"/>
  <c r="AD331" i="8"/>
  <c r="AD332" i="8" s="1"/>
  <c r="AB359" i="8"/>
  <c r="AB360" i="8" s="1"/>
  <c r="T209" i="2"/>
  <c r="W307" i="8"/>
  <c r="W308" i="8" s="1"/>
  <c r="AC339" i="8"/>
  <c r="AC340" i="8" s="1"/>
  <c r="L214" i="2"/>
  <c r="Q362" i="2"/>
  <c r="Q391" i="2" s="1"/>
  <c r="U214" i="2"/>
  <c r="T427" i="8"/>
  <c r="T428" i="8" s="1"/>
  <c r="L208" i="2"/>
  <c r="L28" i="2"/>
  <c r="AD153" i="2"/>
  <c r="AD150" i="2"/>
  <c r="AB371" i="8"/>
  <c r="AB372" i="8" s="1"/>
  <c r="W210" i="2"/>
  <c r="V90" i="2"/>
  <c r="AD351" i="8"/>
  <c r="AD352" i="8" s="1"/>
  <c r="AA34" i="2"/>
  <c r="AB151" i="2"/>
  <c r="M88" i="2"/>
  <c r="X363" i="8"/>
  <c r="X364" i="8" s="1"/>
  <c r="R347" i="8"/>
  <c r="R348" i="8" s="1"/>
  <c r="L307" i="8"/>
  <c r="L308" i="8" s="1"/>
  <c r="P387" i="8"/>
  <c r="P388" i="8" s="1"/>
  <c r="L295" i="8"/>
  <c r="L296" i="8" s="1"/>
  <c r="AB423" i="8"/>
  <c r="AB424" i="8" s="1"/>
  <c r="K295" i="8"/>
  <c r="L616" i="8"/>
  <c r="L617" i="8" s="1"/>
  <c r="V335" i="8"/>
  <c r="V336" i="8" s="1"/>
  <c r="P213" i="2"/>
  <c r="L335" i="2"/>
  <c r="AC149" i="2"/>
  <c r="W339" i="8"/>
  <c r="W340" i="8" s="1"/>
  <c r="N35" i="2"/>
  <c r="O379" i="8"/>
  <c r="O380" i="8" s="1"/>
  <c r="AC207" i="2"/>
  <c r="M718" i="2"/>
  <c r="W407" i="8"/>
  <c r="W408" i="8" s="1"/>
  <c r="AC323" i="8"/>
  <c r="AC324" i="8" s="1"/>
  <c r="T212" i="2"/>
  <c r="U210" i="2"/>
  <c r="AA31" i="2"/>
  <c r="P212" i="2"/>
  <c r="V395" i="8"/>
  <c r="V396" i="8" s="1"/>
  <c r="AD375" i="8"/>
  <c r="AD376" i="8" s="1"/>
  <c r="P367" i="8"/>
  <c r="P368" i="8" s="1"/>
  <c r="M92" i="2"/>
  <c r="K207" i="2"/>
  <c r="K351" i="8"/>
  <c r="M331" i="8"/>
  <c r="M332" i="8" s="1"/>
  <c r="Y147" i="2"/>
  <c r="F1482" i="8"/>
  <c r="AB403" i="8"/>
  <c r="AB404" i="8" s="1"/>
  <c r="O299" i="8"/>
  <c r="O300" i="8" s="1"/>
  <c r="V215" i="2"/>
  <c r="AE407" i="8"/>
  <c r="AE408" i="8" s="1"/>
  <c r="N435" i="8"/>
  <c r="N436" i="8" s="1"/>
  <c r="N352" i="2"/>
  <c r="N828" i="8" s="1"/>
  <c r="N829" i="8" s="1"/>
  <c r="N756" i="8"/>
  <c r="N757" i="8" s="1"/>
  <c r="AB215" i="2"/>
  <c r="P375" i="8"/>
  <c r="P376" i="8" s="1"/>
  <c r="AA407" i="8"/>
  <c r="AA408" i="8" s="1"/>
  <c r="AC387" i="8"/>
  <c r="AC388" i="8" s="1"/>
  <c r="R215" i="2"/>
  <c r="Q29" i="2"/>
  <c r="AE411" i="8"/>
  <c r="AE412" i="8" s="1"/>
  <c r="AB295" i="8"/>
  <c r="AB296" i="8" s="1"/>
  <c r="S319" i="2"/>
  <c r="W90" i="2"/>
  <c r="AE403" i="8"/>
  <c r="AE404" i="8" s="1"/>
  <c r="Q323" i="8"/>
  <c r="Q324" i="8" s="1"/>
  <c r="AB355" i="8"/>
  <c r="AB356" i="8" s="1"/>
  <c r="AE327" i="8"/>
  <c r="AE328" i="8" s="1"/>
  <c r="V30" i="2"/>
  <c r="N152" i="2"/>
  <c r="AB209" i="2"/>
  <c r="AD411" i="8"/>
  <c r="AD412" i="8" s="1"/>
  <c r="AC29" i="2"/>
  <c r="AD91" i="2"/>
  <c r="Z210" i="2"/>
  <c r="AB315" i="8"/>
  <c r="AB316" i="8" s="1"/>
  <c r="AD415" i="8"/>
  <c r="AD416" i="8" s="1"/>
  <c r="AC319" i="8"/>
  <c r="AC320" i="8" s="1"/>
  <c r="AE347" i="8"/>
  <c r="AE348" i="8" s="1"/>
  <c r="AC331" i="8"/>
  <c r="AC332" i="8" s="1"/>
  <c r="AD395" i="8"/>
  <c r="AD396" i="8" s="1"/>
  <c r="U435" i="8"/>
  <c r="U436" i="8" s="1"/>
  <c r="W335" i="8"/>
  <c r="W336" i="8" s="1"/>
  <c r="X311" i="8"/>
  <c r="X312" i="8" s="1"/>
  <c r="Z303" i="8"/>
  <c r="Z304" i="8" s="1"/>
  <c r="Y403" i="8"/>
  <c r="Y404" i="8" s="1"/>
  <c r="N89" i="2"/>
  <c r="V323" i="8"/>
  <c r="V324" i="8" s="1"/>
  <c r="L327" i="8"/>
  <c r="L328" i="8" s="1"/>
  <c r="R210" i="2"/>
  <c r="M363" i="8"/>
  <c r="M364" i="8" s="1"/>
  <c r="U335" i="8"/>
  <c r="U336" i="8" s="1"/>
  <c r="AI47" i="10"/>
  <c r="P399" i="8"/>
  <c r="P400" i="8" s="1"/>
  <c r="P395" i="8"/>
  <c r="P396" i="8" s="1"/>
  <c r="R335" i="8"/>
  <c r="R336" i="8" s="1"/>
  <c r="M355" i="8"/>
  <c r="M356" i="8" s="1"/>
  <c r="K415" i="8"/>
  <c r="V92" i="2"/>
  <c r="R399" i="8"/>
  <c r="R400" i="8" s="1"/>
  <c r="AA271" i="2"/>
  <c r="O210" i="2"/>
  <c r="K327" i="8"/>
  <c r="W92" i="2"/>
  <c r="N776" i="8"/>
  <c r="N777" i="8" s="1"/>
  <c r="O359" i="8"/>
  <c r="O360" i="8" s="1"/>
  <c r="X207" i="2"/>
  <c r="Y339" i="8"/>
  <c r="Y340" i="8" s="1"/>
  <c r="N150" i="2"/>
  <c r="K427" i="8"/>
  <c r="P215" i="2"/>
  <c r="V363" i="8"/>
  <c r="V364" i="8" s="1"/>
  <c r="N207" i="2"/>
  <c r="AE379" i="8"/>
  <c r="AE380" i="8" s="1"/>
  <c r="W93" i="2"/>
  <c r="M347" i="8"/>
  <c r="M348" i="8" s="1"/>
  <c r="Q153" i="2"/>
  <c r="P379" i="8"/>
  <c r="P380" i="8" s="1"/>
  <c r="AE311" i="8"/>
  <c r="AE312" i="8" s="1"/>
  <c r="AB427" i="8"/>
  <c r="AB428" i="8" s="1"/>
  <c r="O88" i="2"/>
  <c r="AC93" i="2"/>
  <c r="L155" i="2"/>
  <c r="N304" i="2"/>
  <c r="Q94" i="2"/>
  <c r="X411" i="8"/>
  <c r="X412" i="8" s="1"/>
  <c r="AB415" i="8"/>
  <c r="AB416" i="8" s="1"/>
  <c r="K307" i="8"/>
  <c r="Q47" i="10"/>
  <c r="Q137" i="5" s="1"/>
  <c r="U95" i="2"/>
  <c r="V303" i="8"/>
  <c r="V304" i="8" s="1"/>
  <c r="S347" i="8"/>
  <c r="S348" i="8" s="1"/>
  <c r="L403" i="8"/>
  <c r="L404" i="8" s="1"/>
  <c r="U92" i="2"/>
  <c r="X351" i="8"/>
  <c r="X352" i="8" s="1"/>
  <c r="M423" i="8"/>
  <c r="M424" i="8" s="1"/>
  <c r="W363" i="8"/>
  <c r="W364" i="8" s="1"/>
  <c r="S301" i="2"/>
  <c r="K435" i="8"/>
  <c r="O31" i="2"/>
  <c r="AC399" i="8"/>
  <c r="AC400" i="8" s="1"/>
  <c r="Q152" i="2"/>
  <c r="W300" i="2"/>
  <c r="AC153" i="2"/>
  <c r="Z423" i="8"/>
  <c r="Z424" i="8" s="1"/>
  <c r="U304" i="2"/>
  <c r="X304" i="2"/>
  <c r="U207" i="2"/>
  <c r="R207" i="2"/>
  <c r="X355" i="8"/>
  <c r="X356" i="8" s="1"/>
  <c r="Z304" i="2"/>
  <c r="Q304" i="2"/>
  <c r="Z300" i="2"/>
  <c r="W213" i="2"/>
  <c r="L304" i="2"/>
  <c r="T88" i="2"/>
  <c r="S300" i="2"/>
  <c r="T415" i="8"/>
  <c r="T416" i="8" s="1"/>
  <c r="L387" i="8"/>
  <c r="L388" i="8" s="1"/>
  <c r="K419" i="8"/>
  <c r="U94" i="2"/>
  <c r="Q214" i="2"/>
  <c r="AD299" i="8"/>
  <c r="AD300" i="8" s="1"/>
  <c r="V47" i="10"/>
  <c r="V137" i="5" s="1"/>
  <c r="T407" i="8"/>
  <c r="T408" i="8" s="1"/>
  <c r="AE423" i="8"/>
  <c r="AE424" i="8" s="1"/>
  <c r="K33" i="2"/>
  <c r="Y327" i="8"/>
  <c r="Y328" i="8" s="1"/>
  <c r="V399" i="8"/>
  <c r="V400" i="8" s="1"/>
  <c r="Z367" i="8"/>
  <c r="Z368" i="8" s="1"/>
  <c r="Q88" i="2"/>
  <c r="N47" i="10"/>
  <c r="N137" i="5" s="1"/>
  <c r="AD27" i="2"/>
  <c r="O95" i="2"/>
  <c r="M359" i="2"/>
  <c r="M376" i="2" s="1"/>
  <c r="N820" i="8"/>
  <c r="N821" i="8" s="1"/>
  <c r="O90" i="2"/>
  <c r="S213" i="2"/>
  <c r="Z295" i="8"/>
  <c r="Z296" i="8" s="1"/>
  <c r="AB387" i="8"/>
  <c r="AB388" i="8" s="1"/>
  <c r="O91" i="2"/>
  <c r="AB214" i="2"/>
  <c r="X387" i="8"/>
  <c r="X388" i="8" s="1"/>
  <c r="AB1458" i="8"/>
  <c r="N359" i="2"/>
  <c r="N856" i="8" s="1"/>
  <c r="N857" i="8" s="1"/>
  <c r="L305" i="2"/>
  <c r="N1204" i="8"/>
  <c r="N1205" i="8" s="1"/>
  <c r="AD148" i="2"/>
  <c r="AD427" i="8"/>
  <c r="AD428" i="8" s="1"/>
  <c r="S315" i="8"/>
  <c r="S316" i="8" s="1"/>
  <c r="T1458" i="8"/>
  <c r="F1457" i="8"/>
  <c r="T34" i="2"/>
  <c r="AC147" i="2"/>
  <c r="S1458" i="8"/>
  <c r="V213" i="2"/>
  <c r="AE718" i="2"/>
  <c r="R1458" i="8"/>
  <c r="AE391" i="8"/>
  <c r="AE392" i="8" s="1"/>
  <c r="AE1458" i="8"/>
  <c r="N335" i="8"/>
  <c r="N336" i="8" s="1"/>
  <c r="AB407" i="8"/>
  <c r="AB408" i="8" s="1"/>
  <c r="V331" i="8"/>
  <c r="V332" i="8" s="1"/>
  <c r="N407" i="8"/>
  <c r="N408" i="8" s="1"/>
  <c r="L213" i="2"/>
  <c r="Y407" i="8"/>
  <c r="Y408" i="8" s="1"/>
  <c r="O30" i="2"/>
  <c r="U331" i="8"/>
  <c r="U332" i="8" s="1"/>
  <c r="F1449" i="8"/>
  <c r="L331" i="8"/>
  <c r="L332" i="8" s="1"/>
  <c r="U211" i="2"/>
  <c r="L335" i="8"/>
  <c r="L336" i="8" s="1"/>
  <c r="Z208" i="2"/>
  <c r="AD419" i="8"/>
  <c r="AD420" i="8" s="1"/>
  <c r="AB28" i="2"/>
  <c r="L259" i="2"/>
  <c r="L258" i="2"/>
  <c r="L31" i="2"/>
  <c r="R419" i="8"/>
  <c r="R420" i="8" s="1"/>
  <c r="AE323" i="8"/>
  <c r="AE324" i="8" s="1"/>
  <c r="Y214" i="2"/>
  <c r="L337" i="2"/>
  <c r="AA213" i="2"/>
  <c r="Y307" i="8"/>
  <c r="Y308" i="8" s="1"/>
  <c r="AC213" i="2"/>
  <c r="N90" i="2"/>
  <c r="L624" i="8"/>
  <c r="L625" i="8" s="1"/>
  <c r="AD355" i="8"/>
  <c r="AD356" i="8" s="1"/>
  <c r="O213" i="2"/>
  <c r="T95" i="2"/>
  <c r="O351" i="8"/>
  <c r="O352" i="8" s="1"/>
  <c r="M1200" i="8"/>
  <c r="M1201" i="8" s="1"/>
  <c r="M820" i="8"/>
  <c r="M821" i="8" s="1"/>
  <c r="O355" i="8"/>
  <c r="O356" i="8" s="1"/>
  <c r="O411" i="8"/>
  <c r="O412" i="8" s="1"/>
  <c r="P208" i="2"/>
  <c r="N149" i="2"/>
  <c r="N816" i="8"/>
  <c r="N817" i="8" s="1"/>
  <c r="M213" i="2"/>
  <c r="P211" i="2"/>
  <c r="P307" i="8"/>
  <c r="P308" i="8" s="1"/>
  <c r="N153" i="2"/>
  <c r="O431" i="8"/>
  <c r="O432" i="8" s="1"/>
  <c r="N359" i="8"/>
  <c r="N360" i="8" s="1"/>
  <c r="M354" i="2"/>
  <c r="M836" i="8" s="1"/>
  <c r="M837" i="8" s="1"/>
  <c r="M352" i="2"/>
  <c r="Z95" i="2"/>
  <c r="M300" i="2"/>
  <c r="T214" i="2"/>
  <c r="O300" i="2"/>
  <c r="V207" i="2"/>
  <c r="X300" i="2"/>
  <c r="T300" i="2"/>
  <c r="AC27" i="2"/>
  <c r="S207" i="2"/>
  <c r="Y347" i="8"/>
  <c r="Y348" i="8" s="1"/>
  <c r="K212" i="2"/>
  <c r="O303" i="8"/>
  <c r="O304" i="8" s="1"/>
  <c r="Q427" i="8"/>
  <c r="Q428" i="8" s="1"/>
  <c r="T331" i="8"/>
  <c r="T332" i="8" s="1"/>
  <c r="R355" i="8"/>
  <c r="R356" i="8" s="1"/>
  <c r="L300" i="2"/>
  <c r="X327" i="8"/>
  <c r="X328" i="8" s="1"/>
  <c r="N355" i="2"/>
  <c r="N840" i="8" s="1"/>
  <c r="N841" i="8" s="1"/>
  <c r="M355" i="2"/>
  <c r="L89" i="2"/>
  <c r="AC300" i="2"/>
  <c r="M353" i="2"/>
  <c r="AC383" i="8"/>
  <c r="AC384" i="8" s="1"/>
  <c r="L90" i="2"/>
  <c r="AB331" i="8"/>
  <c r="AB332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N212" i="2"/>
  <c r="L367" i="8"/>
  <c r="L368" i="8" s="1"/>
  <c r="T419" i="8"/>
  <c r="T420" i="8" s="1"/>
  <c r="AD363" i="8"/>
  <c r="AD364" i="8" s="1"/>
  <c r="Y343" i="8"/>
  <c r="Y344" i="8" s="1"/>
  <c r="L91" i="2"/>
  <c r="Q300" i="2"/>
  <c r="N358" i="2"/>
  <c r="O302" i="2"/>
  <c r="AD300" i="2"/>
  <c r="S215" i="2"/>
  <c r="P304" i="2"/>
  <c r="N353" i="2"/>
  <c r="N832" i="8" s="1"/>
  <c r="N833" i="8" s="1"/>
  <c r="AE371" i="8"/>
  <c r="AE372" i="8" s="1"/>
  <c r="AE303" i="8"/>
  <c r="AE304" i="8" s="1"/>
  <c r="V304" i="2"/>
  <c r="Z375" i="8"/>
  <c r="Z376" i="8" s="1"/>
  <c r="W31" i="2"/>
  <c r="V379" i="8"/>
  <c r="V380" i="8" s="1"/>
  <c r="O319" i="8"/>
  <c r="O320" i="8" s="1"/>
  <c r="N154" i="2"/>
  <c r="X149" i="2"/>
  <c r="L92" i="2"/>
  <c r="M34" i="2"/>
  <c r="AD304" i="2"/>
  <c r="AE300" i="2"/>
  <c r="V305" i="2"/>
  <c r="Y427" i="8"/>
  <c r="Y428" i="8" s="1"/>
  <c r="L358" i="2"/>
  <c r="L852" i="8" s="1"/>
  <c r="L853" i="8" s="1"/>
  <c r="N1176" i="8"/>
  <c r="N1177" i="8" s="1"/>
  <c r="AA300" i="2"/>
  <c r="N300" i="2"/>
  <c r="S47" i="10"/>
  <c r="S137" i="5" s="1"/>
  <c r="M357" i="2"/>
  <c r="N356" i="2"/>
  <c r="N844" i="8" s="1"/>
  <c r="N845" i="8" s="1"/>
  <c r="M211" i="2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A28" i="2"/>
  <c r="V302" i="2"/>
  <c r="L210" i="2"/>
  <c r="AE304" i="2"/>
  <c r="AD718" i="2"/>
  <c r="L33" i="2"/>
  <c r="R47" i="10"/>
  <c r="R137" i="5" s="1"/>
  <c r="Y47" i="10"/>
  <c r="Y137" i="5" s="1"/>
  <c r="X383" i="8"/>
  <c r="X384" i="8" s="1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V300" i="2"/>
  <c r="R304" i="2"/>
  <c r="M303" i="2"/>
  <c r="M760" i="8"/>
  <c r="M761" i="8" s="1"/>
  <c r="AB300" i="2"/>
  <c r="P300" i="2"/>
  <c r="X47" i="10"/>
  <c r="X137" i="5" s="1"/>
  <c r="R208" i="2"/>
  <c r="W33" i="2"/>
  <c r="T351" i="8"/>
  <c r="T352" i="8" s="1"/>
  <c r="N354" i="2"/>
  <c r="N836" i="8" s="1"/>
  <c r="N837" i="8" s="1"/>
  <c r="R300" i="2"/>
  <c r="M356" i="2"/>
  <c r="L353" i="2"/>
  <c r="L832" i="8" s="1"/>
  <c r="L833" i="8" s="1"/>
  <c r="M358" i="2"/>
  <c r="O331" i="8"/>
  <c r="O332" i="8" s="1"/>
  <c r="AE431" i="8"/>
  <c r="AE432" i="8" s="1"/>
  <c r="N349" i="2"/>
  <c r="N824" i="8" s="1"/>
  <c r="N825" i="8" s="1"/>
  <c r="L359" i="8"/>
  <c r="L360" i="8" s="1"/>
  <c r="AC47" i="10"/>
  <c r="AC137" i="5" s="1"/>
  <c r="O211" i="2"/>
  <c r="X210" i="2"/>
  <c r="AC150" i="2"/>
  <c r="T303" i="8"/>
  <c r="T304" i="8" s="1"/>
  <c r="T343" i="8"/>
  <c r="T344" i="8" s="1"/>
  <c r="N31" i="2"/>
  <c r="M302" i="2"/>
  <c r="P303" i="2"/>
  <c r="N302" i="2"/>
  <c r="T47" i="10"/>
  <c r="T137" i="5" s="1"/>
  <c r="T93" i="2"/>
  <c r="P209" i="2"/>
  <c r="L93" i="2"/>
  <c r="V299" i="8"/>
  <c r="V300" i="8" s="1"/>
  <c r="O403" i="8"/>
  <c r="O404" i="8" s="1"/>
  <c r="R363" i="8"/>
  <c r="R364" i="8" s="1"/>
  <c r="R136" i="5"/>
  <c r="R145" i="13" s="1"/>
  <c r="S92" i="2"/>
  <c r="X435" i="8"/>
  <c r="X436" i="8" s="1"/>
  <c r="Q411" i="8"/>
  <c r="Q412" i="8" s="1"/>
  <c r="Z399" i="8"/>
  <c r="Z400" i="8" s="1"/>
  <c r="T435" i="8"/>
  <c r="T436" i="8" s="1"/>
  <c r="S210" i="2"/>
  <c r="N323" i="8"/>
  <c r="N324" i="8" s="1"/>
  <c r="X153" i="2"/>
  <c r="O339" i="8"/>
  <c r="O340" i="8" s="1"/>
  <c r="L323" i="8"/>
  <c r="L324" i="8" s="1"/>
  <c r="Y323" i="8"/>
  <c r="Y324" i="8" s="1"/>
  <c r="K343" i="8"/>
  <c r="O47" i="10"/>
  <c r="O137" i="5" s="1"/>
  <c r="T403" i="8"/>
  <c r="T404" i="8" s="1"/>
  <c r="AC214" i="2"/>
  <c r="AB154" i="2"/>
  <c r="V339" i="8"/>
  <c r="V340" i="8" s="1"/>
  <c r="L303" i="8"/>
  <c r="L304" i="8" s="1"/>
  <c r="L32" i="2"/>
  <c r="U343" i="8"/>
  <c r="U344" i="8" s="1"/>
  <c r="AH47" i="10"/>
  <c r="U89" i="2"/>
  <c r="U300" i="2"/>
  <c r="AB367" i="8"/>
  <c r="AB368" i="8" s="1"/>
  <c r="M303" i="8"/>
  <c r="M304" i="8" s="1"/>
  <c r="M207" i="2"/>
  <c r="N210" i="2"/>
  <c r="X339" i="8"/>
  <c r="X340" i="8" s="1"/>
  <c r="AD343" i="8"/>
  <c r="AD344" i="8" s="1"/>
  <c r="V359" i="8"/>
  <c r="V360" i="8" s="1"/>
  <c r="S302" i="2"/>
  <c r="X423" i="8"/>
  <c r="X424" i="8" s="1"/>
  <c r="AD431" i="8"/>
  <c r="AD432" i="8" s="1"/>
  <c r="R339" i="8"/>
  <c r="R340" i="8" s="1"/>
  <c r="O375" i="8"/>
  <c r="O376" i="8" s="1"/>
  <c r="AC301" i="2"/>
  <c r="AD89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299" i="8"/>
  <c r="M300" i="8" s="1"/>
  <c r="U305" i="2"/>
  <c r="M305" i="2"/>
  <c r="P305" i="2"/>
  <c r="AB305" i="2"/>
  <c r="AA305" i="2"/>
  <c r="O305" i="2"/>
  <c r="N305" i="2"/>
  <c r="Q305" i="2"/>
  <c r="T305" i="2"/>
  <c r="AE305" i="2"/>
  <c r="W305" i="2"/>
  <c r="Z305" i="2"/>
  <c r="S305" i="2"/>
  <c r="Y305" i="2"/>
  <c r="AD47" i="10"/>
  <c r="AD137" i="5" s="1"/>
  <c r="AD136" i="5"/>
  <c r="AD145" i="13" s="1"/>
  <c r="U47" i="10"/>
  <c r="U137" i="5" s="1"/>
  <c r="U136" i="5"/>
  <c r="U145" i="13" s="1"/>
  <c r="S1388" i="8"/>
  <c r="S1389" i="8" s="1"/>
  <c r="S647" i="2"/>
  <c r="S220" i="14" s="1"/>
  <c r="L1388" i="8"/>
  <c r="L1389" i="8" s="1"/>
  <c r="L647" i="2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Y1388" i="8"/>
  <c r="Y1389" i="8" s="1"/>
  <c r="Y647" i="2"/>
  <c r="Q415" i="8"/>
  <c r="Q416" i="8" s="1"/>
  <c r="Q210" i="2"/>
  <c r="M737" i="2"/>
  <c r="M1184" i="8" s="1"/>
  <c r="M1185" i="8" s="1"/>
  <c r="Q1388" i="8"/>
  <c r="Q1389" i="8" s="1"/>
  <c r="Q647" i="2"/>
  <c r="Q220" i="14" s="1"/>
  <c r="AE435" i="8"/>
  <c r="AE436" i="8" s="1"/>
  <c r="AE215" i="2"/>
  <c r="R343" i="8"/>
  <c r="R344" i="8" s="1"/>
  <c r="AB47" i="10"/>
  <c r="AB137" i="5" s="1"/>
  <c r="AB136" i="5"/>
  <c r="AB145" i="13" s="1"/>
  <c r="AE47" i="10"/>
  <c r="AE137" i="5" s="1"/>
  <c r="AE136" i="5"/>
  <c r="AE145" i="13" s="1"/>
  <c r="Z1388" i="8"/>
  <c r="Z1389" i="8" s="1"/>
  <c r="Z647" i="2"/>
  <c r="AA1388" i="8"/>
  <c r="AA1389" i="8" s="1"/>
  <c r="AA647" i="2"/>
  <c r="M800" i="8"/>
  <c r="M801" i="8" s="1"/>
  <c r="O1388" i="8"/>
  <c r="O1389" i="8" s="1"/>
  <c r="O647" i="2"/>
  <c r="AA47" i="10"/>
  <c r="AA137" i="5" s="1"/>
  <c r="AA136" i="5"/>
  <c r="AA145" i="13" s="1"/>
  <c r="X305" i="2"/>
  <c r="AG51" i="10"/>
  <c r="AG57" i="10"/>
  <c r="AG54" i="10"/>
  <c r="AG52" i="10"/>
  <c r="AG58" i="10"/>
  <c r="AG55" i="10"/>
  <c r="AG50" i="10"/>
  <c r="AG53" i="10"/>
  <c r="AG56" i="10"/>
  <c r="AC305" i="2"/>
  <c r="AB155" i="2"/>
  <c r="AB399" i="8"/>
  <c r="AB400" i="8" s="1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Z28" i="2"/>
  <c r="Z299" i="8"/>
  <c r="Z300" i="8" s="1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M1388" i="8"/>
  <c r="M1389" i="8" s="1"/>
  <c r="M647" i="2"/>
  <c r="W1388" i="8"/>
  <c r="W1389" i="8" s="1"/>
  <c r="W647" i="2"/>
  <c r="R1388" i="8"/>
  <c r="R1389" i="8" s="1"/>
  <c r="R647" i="2"/>
  <c r="R220" i="14" s="1"/>
  <c r="T136" i="5"/>
  <c r="T145" i="13" s="1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Q136" i="5"/>
  <c r="Q145" i="13" s="1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E220" i="14" s="1"/>
  <c r="AC1388" i="8"/>
  <c r="AC1389" i="8" s="1"/>
  <c r="AC647" i="2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AB304" i="2"/>
  <c r="AC136" i="5"/>
  <c r="AC145" i="13" s="1"/>
  <c r="Y126" i="5"/>
  <c r="L136" i="5"/>
  <c r="L145" i="13" s="1"/>
  <c r="X136" i="5"/>
  <c r="X145" i="13" s="1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W304" i="2"/>
  <c r="T1388" i="8"/>
  <c r="T1389" i="8" s="1"/>
  <c r="T647" i="2"/>
  <c r="O136" i="5"/>
  <c r="O145" i="13" s="1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V136" i="5"/>
  <c r="V145" i="13" s="1"/>
  <c r="P1388" i="8"/>
  <c r="P1389" i="8" s="1"/>
  <c r="P647" i="2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K47" i="10"/>
  <c r="Y136" i="5"/>
  <c r="Y145" i="13" s="1"/>
  <c r="U1388" i="8"/>
  <c r="U1389" i="8" s="1"/>
  <c r="U647" i="2"/>
  <c r="U220" i="14" s="1"/>
  <c r="M136" i="5"/>
  <c r="M145" i="13" s="1"/>
  <c r="S136" i="5"/>
  <c r="S145" i="13" s="1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L126" i="5"/>
  <c r="N136" i="5"/>
  <c r="N145" i="13" s="1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AG47" i="10"/>
  <c r="P126" i="5"/>
  <c r="Z136" i="5"/>
  <c r="Z145" i="13" s="1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AF47" i="10"/>
  <c r="W47" i="10"/>
  <c r="W137" i="5" s="1"/>
  <c r="AD35" i="2"/>
  <c r="AD327" i="8"/>
  <c r="AD328" i="8" s="1"/>
  <c r="AB1388" i="8"/>
  <c r="AB1389" i="8" s="1"/>
  <c r="AB647" i="2"/>
  <c r="V1388" i="8"/>
  <c r="V1389" i="8" s="1"/>
  <c r="V647" i="2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Y304" i="2"/>
  <c r="P47" i="10"/>
  <c r="P137" i="5" s="1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L1016" i="8"/>
  <c r="L1017" i="8" s="1"/>
  <c r="L735" i="2"/>
  <c r="L258" i="14" s="1"/>
  <c r="L746" i="2"/>
  <c r="AA668" i="2"/>
  <c r="AA269" i="2"/>
  <c r="P153" i="2"/>
  <c r="M214" i="2"/>
  <c r="Z383" i="8"/>
  <c r="Z384" i="8" s="1"/>
  <c r="M301" i="2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X28" i="2"/>
  <c r="X299" i="8"/>
  <c r="X300" i="8" s="1"/>
  <c r="Y419" i="8"/>
  <c r="Y420" i="8" s="1"/>
  <c r="AC211" i="2"/>
  <c r="N307" i="8"/>
  <c r="N308" i="8" s="1"/>
  <c r="Z323" i="8"/>
  <c r="Z324" i="8" s="1"/>
  <c r="AD435" i="8"/>
  <c r="AD436" i="8" s="1"/>
  <c r="M319" i="8"/>
  <c r="M320" i="8" s="1"/>
  <c r="L1004" i="8"/>
  <c r="L1005" i="8" s="1"/>
  <c r="L743" i="2"/>
  <c r="L732" i="2"/>
  <c r="L255" i="14" s="1"/>
  <c r="Z31" i="2"/>
  <c r="Z311" i="8"/>
  <c r="Z312" i="8" s="1"/>
  <c r="O208" i="2"/>
  <c r="AB302" i="2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T304" i="2"/>
  <c r="AC423" i="8"/>
  <c r="AC424" i="8" s="1"/>
  <c r="N295" i="8"/>
  <c r="N296" i="8" s="1"/>
  <c r="W303" i="8"/>
  <c r="W304" i="8" s="1"/>
  <c r="V371" i="8"/>
  <c r="V372" i="8" s="1"/>
  <c r="U208" i="2"/>
  <c r="X303" i="8"/>
  <c r="X304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X315" i="8"/>
  <c r="X316" i="8" s="1"/>
  <c r="X32" i="2"/>
  <c r="Y212" i="2"/>
  <c r="Y423" i="8"/>
  <c r="Y424" i="8" s="1"/>
  <c r="L780" i="8"/>
  <c r="L781" i="8" s="1"/>
  <c r="AB667" i="2"/>
  <c r="AB268" i="2"/>
  <c r="L341" i="2"/>
  <c r="L596" i="8"/>
  <c r="L597" i="8" s="1"/>
  <c r="L330" i="2"/>
  <c r="X27" i="2"/>
  <c r="X295" i="8"/>
  <c r="X296" i="8" s="1"/>
  <c r="U411" i="8"/>
  <c r="U412" i="8" s="1"/>
  <c r="M764" i="8"/>
  <c r="M765" i="8" s="1"/>
  <c r="O32" i="2"/>
  <c r="T32" i="2"/>
  <c r="T315" i="8"/>
  <c r="T316" i="8" s="1"/>
  <c r="O319" i="2"/>
  <c r="O362" i="2"/>
  <c r="O391" i="2" s="1"/>
  <c r="U303" i="2"/>
  <c r="L303" i="2"/>
  <c r="AA303" i="2"/>
  <c r="Q303" i="2"/>
  <c r="AD303" i="2"/>
  <c r="V303" i="2"/>
  <c r="W303" i="2"/>
  <c r="X303" i="2"/>
  <c r="Y303" i="2"/>
  <c r="Z303" i="2"/>
  <c r="AB88" i="2"/>
  <c r="AB335" i="8"/>
  <c r="AB336" i="8" s="1"/>
  <c r="T33" i="2"/>
  <c r="T319" i="8"/>
  <c r="T320" i="8" s="1"/>
  <c r="M772" i="8"/>
  <c r="M773" i="8" s="1"/>
  <c r="X718" i="2"/>
  <c r="X761" i="2"/>
  <c r="X790" i="2" s="1"/>
  <c r="L760" i="8"/>
  <c r="L761" i="8" s="1"/>
  <c r="M780" i="8"/>
  <c r="M781" i="8" s="1"/>
  <c r="AB29" i="2"/>
  <c r="AB303" i="8"/>
  <c r="AB304" i="8" s="1"/>
  <c r="W299" i="8"/>
  <c r="W300" i="8" s="1"/>
  <c r="AC319" i="2"/>
  <c r="AC362" i="2"/>
  <c r="AC391" i="2" s="1"/>
  <c r="N772" i="8"/>
  <c r="N773" i="8" s="1"/>
  <c r="F589" i="8"/>
  <c r="W419" i="8"/>
  <c r="W420" i="8" s="1"/>
  <c r="F593" i="8"/>
  <c r="N1164" i="8"/>
  <c r="N1165" i="8" s="1"/>
  <c r="N768" i="8"/>
  <c r="N769" i="8" s="1"/>
  <c r="AB90" i="2"/>
  <c r="AB343" i="8"/>
  <c r="AB344" i="8" s="1"/>
  <c r="Y148" i="2"/>
  <c r="Q331" i="8"/>
  <c r="Q332" i="8" s="1"/>
  <c r="Z215" i="2"/>
  <c r="N303" i="2"/>
  <c r="S303" i="2"/>
  <c r="AE27" i="2"/>
  <c r="AE295" i="8"/>
  <c r="AE296" i="8" s="1"/>
  <c r="M1164" i="8"/>
  <c r="M1165" i="8" s="1"/>
  <c r="N1172" i="8"/>
  <c r="N1173" i="8" s="1"/>
  <c r="L718" i="2"/>
  <c r="L761" i="2"/>
  <c r="L790" i="2" s="1"/>
  <c r="U302" i="2"/>
  <c r="Z302" i="2"/>
  <c r="AC302" i="2"/>
  <c r="AA302" i="2"/>
  <c r="AD302" i="2"/>
  <c r="L302" i="2"/>
  <c r="X302" i="2"/>
  <c r="Y302" i="2"/>
  <c r="M804" i="8"/>
  <c r="M805" i="8" s="1"/>
  <c r="S208" i="2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Q307" i="8"/>
  <c r="Q308" i="8" s="1"/>
  <c r="AA35" i="2"/>
  <c r="N780" i="8"/>
  <c r="N781" i="8" s="1"/>
  <c r="O303" i="2"/>
  <c r="X34" i="2"/>
  <c r="X323" i="8"/>
  <c r="X324" i="8" s="1"/>
  <c r="L1012" i="8"/>
  <c r="L1013" i="8" s="1"/>
  <c r="L745" i="2"/>
  <c r="L734" i="2"/>
  <c r="L257" i="14" s="1"/>
  <c r="L1000" i="8"/>
  <c r="L1001" i="8" s="1"/>
  <c r="L742" i="2"/>
  <c r="L731" i="2"/>
  <c r="L254" i="14" s="1"/>
  <c r="P301" i="2"/>
  <c r="M1204" i="8"/>
  <c r="M1205" i="8" s="1"/>
  <c r="AA663" i="2"/>
  <c r="AA264" i="2"/>
  <c r="R303" i="2"/>
  <c r="W212" i="2"/>
  <c r="AB327" i="8"/>
  <c r="AB328" i="8" s="1"/>
  <c r="P323" i="8"/>
  <c r="P324" i="8" s="1"/>
  <c r="T303" i="2"/>
  <c r="P27" i="2"/>
  <c r="P295" i="8"/>
  <c r="P296" i="8" s="1"/>
  <c r="M1208" i="8"/>
  <c r="M1209" i="8" s="1"/>
  <c r="M1196" i="8"/>
  <c r="M1197" i="8" s="1"/>
  <c r="R301" i="2"/>
  <c r="P302" i="2"/>
  <c r="M1168" i="8"/>
  <c r="M1169" i="8" s="1"/>
  <c r="AB663" i="2"/>
  <c r="AB264" i="2"/>
  <c r="Q301" i="2"/>
  <c r="AB30" i="2"/>
  <c r="AB307" i="8"/>
  <c r="AB308" i="8" s="1"/>
  <c r="M1216" i="8"/>
  <c r="M1217" i="8" s="1"/>
  <c r="L333" i="2"/>
  <c r="L48" i="14" s="1"/>
  <c r="L608" i="8"/>
  <c r="L609" i="8" s="1"/>
  <c r="L344" i="2"/>
  <c r="AD387" i="8"/>
  <c r="AD388" i="8" s="1"/>
  <c r="Q319" i="8"/>
  <c r="Q320" i="8" s="1"/>
  <c r="L154" i="2"/>
  <c r="X371" i="8"/>
  <c r="X372" i="8" s="1"/>
  <c r="AB301" i="2"/>
  <c r="AA665" i="2"/>
  <c r="AA266" i="2"/>
  <c r="T31" i="2"/>
  <c r="T311" i="8"/>
  <c r="T312" i="8" s="1"/>
  <c r="P31" i="2"/>
  <c r="P311" i="8"/>
  <c r="P312" i="8" s="1"/>
  <c r="R302" i="2"/>
  <c r="L1008" i="8"/>
  <c r="L1009" i="8" s="1"/>
  <c r="L733" i="2"/>
  <c r="L256" i="14" s="1"/>
  <c r="L744" i="2"/>
  <c r="Q302" i="2"/>
  <c r="L1020" i="8"/>
  <c r="L1021" i="8" s="1"/>
  <c r="L736" i="2"/>
  <c r="L259" i="14" s="1"/>
  <c r="L747" i="2"/>
  <c r="K375" i="8"/>
  <c r="Q215" i="2"/>
  <c r="AB266" i="2"/>
  <c r="AB665" i="2"/>
  <c r="AD32" i="2"/>
  <c r="AD315" i="8"/>
  <c r="AD316" i="8" s="1"/>
  <c r="L816" i="8"/>
  <c r="L817" i="8" s="1"/>
  <c r="M756" i="8"/>
  <c r="M757" i="8" s="1"/>
  <c r="M338" i="2"/>
  <c r="M788" i="8" s="1"/>
  <c r="M789" i="8" s="1"/>
  <c r="T35" i="2"/>
  <c r="T327" i="8"/>
  <c r="T328" i="8" s="1"/>
  <c r="M1180" i="8"/>
  <c r="M1181" i="8" s="1"/>
  <c r="Z761" i="2"/>
  <c r="Z790" i="2" s="1"/>
  <c r="Z718" i="2"/>
  <c r="X301" i="2"/>
  <c r="AA301" i="2"/>
  <c r="Z301" i="2"/>
  <c r="U301" i="2"/>
  <c r="Y301" i="2"/>
  <c r="AD301" i="2"/>
  <c r="L301" i="2"/>
  <c r="N301" i="2"/>
  <c r="AA431" i="8"/>
  <c r="AA432" i="8" s="1"/>
  <c r="AA214" i="2"/>
  <c r="AC303" i="2"/>
  <c r="AA667" i="2"/>
  <c r="AA268" i="2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AE303" i="2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M155" i="2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375" i="8"/>
  <c r="M376" i="8" s="1"/>
  <c r="M151" i="2"/>
  <c r="M383" i="8"/>
  <c r="M384" i="8" s="1"/>
  <c r="W148" i="2"/>
  <c r="W371" i="8"/>
  <c r="W372" i="8" s="1"/>
  <c r="D30" i="18" l="1"/>
  <c r="D31" i="18"/>
  <c r="D32" i="18"/>
  <c r="L54" i="17"/>
  <c r="P54" i="17"/>
  <c r="N54" i="17"/>
  <c r="U54" i="17"/>
  <c r="AC54" i="17"/>
  <c r="AA54" i="17"/>
  <c r="AB54" i="17"/>
  <c r="AE54" i="17"/>
  <c r="Y54" i="17"/>
  <c r="M54" i="17"/>
  <c r="R54" i="17"/>
  <c r="Z54" i="17"/>
  <c r="V54" i="17"/>
  <c r="X54" i="17"/>
  <c r="AD54" i="17"/>
  <c r="O54" i="17"/>
  <c r="T54" i="17"/>
  <c r="D16" i="18" s="1"/>
  <c r="W54" i="17"/>
  <c r="S54" i="17"/>
  <c r="Q54" i="17"/>
  <c r="S53" i="17"/>
  <c r="U51" i="17"/>
  <c r="V53" i="17"/>
  <c r="U53" i="17"/>
  <c r="AC646" i="2"/>
  <c r="AC219" i="14" s="1"/>
  <c r="O53" i="17"/>
  <c r="Q53" i="17"/>
  <c r="AE49" i="17"/>
  <c r="AA51" i="17"/>
  <c r="L53" i="17"/>
  <c r="Q50" i="17"/>
  <c r="Q1384" i="8"/>
  <c r="Q1385" i="8" s="1"/>
  <c r="AA1384" i="8"/>
  <c r="AA1385" i="8" s="1"/>
  <c r="X646" i="2"/>
  <c r="X219" i="14" s="1"/>
  <c r="Y53" i="17"/>
  <c r="X52" i="17"/>
  <c r="AB52" i="17"/>
  <c r="AC49" i="17"/>
  <c r="N51" i="17"/>
  <c r="AC50" i="17"/>
  <c r="X53" i="17"/>
  <c r="AD49" i="17"/>
  <c r="AB53" i="17"/>
  <c r="Q49" i="17"/>
  <c r="AD50" i="17"/>
  <c r="U52" i="17"/>
  <c r="R50" i="17"/>
  <c r="Q51" i="17"/>
  <c r="W53" i="17"/>
  <c r="Z50" i="17"/>
  <c r="AB1384" i="8"/>
  <c r="AB1385" i="8" s="1"/>
  <c r="S49" i="17"/>
  <c r="Y49" i="17"/>
  <c r="V50" i="17"/>
  <c r="Y52" i="17"/>
  <c r="V48" i="17"/>
  <c r="AB51" i="17"/>
  <c r="U49" i="17"/>
  <c r="S51" i="17"/>
  <c r="R52" i="17"/>
  <c r="O1384" i="8"/>
  <c r="O1385" i="8" s="1"/>
  <c r="V49" i="17"/>
  <c r="Y51" i="17"/>
  <c r="Z53" i="17"/>
  <c r="S52" i="17"/>
  <c r="T53" i="17"/>
  <c r="AA52" i="17"/>
  <c r="M52" i="17"/>
  <c r="L52" i="17"/>
  <c r="W52" i="17"/>
  <c r="M53" i="17"/>
  <c r="N52" i="17"/>
  <c r="T51" i="17"/>
  <c r="D57" i="18" s="1"/>
  <c r="AC52" i="17"/>
  <c r="U48" i="17"/>
  <c r="O49" i="17"/>
  <c r="T52" i="17"/>
  <c r="Z52" i="17"/>
  <c r="R48" i="17"/>
  <c r="N50" i="17"/>
  <c r="R53" i="17"/>
  <c r="N47" i="17"/>
  <c r="AD52" i="17"/>
  <c r="AC51" i="17"/>
  <c r="AE50" i="17"/>
  <c r="P52" i="17"/>
  <c r="M51" i="17"/>
  <c r="L50" i="17"/>
  <c r="L48" i="17"/>
  <c r="AE53" i="17"/>
  <c r="X49" i="17"/>
  <c r="AE51" i="17"/>
  <c r="O51" i="17"/>
  <c r="V51" i="17"/>
  <c r="L51" i="17"/>
  <c r="W51" i="17"/>
  <c r="P48" i="17"/>
  <c r="AA53" i="17"/>
  <c r="Z48" i="17"/>
  <c r="AA48" i="17"/>
  <c r="AD53" i="17"/>
  <c r="V52" i="17"/>
  <c r="P50" i="17"/>
  <c r="M49" i="17"/>
  <c r="X50" i="17"/>
  <c r="U47" i="17"/>
  <c r="AA47" i="17"/>
  <c r="AE48" i="17"/>
  <c r="Q52" i="17"/>
  <c r="Z51" i="17"/>
  <c r="M50" i="17"/>
  <c r="T49" i="17"/>
  <c r="D54" i="18" s="1"/>
  <c r="W49" i="17"/>
  <c r="AC53" i="17"/>
  <c r="M48" i="17"/>
  <c r="N53" i="17"/>
  <c r="N49" i="17"/>
  <c r="T646" i="2"/>
  <c r="T702" i="2" s="1"/>
  <c r="R51" i="17"/>
  <c r="O52" i="17"/>
  <c r="P51" i="17"/>
  <c r="W50" i="17"/>
  <c r="U50" i="17"/>
  <c r="Y48" i="17"/>
  <c r="Z47" i="17"/>
  <c r="W48" i="17"/>
  <c r="L47" i="17"/>
  <c r="S646" i="2"/>
  <c r="S219" i="14" s="1"/>
  <c r="S230" i="14" s="1"/>
  <c r="AB50" i="17"/>
  <c r="X47" i="17"/>
  <c r="AB49" i="17"/>
  <c r="AD48" i="17"/>
  <c r="N48" i="17"/>
  <c r="O50" i="17"/>
  <c r="P49" i="17"/>
  <c r="T48" i="17"/>
  <c r="D56" i="18" s="1"/>
  <c r="P53" i="17"/>
  <c r="AD51" i="17"/>
  <c r="AE47" i="17"/>
  <c r="M47" i="17"/>
  <c r="R49" i="17"/>
  <c r="S48" i="17"/>
  <c r="AA49" i="17"/>
  <c r="R47" i="17"/>
  <c r="O48" i="17"/>
  <c r="S47" i="17"/>
  <c r="Z49" i="17"/>
  <c r="AB47" i="17"/>
  <c r="AB48" i="17"/>
  <c r="T47" i="17"/>
  <c r="D55" i="18" s="1"/>
  <c r="Q47" i="17"/>
  <c r="AC47" i="17"/>
  <c r="V47" i="17"/>
  <c r="AC48" i="17"/>
  <c r="O47" i="17"/>
  <c r="T50" i="17"/>
  <c r="M646" i="2"/>
  <c r="M219" i="14" s="1"/>
  <c r="Q48" i="17"/>
  <c r="P47" i="17"/>
  <c r="U1384" i="8"/>
  <c r="U1385" i="8" s="1"/>
  <c r="W47" i="17"/>
  <c r="Y50" i="17"/>
  <c r="X51" i="17"/>
  <c r="L49" i="17"/>
  <c r="X48" i="17"/>
  <c r="AD47" i="17"/>
  <c r="AE52" i="17"/>
  <c r="AA50" i="17"/>
  <c r="S50" i="17"/>
  <c r="Y47" i="17"/>
  <c r="R646" i="2"/>
  <c r="R219" i="14" s="1"/>
  <c r="R228" i="14" s="1"/>
  <c r="AE646" i="2"/>
  <c r="AE219" i="14" s="1"/>
  <c r="AE224" i="14" s="1"/>
  <c r="N646" i="2"/>
  <c r="N219" i="14" s="1"/>
  <c r="AD646" i="2"/>
  <c r="AD219" i="14" s="1"/>
  <c r="V646" i="2"/>
  <c r="V219" i="14" s="1"/>
  <c r="M23" i="15"/>
  <c r="L1529" i="8"/>
  <c r="L91" i="15"/>
  <c r="L1527" i="8"/>
  <c r="L81" i="15"/>
  <c r="L1525" i="8"/>
  <c r="L67" i="15"/>
  <c r="M908" i="8"/>
  <c r="M909" i="8" s="1"/>
  <c r="M61" i="15"/>
  <c r="L1538" i="8"/>
  <c r="L1539" i="8" s="1"/>
  <c r="L62" i="15"/>
  <c r="N23" i="15"/>
  <c r="L1523" i="8"/>
  <c r="L57" i="15"/>
  <c r="L1522" i="8"/>
  <c r="L52" i="15"/>
  <c r="L17" i="15"/>
  <c r="L1528" i="8"/>
  <c r="L86" i="15"/>
  <c r="L45" i="14"/>
  <c r="L76" i="15"/>
  <c r="L34" i="15"/>
  <c r="L772" i="8"/>
  <c r="L773" i="8" s="1"/>
  <c r="L356" i="2"/>
  <c r="L844" i="8" s="1"/>
  <c r="L845" i="8" s="1"/>
  <c r="L764" i="8"/>
  <c r="L765" i="8" s="1"/>
  <c r="M119" i="14"/>
  <c r="L354" i="2"/>
  <c r="L836" i="8" s="1"/>
  <c r="L837" i="8" s="1"/>
  <c r="N119" i="14"/>
  <c r="U231" i="14"/>
  <c r="U224" i="14"/>
  <c r="U228" i="14"/>
  <c r="U227" i="14"/>
  <c r="U226" i="14"/>
  <c r="U229" i="14"/>
  <c r="U225" i="14"/>
  <c r="U230" i="14"/>
  <c r="N988" i="8"/>
  <c r="N989" i="8" s="1"/>
  <c r="N220" i="14"/>
  <c r="AD988" i="8"/>
  <c r="AD989" i="8" s="1"/>
  <c r="AD220" i="14"/>
  <c r="AA988" i="8"/>
  <c r="AA989" i="8" s="1"/>
  <c r="AA220" i="14"/>
  <c r="AA224" i="14" s="1"/>
  <c r="L988" i="8"/>
  <c r="L989" i="8" s="1"/>
  <c r="L220" i="14"/>
  <c r="L1526" i="8"/>
  <c r="L1718" i="8"/>
  <c r="P988" i="8"/>
  <c r="P989" i="8" s="1"/>
  <c r="P220" i="14"/>
  <c r="Z988" i="8"/>
  <c r="Z989" i="8" s="1"/>
  <c r="Z220" i="14"/>
  <c r="L359" i="2"/>
  <c r="L856" i="8" s="1"/>
  <c r="L857" i="8" s="1"/>
  <c r="L52" i="14"/>
  <c r="L357" i="2"/>
  <c r="L848" i="8" s="1"/>
  <c r="L849" i="8" s="1"/>
  <c r="L50" i="14"/>
  <c r="X988" i="8"/>
  <c r="X989" i="8" s="1"/>
  <c r="X220" i="14"/>
  <c r="L252" i="14"/>
  <c r="L1152" i="8"/>
  <c r="L1153" i="8" s="1"/>
  <c r="V988" i="8"/>
  <c r="V989" i="8" s="1"/>
  <c r="V220" i="14"/>
  <c r="Y988" i="8"/>
  <c r="Y989" i="8" s="1"/>
  <c r="Y220" i="14"/>
  <c r="AB988" i="8"/>
  <c r="AB989" i="8" s="1"/>
  <c r="AB220" i="14"/>
  <c r="AB231" i="14" s="1"/>
  <c r="Q231" i="14"/>
  <c r="Q229" i="14"/>
  <c r="Q227" i="14"/>
  <c r="Q230" i="14"/>
  <c r="Q224" i="14"/>
  <c r="Q225" i="14"/>
  <c r="Q228" i="14"/>
  <c r="Q226" i="14"/>
  <c r="W988" i="8"/>
  <c r="W989" i="8" s="1"/>
  <c r="W220" i="14"/>
  <c r="T988" i="8"/>
  <c r="T989" i="8" s="1"/>
  <c r="T220" i="14"/>
  <c r="AC988" i="8"/>
  <c r="AC989" i="8" s="1"/>
  <c r="AC220" i="14"/>
  <c r="M988" i="8"/>
  <c r="M989" i="8" s="1"/>
  <c r="M220" i="14"/>
  <c r="O988" i="8"/>
  <c r="O989" i="8" s="1"/>
  <c r="O220" i="14"/>
  <c r="O231" i="14" s="1"/>
  <c r="F689" i="8"/>
  <c r="F661" i="8"/>
  <c r="M664" i="8"/>
  <c r="M665" i="8" s="1"/>
  <c r="U680" i="8"/>
  <c r="U681" i="8" s="1"/>
  <c r="M650" i="2"/>
  <c r="M146" i="13"/>
  <c r="W684" i="8"/>
  <c r="W685" i="8" s="1"/>
  <c r="N650" i="2"/>
  <c r="N146" i="13"/>
  <c r="R668" i="8"/>
  <c r="R669" i="8" s="1"/>
  <c r="X650" i="2"/>
  <c r="X146" i="13"/>
  <c r="N668" i="8"/>
  <c r="N669" i="8" s="1"/>
  <c r="Z672" i="8"/>
  <c r="Z673" i="8" s="1"/>
  <c r="AD676" i="8"/>
  <c r="AD677" i="8" s="1"/>
  <c r="AC684" i="8"/>
  <c r="AC685" i="8" s="1"/>
  <c r="AE684" i="8"/>
  <c r="AE685" i="8" s="1"/>
  <c r="P664" i="8"/>
  <c r="P665" i="8" s="1"/>
  <c r="S650" i="2"/>
  <c r="S146" i="13"/>
  <c r="Q664" i="8"/>
  <c r="Q665" i="8" s="1"/>
  <c r="S664" i="8"/>
  <c r="S665" i="8" s="1"/>
  <c r="W664" i="8"/>
  <c r="W665" i="8" s="1"/>
  <c r="Q650" i="2"/>
  <c r="Q146" i="13"/>
  <c r="L1532" i="8"/>
  <c r="L1533" i="8" s="1"/>
  <c r="AB650" i="2"/>
  <c r="AB146" i="13"/>
  <c r="S684" i="8"/>
  <c r="S685" i="8" s="1"/>
  <c r="AA672" i="8"/>
  <c r="AA673" i="8" s="1"/>
  <c r="W676" i="8"/>
  <c r="W677" i="8" s="1"/>
  <c r="AA650" i="2"/>
  <c r="AA146" i="13"/>
  <c r="AC672" i="8"/>
  <c r="AC673" i="8" s="1"/>
  <c r="AC650" i="2"/>
  <c r="AC146" i="13"/>
  <c r="U672" i="8"/>
  <c r="U673" i="8" s="1"/>
  <c r="T684" i="8"/>
  <c r="T685" i="8" s="1"/>
  <c r="AB664" i="8"/>
  <c r="AB665" i="8" s="1"/>
  <c r="N664" i="8"/>
  <c r="N665" i="8" s="1"/>
  <c r="AD672" i="8"/>
  <c r="AD673" i="8" s="1"/>
  <c r="AE668" i="8"/>
  <c r="AE669" i="8" s="1"/>
  <c r="V676" i="8"/>
  <c r="V677" i="8" s="1"/>
  <c r="L684" i="8"/>
  <c r="L685" i="8" s="1"/>
  <c r="L668" i="8"/>
  <c r="L669" i="8" s="1"/>
  <c r="Q676" i="8"/>
  <c r="Q677" i="8" s="1"/>
  <c r="W650" i="2"/>
  <c r="W146" i="13"/>
  <c r="AE676" i="8"/>
  <c r="AE677" i="8" s="1"/>
  <c r="AD668" i="8"/>
  <c r="AD669" i="8" s="1"/>
  <c r="R672" i="8"/>
  <c r="R673" i="8" s="1"/>
  <c r="T676" i="8"/>
  <c r="T677" i="8" s="1"/>
  <c r="AA676" i="8"/>
  <c r="AA677" i="8" s="1"/>
  <c r="M668" i="8"/>
  <c r="M669" i="8" s="1"/>
  <c r="Q684" i="8"/>
  <c r="Q685" i="8" s="1"/>
  <c r="T650" i="2"/>
  <c r="T146" i="13"/>
  <c r="Y650" i="2"/>
  <c r="Y146" i="13"/>
  <c r="AA664" i="8"/>
  <c r="AA665" i="8" s="1"/>
  <c r="L680" i="8"/>
  <c r="L681" i="8" s="1"/>
  <c r="R650" i="2"/>
  <c r="R146" i="13"/>
  <c r="Z684" i="8"/>
  <c r="Z685" i="8" s="1"/>
  <c r="N672" i="8"/>
  <c r="N673" i="8" s="1"/>
  <c r="U668" i="8"/>
  <c r="U669" i="8" s="1"/>
  <c r="U676" i="8"/>
  <c r="U677" i="8" s="1"/>
  <c r="O680" i="8"/>
  <c r="O681" i="8" s="1"/>
  <c r="W680" i="8"/>
  <c r="W681" i="8" s="1"/>
  <c r="O684" i="8"/>
  <c r="O685" i="8" s="1"/>
  <c r="S672" i="8"/>
  <c r="S673" i="8" s="1"/>
  <c r="P676" i="8"/>
  <c r="P677" i="8" s="1"/>
  <c r="R680" i="8"/>
  <c r="R681" i="8" s="1"/>
  <c r="V680" i="8"/>
  <c r="V681" i="8" s="1"/>
  <c r="AC664" i="8"/>
  <c r="AC665" i="8" s="1"/>
  <c r="Z664" i="8"/>
  <c r="Z665" i="8" s="1"/>
  <c r="X676" i="8"/>
  <c r="X677" i="8" s="1"/>
  <c r="AA680" i="8"/>
  <c r="AA681" i="8" s="1"/>
  <c r="Y668" i="8"/>
  <c r="Y669" i="8" s="1"/>
  <c r="T668" i="8"/>
  <c r="T669" i="8" s="1"/>
  <c r="AB680" i="8"/>
  <c r="AB681" i="8" s="1"/>
  <c r="Z668" i="8"/>
  <c r="Z669" i="8" s="1"/>
  <c r="O676" i="8"/>
  <c r="O677" i="8" s="1"/>
  <c r="M680" i="8"/>
  <c r="M681" i="8" s="1"/>
  <c r="AA684" i="8"/>
  <c r="AA685" i="8" s="1"/>
  <c r="M672" i="8"/>
  <c r="M673" i="8" s="1"/>
  <c r="V664" i="8"/>
  <c r="V665" i="8" s="1"/>
  <c r="Q680" i="8"/>
  <c r="Q681" i="8" s="1"/>
  <c r="S668" i="8"/>
  <c r="S669" i="8" s="1"/>
  <c r="N680" i="8"/>
  <c r="N681" i="8" s="1"/>
  <c r="AC676" i="8"/>
  <c r="AC677" i="8" s="1"/>
  <c r="AD684" i="8"/>
  <c r="AD685" i="8" s="1"/>
  <c r="AC680" i="8"/>
  <c r="AC681" i="8" s="1"/>
  <c r="AC668" i="8"/>
  <c r="AC669" i="8" s="1"/>
  <c r="N684" i="8"/>
  <c r="N685" i="8" s="1"/>
  <c r="M676" i="8"/>
  <c r="M677" i="8" s="1"/>
  <c r="AA668" i="8"/>
  <c r="AA669" i="8" s="1"/>
  <c r="Q668" i="8"/>
  <c r="Q669" i="8" s="1"/>
  <c r="R676" i="8"/>
  <c r="R677" i="8" s="1"/>
  <c r="AB672" i="8"/>
  <c r="AB673" i="8" s="1"/>
  <c r="Z650" i="2"/>
  <c r="Z146" i="13"/>
  <c r="AB684" i="8"/>
  <c r="AB685" i="8" s="1"/>
  <c r="O668" i="8"/>
  <c r="O669" i="8" s="1"/>
  <c r="AE680" i="8"/>
  <c r="AE681" i="8" s="1"/>
  <c r="V684" i="8"/>
  <c r="V685" i="8" s="1"/>
  <c r="T664" i="8"/>
  <c r="T665" i="8" s="1"/>
  <c r="Z680" i="8"/>
  <c r="Z681" i="8" s="1"/>
  <c r="X668" i="8"/>
  <c r="X669" i="8" s="1"/>
  <c r="U650" i="2"/>
  <c r="U146" i="13"/>
  <c r="P684" i="8"/>
  <c r="P685" i="8" s="1"/>
  <c r="AE664" i="8"/>
  <c r="AE665" i="8" s="1"/>
  <c r="X664" i="8"/>
  <c r="X665" i="8" s="1"/>
  <c r="V650" i="2"/>
  <c r="V146" i="13"/>
  <c r="L650" i="2"/>
  <c r="L146" i="13"/>
  <c r="Q672" i="8"/>
  <c r="Q673" i="8" s="1"/>
  <c r="O672" i="8"/>
  <c r="O673" i="8" s="1"/>
  <c r="L676" i="8"/>
  <c r="L677" i="8" s="1"/>
  <c r="Y672" i="8"/>
  <c r="Y673" i="8" s="1"/>
  <c r="M684" i="8"/>
  <c r="M685" i="8" s="1"/>
  <c r="O650" i="2"/>
  <c r="O146" i="13"/>
  <c r="R664" i="8"/>
  <c r="R665" i="8" s="1"/>
  <c r="V672" i="8"/>
  <c r="V673" i="8" s="1"/>
  <c r="AD680" i="8"/>
  <c r="AD681" i="8" s="1"/>
  <c r="P680" i="8"/>
  <c r="P681" i="8" s="1"/>
  <c r="AD664" i="8"/>
  <c r="AD665" i="8" s="1"/>
  <c r="U664" i="8"/>
  <c r="U665" i="8" s="1"/>
  <c r="AB668" i="8"/>
  <c r="AB669" i="8" s="1"/>
  <c r="V668" i="8"/>
  <c r="V669" i="8" s="1"/>
  <c r="X672" i="8"/>
  <c r="X673" i="8" s="1"/>
  <c r="S676" i="8"/>
  <c r="S677" i="8" s="1"/>
  <c r="Z676" i="8"/>
  <c r="Z677" i="8" s="1"/>
  <c r="P650" i="2"/>
  <c r="P146" i="13"/>
  <c r="AE650" i="2"/>
  <c r="AE146" i="13"/>
  <c r="AD650" i="2"/>
  <c r="AD146" i="13"/>
  <c r="U684" i="8"/>
  <c r="U685" i="8" s="1"/>
  <c r="O664" i="8"/>
  <c r="O665" i="8" s="1"/>
  <c r="P672" i="8"/>
  <c r="P673" i="8" s="1"/>
  <c r="P668" i="8"/>
  <c r="P669" i="8" s="1"/>
  <c r="L672" i="8"/>
  <c r="L673" i="8" s="1"/>
  <c r="N676" i="8"/>
  <c r="N677" i="8" s="1"/>
  <c r="Y676" i="8"/>
  <c r="Y677" i="8" s="1"/>
  <c r="T680" i="8"/>
  <c r="T681" i="8" s="1"/>
  <c r="Y680" i="8"/>
  <c r="Y681" i="8" s="1"/>
  <c r="X684" i="8"/>
  <c r="X685" i="8" s="1"/>
  <c r="Y684" i="8"/>
  <c r="Y685" i="8" s="1"/>
  <c r="L664" i="8"/>
  <c r="L665" i="8" s="1"/>
  <c r="X680" i="8"/>
  <c r="X681" i="8" s="1"/>
  <c r="L1535" i="8"/>
  <c r="L1536" i="8" s="1"/>
  <c r="L1524" i="8"/>
  <c r="L1541" i="8"/>
  <c r="L1542" i="8" s="1"/>
  <c r="L776" i="8"/>
  <c r="L777" i="8" s="1"/>
  <c r="M856" i="8"/>
  <c r="M857" i="8" s="1"/>
  <c r="L784" i="8"/>
  <c r="L785" i="8" s="1"/>
  <c r="F1458" i="8"/>
  <c r="N376" i="2"/>
  <c r="N852" i="8"/>
  <c r="N853" i="8" s="1"/>
  <c r="M840" i="8"/>
  <c r="M841" i="8" s="1"/>
  <c r="M382" i="2"/>
  <c r="N378" i="2"/>
  <c r="M375" i="2"/>
  <c r="M848" i="8"/>
  <c r="M849" i="8" s="1"/>
  <c r="M852" i="8"/>
  <c r="M853" i="8" s="1"/>
  <c r="N382" i="2"/>
  <c r="M844" i="8"/>
  <c r="M845" i="8" s="1"/>
  <c r="M832" i="8"/>
  <c r="M833" i="8" s="1"/>
  <c r="L355" i="2"/>
  <c r="L352" i="2"/>
  <c r="AB701" i="2"/>
  <c r="F436" i="8"/>
  <c r="F404" i="8"/>
  <c r="F428" i="8"/>
  <c r="O701" i="2"/>
  <c r="F412" i="8"/>
  <c r="N1404" i="8"/>
  <c r="N1405" i="8" s="1"/>
  <c r="N419" i="2"/>
  <c r="N479" i="2"/>
  <c r="N599" i="2"/>
  <c r="N539" i="2"/>
  <c r="T1412" i="8"/>
  <c r="T1413" i="8" s="1"/>
  <c r="T481" i="2"/>
  <c r="T541" i="2"/>
  <c r="T421" i="2"/>
  <c r="T601" i="2"/>
  <c r="AB1400" i="8"/>
  <c r="AB1401" i="8" s="1"/>
  <c r="AB538" i="2"/>
  <c r="AB478" i="2"/>
  <c r="AB598" i="2"/>
  <c r="AB418" i="2"/>
  <c r="U704" i="2"/>
  <c r="U988" i="8"/>
  <c r="U989" i="8" s="1"/>
  <c r="U1396" i="8"/>
  <c r="U1397" i="8" s="1"/>
  <c r="U477" i="2"/>
  <c r="U597" i="2"/>
  <c r="U537" i="2"/>
  <c r="U417" i="2"/>
  <c r="Q1392" i="8"/>
  <c r="Q1393" i="8" s="1"/>
  <c r="Q596" i="2"/>
  <c r="Q476" i="2"/>
  <c r="Q416" i="2"/>
  <c r="Q536" i="2"/>
  <c r="AE1392" i="8"/>
  <c r="AE1393" i="8" s="1"/>
  <c r="AE476" i="2"/>
  <c r="AE416" i="2"/>
  <c r="AE596" i="2"/>
  <c r="AE536" i="2"/>
  <c r="R1424" i="8"/>
  <c r="R1425" i="8" s="1"/>
  <c r="R544" i="2"/>
  <c r="R484" i="2"/>
  <c r="R604" i="2"/>
  <c r="R424" i="2"/>
  <c r="P1396" i="8"/>
  <c r="P1397" i="8" s="1"/>
  <c r="P477" i="2"/>
  <c r="P417" i="2"/>
  <c r="P597" i="2"/>
  <c r="P537" i="2"/>
  <c r="Y1412" i="8"/>
  <c r="Y1413" i="8" s="1"/>
  <c r="Y421" i="2"/>
  <c r="Y601" i="2"/>
  <c r="Y481" i="2"/>
  <c r="Y541" i="2"/>
  <c r="AD1424" i="8"/>
  <c r="AD1425" i="8" s="1"/>
  <c r="AD484" i="2"/>
  <c r="AD424" i="2"/>
  <c r="AD604" i="2"/>
  <c r="AD544" i="2"/>
  <c r="G654" i="2"/>
  <c r="G255" i="2"/>
  <c r="W1396" i="8"/>
  <c r="W1397" i="8" s="1"/>
  <c r="W477" i="2"/>
  <c r="W597" i="2"/>
  <c r="W417" i="2"/>
  <c r="W537" i="2"/>
  <c r="Z1384" i="8"/>
  <c r="Z1385" i="8" s="1"/>
  <c r="Z646" i="2"/>
  <c r="Z219" i="14" s="1"/>
  <c r="AA701" i="2"/>
  <c r="N1416" i="8"/>
  <c r="N1417" i="8" s="1"/>
  <c r="N422" i="2"/>
  <c r="N602" i="2"/>
  <c r="N482" i="2"/>
  <c r="N542" i="2"/>
  <c r="T1424" i="8"/>
  <c r="T1425" i="8" s="1"/>
  <c r="T544" i="2"/>
  <c r="T604" i="2"/>
  <c r="T484" i="2"/>
  <c r="T424" i="2"/>
  <c r="AB1412" i="8"/>
  <c r="AB1413" i="8" s="1"/>
  <c r="AB601" i="2"/>
  <c r="AB421" i="2"/>
  <c r="AB541" i="2"/>
  <c r="AB481" i="2"/>
  <c r="U1392" i="8"/>
  <c r="U1393" i="8" s="1"/>
  <c r="U596" i="2"/>
  <c r="U416" i="2"/>
  <c r="U476" i="2"/>
  <c r="U536" i="2"/>
  <c r="Q1404" i="8"/>
  <c r="Q1405" i="8" s="1"/>
  <c r="Q599" i="2"/>
  <c r="Q419" i="2"/>
  <c r="Q479" i="2"/>
  <c r="Q539" i="2"/>
  <c r="AE1404" i="8"/>
  <c r="AE1405" i="8" s="1"/>
  <c r="AE419" i="2"/>
  <c r="AE479" i="2"/>
  <c r="AE539" i="2"/>
  <c r="AE599" i="2"/>
  <c r="R1400" i="8"/>
  <c r="R1401" i="8" s="1"/>
  <c r="R598" i="2"/>
  <c r="R478" i="2"/>
  <c r="R538" i="2"/>
  <c r="R418" i="2"/>
  <c r="P1408" i="8"/>
  <c r="P1409" i="8" s="1"/>
  <c r="P420" i="2"/>
  <c r="P540" i="2"/>
  <c r="P480" i="2"/>
  <c r="P600" i="2"/>
  <c r="S1400" i="8"/>
  <c r="S1401" i="8" s="1"/>
  <c r="S478" i="2"/>
  <c r="S418" i="2"/>
  <c r="S598" i="2"/>
  <c r="S538" i="2"/>
  <c r="L1408" i="8"/>
  <c r="L1409" i="8" s="1"/>
  <c r="L420" i="2"/>
  <c r="L480" i="2"/>
  <c r="L600" i="2"/>
  <c r="L540" i="2"/>
  <c r="AD1396" i="8"/>
  <c r="AD1397" i="8" s="1"/>
  <c r="AD477" i="2"/>
  <c r="AD537" i="2"/>
  <c r="AD597" i="2"/>
  <c r="AD417" i="2"/>
  <c r="G257" i="2"/>
  <c r="G656" i="2"/>
  <c r="W1404" i="8"/>
  <c r="W1405" i="8" s="1"/>
  <c r="W479" i="2"/>
  <c r="W419" i="2"/>
  <c r="W599" i="2"/>
  <c r="W539" i="2"/>
  <c r="Z1420" i="8"/>
  <c r="Z1421" i="8" s="1"/>
  <c r="Z483" i="2"/>
  <c r="Z423" i="2"/>
  <c r="Z543" i="2"/>
  <c r="Z603" i="2"/>
  <c r="U1404" i="8"/>
  <c r="U1405" i="8" s="1"/>
  <c r="U479" i="2"/>
  <c r="U419" i="2"/>
  <c r="U539" i="2"/>
  <c r="U599" i="2"/>
  <c r="AE1412" i="8"/>
  <c r="AE1413" i="8" s="1"/>
  <c r="AE541" i="2"/>
  <c r="AE421" i="2"/>
  <c r="AE481" i="2"/>
  <c r="AE601" i="2"/>
  <c r="X1396" i="8"/>
  <c r="X1397" i="8" s="1"/>
  <c r="X417" i="2"/>
  <c r="X477" i="2"/>
  <c r="X597" i="2"/>
  <c r="X537" i="2"/>
  <c r="R1396" i="8"/>
  <c r="R1397" i="8" s="1"/>
  <c r="R477" i="2"/>
  <c r="R597" i="2"/>
  <c r="R537" i="2"/>
  <c r="R417" i="2"/>
  <c r="P1420" i="8"/>
  <c r="P1421" i="8" s="1"/>
  <c r="P423" i="2"/>
  <c r="P603" i="2"/>
  <c r="P483" i="2"/>
  <c r="P543" i="2"/>
  <c r="W1416" i="8"/>
  <c r="W1417" i="8" s="1"/>
  <c r="W542" i="2"/>
  <c r="W422" i="2"/>
  <c r="W602" i="2"/>
  <c r="W482" i="2"/>
  <c r="Z1396" i="8"/>
  <c r="Z1397" i="8" s="1"/>
  <c r="Z477" i="2"/>
  <c r="Z597" i="2"/>
  <c r="Z417" i="2"/>
  <c r="Z537" i="2"/>
  <c r="F304" i="8"/>
  <c r="N1412" i="8"/>
  <c r="N1413" i="8" s="1"/>
  <c r="N421" i="2"/>
  <c r="N541" i="2"/>
  <c r="N481" i="2"/>
  <c r="N601" i="2"/>
  <c r="T1408" i="8"/>
  <c r="T1409" i="8" s="1"/>
  <c r="T480" i="2"/>
  <c r="T540" i="2"/>
  <c r="T420" i="2"/>
  <c r="T600" i="2"/>
  <c r="AB1420" i="8"/>
  <c r="AB1421" i="8" s="1"/>
  <c r="AB603" i="2"/>
  <c r="AB543" i="2"/>
  <c r="AB483" i="2"/>
  <c r="AB423" i="2"/>
  <c r="O1416" i="8"/>
  <c r="O1417" i="8" s="1"/>
  <c r="O422" i="2"/>
  <c r="O482" i="2"/>
  <c r="O602" i="2"/>
  <c r="O542" i="2"/>
  <c r="U1416" i="8"/>
  <c r="U1417" i="8" s="1"/>
  <c r="U422" i="2"/>
  <c r="U482" i="2"/>
  <c r="U542" i="2"/>
  <c r="U602" i="2"/>
  <c r="Q1424" i="8"/>
  <c r="Q1425" i="8" s="1"/>
  <c r="Q544" i="2"/>
  <c r="Q484" i="2"/>
  <c r="Q424" i="2"/>
  <c r="Q604" i="2"/>
  <c r="AE1424" i="8"/>
  <c r="AE1425" i="8" s="1"/>
  <c r="AE424" i="2"/>
  <c r="AE544" i="2"/>
  <c r="AE484" i="2"/>
  <c r="AE604" i="2"/>
  <c r="X1404" i="8"/>
  <c r="X1405" i="8" s="1"/>
  <c r="X419" i="2"/>
  <c r="X539" i="2"/>
  <c r="X479" i="2"/>
  <c r="X599" i="2"/>
  <c r="R1408" i="8"/>
  <c r="R1409" i="8" s="1"/>
  <c r="R600" i="2"/>
  <c r="R540" i="2"/>
  <c r="R480" i="2"/>
  <c r="R420" i="2"/>
  <c r="P1400" i="8"/>
  <c r="P1401" i="8" s="1"/>
  <c r="P478" i="2"/>
  <c r="P538" i="2"/>
  <c r="P598" i="2"/>
  <c r="P418" i="2"/>
  <c r="S1408" i="8"/>
  <c r="S1409" i="8" s="1"/>
  <c r="S480" i="2"/>
  <c r="S420" i="2"/>
  <c r="S540" i="2"/>
  <c r="S600" i="2"/>
  <c r="L1396" i="8"/>
  <c r="L1397" i="8" s="1"/>
  <c r="L477" i="2"/>
  <c r="L417" i="2"/>
  <c r="L597" i="2"/>
  <c r="L537" i="2"/>
  <c r="AD1420" i="8"/>
  <c r="AD1421" i="8" s="1"/>
  <c r="AD483" i="2"/>
  <c r="AD543" i="2"/>
  <c r="AD603" i="2"/>
  <c r="AD423" i="2"/>
  <c r="G653" i="2"/>
  <c r="G254" i="2"/>
  <c r="W1392" i="8"/>
  <c r="W1393" i="8" s="1"/>
  <c r="W596" i="2"/>
  <c r="W536" i="2"/>
  <c r="W416" i="2"/>
  <c r="W476" i="2"/>
  <c r="Z1408" i="8"/>
  <c r="Z1409" i="8" s="1"/>
  <c r="Z600" i="2"/>
  <c r="Z480" i="2"/>
  <c r="Z540" i="2"/>
  <c r="Z420" i="2"/>
  <c r="N1424" i="8"/>
  <c r="N1425" i="8" s="1"/>
  <c r="N544" i="2"/>
  <c r="N424" i="2"/>
  <c r="N484" i="2"/>
  <c r="N604" i="2"/>
  <c r="T1420" i="8"/>
  <c r="T1421" i="8" s="1"/>
  <c r="T423" i="2"/>
  <c r="T483" i="2"/>
  <c r="T543" i="2"/>
  <c r="T603" i="2"/>
  <c r="O1392" i="8"/>
  <c r="O1393" i="8" s="1"/>
  <c r="O416" i="2"/>
  <c r="O596" i="2"/>
  <c r="O476" i="2"/>
  <c r="O536" i="2"/>
  <c r="U1412" i="8"/>
  <c r="U1413" i="8" s="1"/>
  <c r="U541" i="2"/>
  <c r="U421" i="2"/>
  <c r="U601" i="2"/>
  <c r="U481" i="2"/>
  <c r="Q1400" i="8"/>
  <c r="Q1401" i="8" s="1"/>
  <c r="Q478" i="2"/>
  <c r="Q598" i="2"/>
  <c r="Q418" i="2"/>
  <c r="Q538" i="2"/>
  <c r="V1400" i="8"/>
  <c r="V1401" i="8" s="1"/>
  <c r="V538" i="2"/>
  <c r="V598" i="2"/>
  <c r="V478" i="2"/>
  <c r="V418" i="2"/>
  <c r="AE1400" i="8"/>
  <c r="AE1401" i="8" s="1"/>
  <c r="AE418" i="2"/>
  <c r="AE478" i="2"/>
  <c r="AE598" i="2"/>
  <c r="AE538" i="2"/>
  <c r="X1416" i="8"/>
  <c r="X1417" i="8" s="1"/>
  <c r="X422" i="2"/>
  <c r="X482" i="2"/>
  <c r="X542" i="2"/>
  <c r="X602" i="2"/>
  <c r="R1420" i="8"/>
  <c r="R1421" i="8" s="1"/>
  <c r="R543" i="2"/>
  <c r="R483" i="2"/>
  <c r="R603" i="2"/>
  <c r="R423" i="2"/>
  <c r="S1420" i="8"/>
  <c r="S1421" i="8" s="1"/>
  <c r="S603" i="2"/>
  <c r="S483" i="2"/>
  <c r="S423" i="2"/>
  <c r="S543" i="2"/>
  <c r="L1404" i="8"/>
  <c r="L1405" i="8" s="1"/>
  <c r="L539" i="2"/>
  <c r="L479" i="2"/>
  <c r="L419" i="2"/>
  <c r="L599" i="2"/>
  <c r="AD1400" i="8"/>
  <c r="AD1401" i="8" s="1"/>
  <c r="AD478" i="2"/>
  <c r="AD538" i="2"/>
  <c r="AD598" i="2"/>
  <c r="AD418" i="2"/>
  <c r="W1424" i="8"/>
  <c r="W1425" i="8" s="1"/>
  <c r="W604" i="2"/>
  <c r="W484" i="2"/>
  <c r="W424" i="2"/>
  <c r="W544" i="2"/>
  <c r="Q698" i="2"/>
  <c r="Q988" i="8"/>
  <c r="Q989" i="8" s="1"/>
  <c r="Z1404" i="8"/>
  <c r="Z1405" i="8" s="1"/>
  <c r="Z479" i="2"/>
  <c r="Z599" i="2"/>
  <c r="Z539" i="2"/>
  <c r="Z419" i="2"/>
  <c r="T1400" i="8"/>
  <c r="T1401" i="8" s="1"/>
  <c r="T418" i="2"/>
  <c r="T478" i="2"/>
  <c r="T598" i="2"/>
  <c r="T538" i="2"/>
  <c r="T1396" i="8"/>
  <c r="T1397" i="8" s="1"/>
  <c r="T477" i="2"/>
  <c r="T417" i="2"/>
  <c r="T597" i="2"/>
  <c r="T537" i="2"/>
  <c r="O1400" i="8"/>
  <c r="O1401" i="8" s="1"/>
  <c r="O478" i="2"/>
  <c r="O598" i="2"/>
  <c r="O538" i="2"/>
  <c r="O418" i="2"/>
  <c r="Q1396" i="8"/>
  <c r="Q1397" i="8" s="1"/>
  <c r="Q417" i="2"/>
  <c r="Q597" i="2"/>
  <c r="Q477" i="2"/>
  <c r="Q537" i="2"/>
  <c r="X1392" i="8"/>
  <c r="X1393" i="8" s="1"/>
  <c r="X596" i="2"/>
  <c r="X536" i="2"/>
  <c r="X476" i="2"/>
  <c r="X416" i="2"/>
  <c r="R1416" i="8"/>
  <c r="R1417" i="8" s="1"/>
  <c r="R602" i="2"/>
  <c r="R542" i="2"/>
  <c r="R482" i="2"/>
  <c r="R422" i="2"/>
  <c r="S1424" i="8"/>
  <c r="S1425" i="8" s="1"/>
  <c r="S604" i="2"/>
  <c r="S484" i="2"/>
  <c r="S544" i="2"/>
  <c r="S424" i="2"/>
  <c r="Z1416" i="8"/>
  <c r="Z1417" i="8" s="1"/>
  <c r="Z482" i="2"/>
  <c r="Z602" i="2"/>
  <c r="Z542" i="2"/>
  <c r="Z422" i="2"/>
  <c r="M1396" i="8"/>
  <c r="M1397" i="8" s="1"/>
  <c r="M417" i="2"/>
  <c r="M477" i="2"/>
  <c r="M537" i="2"/>
  <c r="M597" i="2"/>
  <c r="AA1396" i="8"/>
  <c r="AA1397" i="8" s="1"/>
  <c r="AA477" i="2"/>
  <c r="AA597" i="2"/>
  <c r="AA417" i="2"/>
  <c r="AA537" i="2"/>
  <c r="N1396" i="8"/>
  <c r="N1397" i="8" s="1"/>
  <c r="N417" i="2"/>
  <c r="N477" i="2"/>
  <c r="N537" i="2"/>
  <c r="N597" i="2"/>
  <c r="T1392" i="8"/>
  <c r="T1393" i="8" s="1"/>
  <c r="T476" i="2"/>
  <c r="T416" i="2"/>
  <c r="T596" i="2"/>
  <c r="T536" i="2"/>
  <c r="Q984" i="8"/>
  <c r="Q985" i="8" s="1"/>
  <c r="Q700" i="2"/>
  <c r="Q699" i="2"/>
  <c r="Q703" i="2"/>
  <c r="Q702" i="2"/>
  <c r="Q704" i="2"/>
  <c r="Q705" i="2"/>
  <c r="O1412" i="8"/>
  <c r="O1413" i="8" s="1"/>
  <c r="O481" i="2"/>
  <c r="O601" i="2"/>
  <c r="O541" i="2"/>
  <c r="O421" i="2"/>
  <c r="AC1404" i="8"/>
  <c r="AC1405" i="8" s="1"/>
  <c r="AC419" i="2"/>
  <c r="AC599" i="2"/>
  <c r="AC479" i="2"/>
  <c r="AC539" i="2"/>
  <c r="Q1408" i="8"/>
  <c r="Q1409" i="8" s="1"/>
  <c r="Q600" i="2"/>
  <c r="Q480" i="2"/>
  <c r="Q540" i="2"/>
  <c r="Q420" i="2"/>
  <c r="V1424" i="8"/>
  <c r="V1425" i="8" s="1"/>
  <c r="V544" i="2"/>
  <c r="V484" i="2"/>
  <c r="V424" i="2"/>
  <c r="V604" i="2"/>
  <c r="AE1408" i="8"/>
  <c r="AE1409" i="8" s="1"/>
  <c r="AE420" i="2"/>
  <c r="AE480" i="2"/>
  <c r="AE600" i="2"/>
  <c r="AE540" i="2"/>
  <c r="X1420" i="8"/>
  <c r="X1421" i="8" s="1"/>
  <c r="X423" i="2"/>
  <c r="X603" i="2"/>
  <c r="X543" i="2"/>
  <c r="X483" i="2"/>
  <c r="L808" i="8"/>
  <c r="L809" i="8" s="1"/>
  <c r="Y1420" i="8"/>
  <c r="Y1421" i="8" s="1"/>
  <c r="Y543" i="2"/>
  <c r="Y423" i="2"/>
  <c r="Y603" i="2"/>
  <c r="Y483" i="2"/>
  <c r="S1392" i="8"/>
  <c r="S1393" i="8" s="1"/>
  <c r="S476" i="2"/>
  <c r="S536" i="2"/>
  <c r="S416" i="2"/>
  <c r="S596" i="2"/>
  <c r="L1392" i="8"/>
  <c r="L1393" i="8" s="1"/>
  <c r="L416" i="2"/>
  <c r="L596" i="2"/>
  <c r="L536" i="2"/>
  <c r="L476" i="2"/>
  <c r="R988" i="8"/>
  <c r="R989" i="8" s="1"/>
  <c r="Z1392" i="8"/>
  <c r="Z1393" i="8" s="1"/>
  <c r="Z476" i="2"/>
  <c r="Z416" i="2"/>
  <c r="Z536" i="2"/>
  <c r="Z596" i="2"/>
  <c r="F1389" i="8"/>
  <c r="G253" i="2"/>
  <c r="G652" i="2"/>
  <c r="AA1420" i="8"/>
  <c r="AA1421" i="8" s="1"/>
  <c r="AA483" i="2"/>
  <c r="AA543" i="2"/>
  <c r="AA423" i="2"/>
  <c r="AA603" i="2"/>
  <c r="N1420" i="8"/>
  <c r="N1421" i="8" s="1"/>
  <c r="N423" i="2"/>
  <c r="N543" i="2"/>
  <c r="N603" i="2"/>
  <c r="N483" i="2"/>
  <c r="L1384" i="8"/>
  <c r="L1385" i="8" s="1"/>
  <c r="L646" i="2"/>
  <c r="L219" i="14" s="1"/>
  <c r="AC1392" i="8"/>
  <c r="AC1393" i="8" s="1"/>
  <c r="AC596" i="2"/>
  <c r="AC416" i="2"/>
  <c r="AC476" i="2"/>
  <c r="AC536" i="2"/>
  <c r="V1412" i="8"/>
  <c r="V1413" i="8" s="1"/>
  <c r="V541" i="2"/>
  <c r="V421" i="2"/>
  <c r="V481" i="2"/>
  <c r="V601" i="2"/>
  <c r="M1416" i="8"/>
  <c r="M1417" i="8" s="1"/>
  <c r="M482" i="2"/>
  <c r="M542" i="2"/>
  <c r="M602" i="2"/>
  <c r="M422" i="2"/>
  <c r="AA1408" i="8"/>
  <c r="AA1409" i="8" s="1"/>
  <c r="AA480" i="2"/>
  <c r="AA420" i="2"/>
  <c r="AA540" i="2"/>
  <c r="AA600" i="2"/>
  <c r="N1408" i="8"/>
  <c r="N1409" i="8" s="1"/>
  <c r="N420" i="2"/>
  <c r="N600" i="2"/>
  <c r="N540" i="2"/>
  <c r="N480" i="2"/>
  <c r="T1404" i="8"/>
  <c r="T1405" i="8" s="1"/>
  <c r="T479" i="2"/>
  <c r="T599" i="2"/>
  <c r="T419" i="2"/>
  <c r="T539" i="2"/>
  <c r="O1424" i="8"/>
  <c r="O1425" i="8" s="1"/>
  <c r="O424" i="2"/>
  <c r="O604" i="2"/>
  <c r="O484" i="2"/>
  <c r="O544" i="2"/>
  <c r="AC1416" i="8"/>
  <c r="AC1417" i="8" s="1"/>
  <c r="AC422" i="2"/>
  <c r="AC602" i="2"/>
  <c r="AC482" i="2"/>
  <c r="AC542" i="2"/>
  <c r="Q1420" i="8"/>
  <c r="Q1421" i="8" s="1"/>
  <c r="Q423" i="2"/>
  <c r="Q543" i="2"/>
  <c r="Q603" i="2"/>
  <c r="Q483" i="2"/>
  <c r="V1408" i="8"/>
  <c r="V1409" i="8" s="1"/>
  <c r="V480" i="2"/>
  <c r="V420" i="2"/>
  <c r="V540" i="2"/>
  <c r="V600" i="2"/>
  <c r="AE1420" i="8"/>
  <c r="AE1421" i="8" s="1"/>
  <c r="AE603" i="2"/>
  <c r="AE483" i="2"/>
  <c r="AE543" i="2"/>
  <c r="AE423" i="2"/>
  <c r="X1424" i="8"/>
  <c r="X1425" i="8" s="1"/>
  <c r="X424" i="2"/>
  <c r="X604" i="2"/>
  <c r="X484" i="2"/>
  <c r="X544" i="2"/>
  <c r="Y1396" i="8"/>
  <c r="Y1397" i="8" s="1"/>
  <c r="Y537" i="2"/>
  <c r="Y417" i="2"/>
  <c r="Y597" i="2"/>
  <c r="Y477" i="2"/>
  <c r="S1404" i="8"/>
  <c r="S1405" i="8" s="1"/>
  <c r="S599" i="2"/>
  <c r="S419" i="2"/>
  <c r="S479" i="2"/>
  <c r="S539" i="2"/>
  <c r="L1400" i="8"/>
  <c r="L1401" i="8" s="1"/>
  <c r="L478" i="2"/>
  <c r="L538" i="2"/>
  <c r="L418" i="2"/>
  <c r="L598" i="2"/>
  <c r="AB705" i="2"/>
  <c r="AB700" i="2"/>
  <c r="AB704" i="2"/>
  <c r="AB702" i="2"/>
  <c r="AB703" i="2"/>
  <c r="AB699" i="2"/>
  <c r="AB984" i="8"/>
  <c r="AB985" i="8" s="1"/>
  <c r="AB698" i="2"/>
  <c r="Z1400" i="8"/>
  <c r="Z1401" i="8" s="1"/>
  <c r="Z478" i="2"/>
  <c r="Z598" i="2"/>
  <c r="Z538" i="2"/>
  <c r="Z418" i="2"/>
  <c r="S988" i="8"/>
  <c r="S989" i="8" s="1"/>
  <c r="AB1424" i="8"/>
  <c r="AB1425" i="8" s="1"/>
  <c r="AB424" i="2"/>
  <c r="AB544" i="2"/>
  <c r="AB484" i="2"/>
  <c r="AB604" i="2"/>
  <c r="Q1412" i="8"/>
  <c r="Q1413" i="8" s="1"/>
  <c r="Q541" i="2"/>
  <c r="Q421" i="2"/>
  <c r="Q481" i="2"/>
  <c r="Q601" i="2"/>
  <c r="M1392" i="8"/>
  <c r="M1393" i="8" s="1"/>
  <c r="M476" i="2"/>
  <c r="M596" i="2"/>
  <c r="M416" i="2"/>
  <c r="M536" i="2"/>
  <c r="AA1416" i="8"/>
  <c r="AA1417" i="8" s="1"/>
  <c r="AA482" i="2"/>
  <c r="AA422" i="2"/>
  <c r="AA542" i="2"/>
  <c r="AA602" i="2"/>
  <c r="AA698" i="2"/>
  <c r="AA704" i="2"/>
  <c r="AA705" i="2"/>
  <c r="AA984" i="8"/>
  <c r="AA985" i="8" s="1"/>
  <c r="AA700" i="2"/>
  <c r="AA702" i="2"/>
  <c r="AA703" i="2"/>
  <c r="AA699" i="2"/>
  <c r="T1416" i="8"/>
  <c r="T1417" i="8" s="1"/>
  <c r="T482" i="2"/>
  <c r="T542" i="2"/>
  <c r="T422" i="2"/>
  <c r="T602" i="2"/>
  <c r="O1404" i="8"/>
  <c r="O1405" i="8" s="1"/>
  <c r="O539" i="2"/>
  <c r="O479" i="2"/>
  <c r="O419" i="2"/>
  <c r="O599" i="2"/>
  <c r="AC1400" i="8"/>
  <c r="AC1401" i="8" s="1"/>
  <c r="AC598" i="2"/>
  <c r="AC538" i="2"/>
  <c r="AC478" i="2"/>
  <c r="AC418" i="2"/>
  <c r="V1420" i="8"/>
  <c r="V1421" i="8" s="1"/>
  <c r="V603" i="2"/>
  <c r="V543" i="2"/>
  <c r="V483" i="2"/>
  <c r="V423" i="2"/>
  <c r="X1400" i="8"/>
  <c r="X1401" i="8" s="1"/>
  <c r="X478" i="2"/>
  <c r="X418" i="2"/>
  <c r="X538" i="2"/>
  <c r="X598" i="2"/>
  <c r="Y1408" i="8"/>
  <c r="Y1409" i="8" s="1"/>
  <c r="Y540" i="2"/>
  <c r="Y480" i="2"/>
  <c r="Y600" i="2"/>
  <c r="Y420" i="2"/>
  <c r="S1416" i="8"/>
  <c r="S1417" i="8" s="1"/>
  <c r="S422" i="2"/>
  <c r="S482" i="2"/>
  <c r="S602" i="2"/>
  <c r="S542" i="2"/>
  <c r="L1412" i="8"/>
  <c r="L1413" i="8" s="1"/>
  <c r="L421" i="2"/>
  <c r="L481" i="2"/>
  <c r="L601" i="2"/>
  <c r="L541" i="2"/>
  <c r="Z1412" i="8"/>
  <c r="Z1413" i="8" s="1"/>
  <c r="Z481" i="2"/>
  <c r="Z601" i="2"/>
  <c r="Z541" i="2"/>
  <c r="Z421" i="2"/>
  <c r="S1412" i="8"/>
  <c r="S1413" i="8" s="1"/>
  <c r="S601" i="2"/>
  <c r="S481" i="2"/>
  <c r="S421" i="2"/>
  <c r="S541" i="2"/>
  <c r="M1400" i="8"/>
  <c r="M1401" i="8" s="1"/>
  <c r="M538" i="2"/>
  <c r="M478" i="2"/>
  <c r="M598" i="2"/>
  <c r="M418" i="2"/>
  <c r="AA1392" i="8"/>
  <c r="AA1393" i="8" s="1"/>
  <c r="AA476" i="2"/>
  <c r="AA536" i="2"/>
  <c r="AA416" i="2"/>
  <c r="AA596" i="2"/>
  <c r="AB1396" i="8"/>
  <c r="AB1397" i="8" s="1"/>
  <c r="AB537" i="2"/>
  <c r="AB477" i="2"/>
  <c r="AB597" i="2"/>
  <c r="AB417" i="2"/>
  <c r="O1396" i="8"/>
  <c r="O1397" i="8" s="1"/>
  <c r="O477" i="2"/>
  <c r="O417" i="2"/>
  <c r="O597" i="2"/>
  <c r="O537" i="2"/>
  <c r="AC1412" i="8"/>
  <c r="AC1413" i="8" s="1"/>
  <c r="AC541" i="2"/>
  <c r="AC481" i="2"/>
  <c r="AC421" i="2"/>
  <c r="AC601" i="2"/>
  <c r="V1396" i="8"/>
  <c r="V1397" i="8" s="1"/>
  <c r="V477" i="2"/>
  <c r="V417" i="2"/>
  <c r="V537" i="2"/>
  <c r="V597" i="2"/>
  <c r="X1412" i="8"/>
  <c r="X1413" i="8" s="1"/>
  <c r="X421" i="2"/>
  <c r="X481" i="2"/>
  <c r="X601" i="2"/>
  <c r="X541" i="2"/>
  <c r="P1416" i="8"/>
  <c r="P1417" i="8" s="1"/>
  <c r="P482" i="2"/>
  <c r="P602" i="2"/>
  <c r="P422" i="2"/>
  <c r="P542" i="2"/>
  <c r="Y1404" i="8"/>
  <c r="Y1405" i="8" s="1"/>
  <c r="Y419" i="2"/>
  <c r="Y599" i="2"/>
  <c r="Y479" i="2"/>
  <c r="Y539" i="2"/>
  <c r="S1396" i="8"/>
  <c r="S1397" i="8" s="1"/>
  <c r="S417" i="2"/>
  <c r="S477" i="2"/>
  <c r="S597" i="2"/>
  <c r="S537" i="2"/>
  <c r="L1424" i="8"/>
  <c r="L1425" i="8" s="1"/>
  <c r="L424" i="2"/>
  <c r="L484" i="2"/>
  <c r="L544" i="2"/>
  <c r="L604" i="2"/>
  <c r="W1384" i="8"/>
  <c r="W1385" i="8" s="1"/>
  <c r="W646" i="2"/>
  <c r="W219" i="14" s="1"/>
  <c r="Z1424" i="8"/>
  <c r="Z1425" i="8" s="1"/>
  <c r="Z604" i="2"/>
  <c r="Z484" i="2"/>
  <c r="Z544" i="2"/>
  <c r="Z424" i="2"/>
  <c r="L1416" i="8"/>
  <c r="L1417" i="8" s="1"/>
  <c r="L422" i="2"/>
  <c r="L482" i="2"/>
  <c r="L542" i="2"/>
  <c r="L602" i="2"/>
  <c r="F420" i="8"/>
  <c r="U701" i="2"/>
  <c r="M1412" i="8"/>
  <c r="M1413" i="8" s="1"/>
  <c r="M481" i="2"/>
  <c r="M421" i="2"/>
  <c r="M601" i="2"/>
  <c r="M541" i="2"/>
  <c r="AA1400" i="8"/>
  <c r="AA1401" i="8" s="1"/>
  <c r="AA478" i="2"/>
  <c r="AA538" i="2"/>
  <c r="AA418" i="2"/>
  <c r="AA598" i="2"/>
  <c r="AB1408" i="8"/>
  <c r="AB1409" i="8" s="1"/>
  <c r="AB420" i="2"/>
  <c r="AB480" i="2"/>
  <c r="AB600" i="2"/>
  <c r="AB540" i="2"/>
  <c r="O1408" i="8"/>
  <c r="O1409" i="8" s="1"/>
  <c r="O420" i="2"/>
  <c r="O480" i="2"/>
  <c r="O540" i="2"/>
  <c r="O600" i="2"/>
  <c r="U1424" i="8"/>
  <c r="U1425" i="8" s="1"/>
  <c r="U424" i="2"/>
  <c r="U604" i="2"/>
  <c r="U484" i="2"/>
  <c r="U544" i="2"/>
  <c r="AC1424" i="8"/>
  <c r="AC1425" i="8" s="1"/>
  <c r="AC604" i="2"/>
  <c r="AC544" i="2"/>
  <c r="AC484" i="2"/>
  <c r="AC424" i="2"/>
  <c r="V1404" i="8"/>
  <c r="V1405" i="8" s="1"/>
  <c r="V479" i="2"/>
  <c r="V419" i="2"/>
  <c r="V539" i="2"/>
  <c r="V599" i="2"/>
  <c r="X1408" i="8"/>
  <c r="X1409" i="8" s="1"/>
  <c r="X420" i="2"/>
  <c r="X480" i="2"/>
  <c r="X600" i="2"/>
  <c r="X540" i="2"/>
  <c r="P1392" i="8"/>
  <c r="P1393" i="8" s="1"/>
  <c r="P536" i="2"/>
  <c r="P476" i="2"/>
  <c r="P416" i="2"/>
  <c r="P596" i="2"/>
  <c r="Y1416" i="8"/>
  <c r="Y1417" i="8" s="1"/>
  <c r="Y422" i="2"/>
  <c r="Y602" i="2"/>
  <c r="Y542" i="2"/>
  <c r="Y482" i="2"/>
  <c r="AD1416" i="8"/>
  <c r="AD1417" i="8" s="1"/>
  <c r="AD482" i="2"/>
  <c r="AD602" i="2"/>
  <c r="AD542" i="2"/>
  <c r="AD422" i="2"/>
  <c r="W1412" i="8"/>
  <c r="W1413" i="8" s="1"/>
  <c r="W541" i="2"/>
  <c r="W421" i="2"/>
  <c r="W601" i="2"/>
  <c r="W481" i="2"/>
  <c r="AD1408" i="8"/>
  <c r="AD1409" i="8" s="1"/>
  <c r="AD420" i="2"/>
  <c r="AD480" i="2"/>
  <c r="AD600" i="2"/>
  <c r="AD540" i="2"/>
  <c r="M1408" i="8"/>
  <c r="M1409" i="8" s="1"/>
  <c r="M480" i="2"/>
  <c r="M420" i="2"/>
  <c r="M600" i="2"/>
  <c r="M540" i="2"/>
  <c r="F416" i="8"/>
  <c r="M1424" i="8"/>
  <c r="M1425" i="8" s="1"/>
  <c r="M544" i="2"/>
  <c r="M424" i="2"/>
  <c r="M604" i="2"/>
  <c r="M484" i="2"/>
  <c r="AA1412" i="8"/>
  <c r="AA1413" i="8" s="1"/>
  <c r="AA541" i="2"/>
  <c r="AA421" i="2"/>
  <c r="AA601" i="2"/>
  <c r="AA481" i="2"/>
  <c r="Q701" i="2"/>
  <c r="P1384" i="8"/>
  <c r="P1385" i="8" s="1"/>
  <c r="P646" i="2"/>
  <c r="P219" i="14" s="1"/>
  <c r="AB1416" i="8"/>
  <c r="AB1417" i="8" s="1"/>
  <c r="AB542" i="2"/>
  <c r="AB602" i="2"/>
  <c r="AB482" i="2"/>
  <c r="AB422" i="2"/>
  <c r="O1420" i="8"/>
  <c r="O1421" i="8" s="1"/>
  <c r="O543" i="2"/>
  <c r="O603" i="2"/>
  <c r="O483" i="2"/>
  <c r="O423" i="2"/>
  <c r="U1400" i="8"/>
  <c r="U1401" i="8" s="1"/>
  <c r="U418" i="2"/>
  <c r="U598" i="2"/>
  <c r="U478" i="2"/>
  <c r="U538" i="2"/>
  <c r="AC1396" i="8"/>
  <c r="AC1397" i="8" s="1"/>
  <c r="AC417" i="2"/>
  <c r="AC477" i="2"/>
  <c r="AC537" i="2"/>
  <c r="AC597" i="2"/>
  <c r="U984" i="8"/>
  <c r="U985" i="8" s="1"/>
  <c r="U702" i="2"/>
  <c r="U700" i="2"/>
  <c r="U699" i="2"/>
  <c r="U698" i="2"/>
  <c r="U703" i="2"/>
  <c r="U705" i="2"/>
  <c r="V1416" i="8"/>
  <c r="V1417" i="8" s="1"/>
  <c r="V482" i="2"/>
  <c r="V422" i="2"/>
  <c r="V602" i="2"/>
  <c r="V542" i="2"/>
  <c r="R1392" i="8"/>
  <c r="R1393" i="8" s="1"/>
  <c r="R596" i="2"/>
  <c r="R536" i="2"/>
  <c r="R476" i="2"/>
  <c r="R416" i="2"/>
  <c r="P1404" i="8"/>
  <c r="P1405" i="8" s="1"/>
  <c r="P599" i="2"/>
  <c r="P479" i="2"/>
  <c r="P539" i="2"/>
  <c r="P419" i="2"/>
  <c r="Y1392" i="8"/>
  <c r="Y1393" i="8" s="1"/>
  <c r="Y596" i="2"/>
  <c r="Y416" i="2"/>
  <c r="Y536" i="2"/>
  <c r="Y476" i="2"/>
  <c r="AD1404" i="8"/>
  <c r="AD1405" i="8" s="1"/>
  <c r="AD479" i="2"/>
  <c r="AD539" i="2"/>
  <c r="AD599" i="2"/>
  <c r="AD419" i="2"/>
  <c r="W1400" i="8"/>
  <c r="W1401" i="8" s="1"/>
  <c r="W418" i="2"/>
  <c r="W598" i="2"/>
  <c r="W478" i="2"/>
  <c r="W538" i="2"/>
  <c r="N1400" i="8"/>
  <c r="N1401" i="8" s="1"/>
  <c r="N478" i="2"/>
  <c r="N538" i="2"/>
  <c r="N418" i="2"/>
  <c r="N598" i="2"/>
  <c r="L1420" i="8"/>
  <c r="L1421" i="8" s="1"/>
  <c r="L483" i="2"/>
  <c r="L423" i="2"/>
  <c r="L603" i="2"/>
  <c r="L543" i="2"/>
  <c r="AE1396" i="8"/>
  <c r="AE1397" i="8" s="1"/>
  <c r="AE417" i="2"/>
  <c r="AE477" i="2"/>
  <c r="AE597" i="2"/>
  <c r="AE537" i="2"/>
  <c r="F408" i="8"/>
  <c r="M1420" i="8"/>
  <c r="M1421" i="8" s="1"/>
  <c r="M603" i="2"/>
  <c r="M423" i="2"/>
  <c r="M543" i="2"/>
  <c r="M483" i="2"/>
  <c r="AA1424" i="8"/>
  <c r="AA1425" i="8" s="1"/>
  <c r="AA484" i="2"/>
  <c r="AA604" i="2"/>
  <c r="AA544" i="2"/>
  <c r="AA424" i="2"/>
  <c r="AB1392" i="8"/>
  <c r="AB1393" i="8" s="1"/>
  <c r="AB476" i="2"/>
  <c r="AB416" i="2"/>
  <c r="AB596" i="2"/>
  <c r="AB536" i="2"/>
  <c r="U1408" i="8"/>
  <c r="U1409" i="8" s="1"/>
  <c r="U420" i="2"/>
  <c r="U480" i="2"/>
  <c r="U600" i="2"/>
  <c r="U540" i="2"/>
  <c r="AC1408" i="8"/>
  <c r="AC1409" i="8" s="1"/>
  <c r="AC480" i="2"/>
  <c r="AC420" i="2"/>
  <c r="AC540" i="2"/>
  <c r="AC600" i="2"/>
  <c r="V1392" i="8"/>
  <c r="V1393" i="8" s="1"/>
  <c r="V536" i="2"/>
  <c r="V416" i="2"/>
  <c r="V596" i="2"/>
  <c r="V476" i="2"/>
  <c r="Y1384" i="8"/>
  <c r="Y1385" i="8" s="1"/>
  <c r="Y646" i="2"/>
  <c r="Y219" i="14" s="1"/>
  <c r="R1404" i="8"/>
  <c r="R1405" i="8" s="1"/>
  <c r="R479" i="2"/>
  <c r="R599" i="2"/>
  <c r="R539" i="2"/>
  <c r="R419" i="2"/>
  <c r="AE988" i="8"/>
  <c r="AE989" i="8" s="1"/>
  <c r="P1412" i="8"/>
  <c r="P1413" i="8" s="1"/>
  <c r="P481" i="2"/>
  <c r="P421" i="2"/>
  <c r="P541" i="2"/>
  <c r="P601" i="2"/>
  <c r="Y1424" i="8"/>
  <c r="Y1425" i="8" s="1"/>
  <c r="Y424" i="2"/>
  <c r="Y484" i="2"/>
  <c r="Y604" i="2"/>
  <c r="Y544" i="2"/>
  <c r="AD1392" i="8"/>
  <c r="AD1393" i="8" s="1"/>
  <c r="AD596" i="2"/>
  <c r="AD476" i="2"/>
  <c r="AD416" i="2"/>
  <c r="AD536" i="2"/>
  <c r="W1408" i="8"/>
  <c r="W1409" i="8" s="1"/>
  <c r="W480" i="2"/>
  <c r="W600" i="2"/>
  <c r="W540" i="2"/>
  <c r="W420" i="2"/>
  <c r="M1404" i="8"/>
  <c r="M1405" i="8" s="1"/>
  <c r="M539" i="2"/>
  <c r="M599" i="2"/>
  <c r="M419" i="2"/>
  <c r="M479" i="2"/>
  <c r="AA1404" i="8"/>
  <c r="AA1405" i="8" s="1"/>
  <c r="AA419" i="2"/>
  <c r="AA479" i="2"/>
  <c r="AA599" i="2"/>
  <c r="AA539" i="2"/>
  <c r="N1392" i="8"/>
  <c r="N1393" i="8" s="1"/>
  <c r="N416" i="2"/>
  <c r="N596" i="2"/>
  <c r="N536" i="2"/>
  <c r="N476" i="2"/>
  <c r="AB1404" i="8"/>
  <c r="AB1405" i="8" s="1"/>
  <c r="AB539" i="2"/>
  <c r="AB419" i="2"/>
  <c r="AB599" i="2"/>
  <c r="AB479" i="2"/>
  <c r="U1420" i="8"/>
  <c r="U1421" i="8" s="1"/>
  <c r="U543" i="2"/>
  <c r="U423" i="2"/>
  <c r="U603" i="2"/>
  <c r="U483" i="2"/>
  <c r="AC1420" i="8"/>
  <c r="AC1421" i="8" s="1"/>
  <c r="AC603" i="2"/>
  <c r="AC543" i="2"/>
  <c r="AC423" i="2"/>
  <c r="AC483" i="2"/>
  <c r="Q1416" i="8"/>
  <c r="Q1417" i="8" s="1"/>
  <c r="Q542" i="2"/>
  <c r="Q602" i="2"/>
  <c r="Q422" i="2"/>
  <c r="Q482" i="2"/>
  <c r="O984" i="8"/>
  <c r="O985" i="8" s="1"/>
  <c r="O704" i="2"/>
  <c r="O700" i="2"/>
  <c r="O698" i="2"/>
  <c r="O703" i="2"/>
  <c r="O699" i="2"/>
  <c r="O705" i="2"/>
  <c r="O702" i="2"/>
  <c r="AE1416" i="8"/>
  <c r="AE1417" i="8" s="1"/>
  <c r="AE602" i="2"/>
  <c r="AE542" i="2"/>
  <c r="AE422" i="2"/>
  <c r="AE482" i="2"/>
  <c r="R1412" i="8"/>
  <c r="R1413" i="8" s="1"/>
  <c r="R541" i="2"/>
  <c r="R481" i="2"/>
  <c r="R421" i="2"/>
  <c r="R601" i="2"/>
  <c r="P1424" i="8"/>
  <c r="P1425" i="8" s="1"/>
  <c r="P484" i="2"/>
  <c r="P544" i="2"/>
  <c r="P604" i="2"/>
  <c r="P424" i="2"/>
  <c r="Y1400" i="8"/>
  <c r="Y1401" i="8" s="1"/>
  <c r="Y598" i="2"/>
  <c r="Y418" i="2"/>
  <c r="Y538" i="2"/>
  <c r="Y478" i="2"/>
  <c r="AD1412" i="8"/>
  <c r="AD1413" i="8" s="1"/>
  <c r="AD421" i="2"/>
  <c r="AD541" i="2"/>
  <c r="AD481" i="2"/>
  <c r="AD601" i="2"/>
  <c r="W1420" i="8"/>
  <c r="W1421" i="8" s="1"/>
  <c r="W423" i="2"/>
  <c r="W543" i="2"/>
  <c r="W483" i="2"/>
  <c r="W603" i="2"/>
  <c r="F324" i="8"/>
  <c r="F424" i="8"/>
  <c r="L1164" i="8"/>
  <c r="L1165" i="8" s="1"/>
  <c r="L1200" i="8"/>
  <c r="L1201" i="8" s="1"/>
  <c r="L1212" i="8"/>
  <c r="L1213" i="8" s="1"/>
  <c r="L1176" i="8"/>
  <c r="L1177" i="8" s="1"/>
  <c r="L1204" i="8"/>
  <c r="L1205" i="8" s="1"/>
  <c r="L1208" i="8"/>
  <c r="L1209" i="8" s="1"/>
  <c r="L1168" i="8"/>
  <c r="L1169" i="8" s="1"/>
  <c r="L756" i="8"/>
  <c r="L757" i="8" s="1"/>
  <c r="L338" i="2"/>
  <c r="L788" i="8" s="1"/>
  <c r="L789" i="8" s="1"/>
  <c r="N374" i="2"/>
  <c r="L1180" i="8"/>
  <c r="L1181" i="8" s="1"/>
  <c r="M378" i="2"/>
  <c r="F396" i="8"/>
  <c r="L1216" i="8"/>
  <c r="L1217" i="8" s="1"/>
  <c r="F364" i="8"/>
  <c r="F308" i="8"/>
  <c r="L804" i="8"/>
  <c r="L805" i="8" s="1"/>
  <c r="N360" i="2"/>
  <c r="L1160" i="8"/>
  <c r="L1161" i="8" s="1"/>
  <c r="L737" i="2"/>
  <c r="L1184" i="8" s="1"/>
  <c r="L1185" i="8" s="1"/>
  <c r="M374" i="2"/>
  <c r="M66" i="15" s="1"/>
  <c r="L792" i="8"/>
  <c r="L793" i="8" s="1"/>
  <c r="L349" i="2"/>
  <c r="L824" i="8" s="1"/>
  <c r="L825" i="8" s="1"/>
  <c r="F400" i="8"/>
  <c r="F360" i="8"/>
  <c r="L1196" i="8"/>
  <c r="L1197" i="8" s="1"/>
  <c r="L748" i="2"/>
  <c r="L1220" i="8" s="1"/>
  <c r="L1221" i="8" s="1"/>
  <c r="L768" i="8"/>
  <c r="L769" i="8" s="1"/>
  <c r="F312" i="8"/>
  <c r="F432" i="8"/>
  <c r="M828" i="8"/>
  <c r="M829" i="8" s="1"/>
  <c r="M360" i="2"/>
  <c r="N375" i="2"/>
  <c r="F300" i="8"/>
  <c r="L1172" i="8"/>
  <c r="L1173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F392" i="8"/>
  <c r="F344" i="8"/>
  <c r="F372" i="8"/>
  <c r="F356" i="8"/>
  <c r="N66" i="15" l="1"/>
  <c r="F1915" i="8"/>
  <c r="L94" i="17"/>
  <c r="L95" i="17" s="1"/>
  <c r="AC699" i="2"/>
  <c r="AC1060" i="8" s="1"/>
  <c r="AC1061" i="8" s="1"/>
  <c r="AC705" i="2"/>
  <c r="AC1084" i="8" s="1"/>
  <c r="AC1085" i="8" s="1"/>
  <c r="AC703" i="2"/>
  <c r="AC1076" i="8" s="1"/>
  <c r="AC1077" i="8" s="1"/>
  <c r="AC704" i="2"/>
  <c r="AC1080" i="8" s="1"/>
  <c r="AC1081" i="8" s="1"/>
  <c r="V984" i="8"/>
  <c r="V985" i="8" s="1"/>
  <c r="X702" i="2"/>
  <c r="X1072" i="8" s="1"/>
  <c r="X1073" i="8" s="1"/>
  <c r="X699" i="2"/>
  <c r="X1060" i="8" s="1"/>
  <c r="X1061" i="8" s="1"/>
  <c r="X700" i="2"/>
  <c r="X1064" i="8" s="1"/>
  <c r="X1065" i="8" s="1"/>
  <c r="R703" i="2"/>
  <c r="R1076" i="8" s="1"/>
  <c r="R1077" i="8" s="1"/>
  <c r="AC984" i="8"/>
  <c r="AC985" i="8" s="1"/>
  <c r="AC698" i="2"/>
  <c r="AC1056" i="8" s="1"/>
  <c r="AC1057" i="8" s="1"/>
  <c r="AC231" i="14"/>
  <c r="AC701" i="2"/>
  <c r="AC1068" i="8" s="1"/>
  <c r="AC1069" i="8" s="1"/>
  <c r="AC702" i="2"/>
  <c r="AC1072" i="8" s="1"/>
  <c r="AC1073" i="8" s="1"/>
  <c r="AC700" i="2"/>
  <c r="AC1064" i="8" s="1"/>
  <c r="AC1065" i="8" s="1"/>
  <c r="V699" i="2"/>
  <c r="V1060" i="8" s="1"/>
  <c r="V1061" i="8" s="1"/>
  <c r="X698" i="2"/>
  <c r="X1056" i="8" s="1"/>
  <c r="X1057" i="8" s="1"/>
  <c r="V698" i="2"/>
  <c r="V1056" i="8" s="1"/>
  <c r="V1057" i="8" s="1"/>
  <c r="X705" i="2"/>
  <c r="X1084" i="8" s="1"/>
  <c r="X1085" i="8" s="1"/>
  <c r="X984" i="8"/>
  <c r="X985" i="8" s="1"/>
  <c r="X704" i="2"/>
  <c r="X1080" i="8" s="1"/>
  <c r="X1081" i="8" s="1"/>
  <c r="X228" i="14"/>
  <c r="X701" i="2"/>
  <c r="X1068" i="8" s="1"/>
  <c r="X1069" i="8" s="1"/>
  <c r="X703" i="2"/>
  <c r="X1076" i="8" s="1"/>
  <c r="X1077" i="8" s="1"/>
  <c r="V703" i="2"/>
  <c r="V1076" i="8" s="1"/>
  <c r="V1077" i="8" s="1"/>
  <c r="S226" i="14"/>
  <c r="S224" i="14"/>
  <c r="S698" i="2"/>
  <c r="S1056" i="8" s="1"/>
  <c r="S1057" i="8" s="1"/>
  <c r="S699" i="2"/>
  <c r="S1060" i="8" s="1"/>
  <c r="S1061" i="8" s="1"/>
  <c r="S702" i="2"/>
  <c r="S1072" i="8" s="1"/>
  <c r="S1073" i="8" s="1"/>
  <c r="R701" i="2"/>
  <c r="R1068" i="8" s="1"/>
  <c r="R1069" i="8" s="1"/>
  <c r="AE700" i="2"/>
  <c r="AE1064" i="8" s="1"/>
  <c r="AE1065" i="8" s="1"/>
  <c r="F1460" i="8"/>
  <c r="F1459" i="8"/>
  <c r="R698" i="2"/>
  <c r="R1056" i="8" s="1"/>
  <c r="R1057" i="8" s="1"/>
  <c r="R702" i="2"/>
  <c r="R1072" i="8" s="1"/>
  <c r="R1073" i="8" s="1"/>
  <c r="R699" i="2"/>
  <c r="R1060" i="8" s="1"/>
  <c r="R1061" i="8" s="1"/>
  <c r="T219" i="14"/>
  <c r="T229" i="14" s="1"/>
  <c r="R226" i="14"/>
  <c r="T703" i="2"/>
  <c r="T1076" i="8" s="1"/>
  <c r="T1077" i="8" s="1"/>
  <c r="AE702" i="2"/>
  <c r="AE1072" i="8" s="1"/>
  <c r="AE1073" i="8" s="1"/>
  <c r="R231" i="14"/>
  <c r="T700" i="2"/>
  <c r="T1064" i="8" s="1"/>
  <c r="T1065" i="8" s="1"/>
  <c r="AE699" i="2"/>
  <c r="AE1060" i="8" s="1"/>
  <c r="AE1061" i="8" s="1"/>
  <c r="T698" i="2"/>
  <c r="T1056" i="8" s="1"/>
  <c r="T1057" i="8" s="1"/>
  <c r="T704" i="2"/>
  <c r="T1080" i="8" s="1"/>
  <c r="T1081" i="8" s="1"/>
  <c r="AE704" i="2"/>
  <c r="AE1080" i="8" s="1"/>
  <c r="AE1081" i="8" s="1"/>
  <c r="T699" i="2"/>
  <c r="T1060" i="8" s="1"/>
  <c r="T1061" i="8" s="1"/>
  <c r="T705" i="2"/>
  <c r="T1084" i="8" s="1"/>
  <c r="T1085" i="8" s="1"/>
  <c r="M701" i="2"/>
  <c r="M1068" i="8" s="1"/>
  <c r="M1069" i="8" s="1"/>
  <c r="T984" i="8"/>
  <c r="T985" i="8" s="1"/>
  <c r="T701" i="2"/>
  <c r="T1068" i="8" s="1"/>
  <c r="T1069" i="8" s="1"/>
  <c r="R705" i="2"/>
  <c r="R1084" i="8" s="1"/>
  <c r="R1085" i="8" s="1"/>
  <c r="M699" i="2"/>
  <c r="M1060" i="8" s="1"/>
  <c r="M1061" i="8" s="1"/>
  <c r="M700" i="2"/>
  <c r="M1064" i="8" s="1"/>
  <c r="M1065" i="8" s="1"/>
  <c r="M705" i="2"/>
  <c r="M1084" i="8" s="1"/>
  <c r="M1085" i="8" s="1"/>
  <c r="M704" i="2"/>
  <c r="M1080" i="8" s="1"/>
  <c r="M1081" i="8" s="1"/>
  <c r="R700" i="2"/>
  <c r="R1064" i="8" s="1"/>
  <c r="R1065" i="8" s="1"/>
  <c r="M698" i="2"/>
  <c r="M1056" i="8" s="1"/>
  <c r="M1057" i="8" s="1"/>
  <c r="R704" i="2"/>
  <c r="R1080" i="8" s="1"/>
  <c r="R1081" i="8" s="1"/>
  <c r="M984" i="8"/>
  <c r="M985" i="8" s="1"/>
  <c r="M703" i="2"/>
  <c r="M1076" i="8" s="1"/>
  <c r="M1077" i="8" s="1"/>
  <c r="M702" i="2"/>
  <c r="M1072" i="8" s="1"/>
  <c r="M1073" i="8" s="1"/>
  <c r="R224" i="14"/>
  <c r="R225" i="14"/>
  <c r="R984" i="8"/>
  <c r="R985" i="8" s="1"/>
  <c r="R229" i="14"/>
  <c r="S227" i="14"/>
  <c r="S703" i="2"/>
  <c r="S1076" i="8" s="1"/>
  <c r="S1077" i="8" s="1"/>
  <c r="S228" i="14"/>
  <c r="S705" i="2"/>
  <c r="S1084" i="8" s="1"/>
  <c r="S1085" i="8" s="1"/>
  <c r="S984" i="8"/>
  <c r="S985" i="8" s="1"/>
  <c r="S231" i="14"/>
  <c r="S229" i="14"/>
  <c r="S700" i="2"/>
  <c r="S1064" i="8" s="1"/>
  <c r="S1065" i="8" s="1"/>
  <c r="S701" i="2"/>
  <c r="S1068" i="8" s="1"/>
  <c r="S1069" i="8" s="1"/>
  <c r="S225" i="14"/>
  <c r="S704" i="2"/>
  <c r="S1080" i="8" s="1"/>
  <c r="S1081" i="8" s="1"/>
  <c r="AD700" i="2"/>
  <c r="AD1064" i="8" s="1"/>
  <c r="AD1065" i="8" s="1"/>
  <c r="AE984" i="8"/>
  <c r="AE985" i="8" s="1"/>
  <c r="AD704" i="2"/>
  <c r="AD1080" i="8" s="1"/>
  <c r="AD1081" i="8" s="1"/>
  <c r="AD984" i="8"/>
  <c r="AD985" i="8" s="1"/>
  <c r="M230" i="14"/>
  <c r="AE227" i="14"/>
  <c r="AE226" i="14"/>
  <c r="AE231" i="14"/>
  <c r="R230" i="14"/>
  <c r="AE698" i="2"/>
  <c r="AE1056" i="8" s="1"/>
  <c r="AE1057" i="8" s="1"/>
  <c r="AE705" i="2"/>
  <c r="AE1084" i="8" s="1"/>
  <c r="AE1085" i="8" s="1"/>
  <c r="R227" i="14"/>
  <c r="AD701" i="2"/>
  <c r="AD1068" i="8" s="1"/>
  <c r="AD1069" i="8" s="1"/>
  <c r="AE703" i="2"/>
  <c r="AE1076" i="8" s="1"/>
  <c r="AE1077" i="8" s="1"/>
  <c r="AE701" i="2"/>
  <c r="AE1068" i="8" s="1"/>
  <c r="AE1069" i="8" s="1"/>
  <c r="AE228" i="14"/>
  <c r="AE225" i="14"/>
  <c r="V702" i="2"/>
  <c r="V1072" i="8" s="1"/>
  <c r="V1073" i="8" s="1"/>
  <c r="AE229" i="14"/>
  <c r="AE230" i="14"/>
  <c r="AD703" i="2"/>
  <c r="AD1076" i="8" s="1"/>
  <c r="AD1077" i="8" s="1"/>
  <c r="AD705" i="2"/>
  <c r="AD1084" i="8" s="1"/>
  <c r="AD1085" i="8" s="1"/>
  <c r="AD698" i="2"/>
  <c r="AD1056" i="8" s="1"/>
  <c r="AD1057" i="8" s="1"/>
  <c r="AD702" i="2"/>
  <c r="AD1072" i="8" s="1"/>
  <c r="AD1073" i="8" s="1"/>
  <c r="AD699" i="2"/>
  <c r="AD1060" i="8" s="1"/>
  <c r="AD1061" i="8" s="1"/>
  <c r="AD231" i="14"/>
  <c r="V701" i="2"/>
  <c r="V1068" i="8" s="1"/>
  <c r="V1069" i="8" s="1"/>
  <c r="N704" i="2"/>
  <c r="N1080" i="8" s="1"/>
  <c r="N1081" i="8" s="1"/>
  <c r="N703" i="2"/>
  <c r="N1076" i="8" s="1"/>
  <c r="N1077" i="8" s="1"/>
  <c r="V705" i="2"/>
  <c r="V1084" i="8" s="1"/>
  <c r="V1085" i="8" s="1"/>
  <c r="N702" i="2"/>
  <c r="N1072" i="8" s="1"/>
  <c r="N1073" i="8" s="1"/>
  <c r="V700" i="2"/>
  <c r="V1064" i="8" s="1"/>
  <c r="V1065" i="8" s="1"/>
  <c r="N705" i="2"/>
  <c r="N1084" i="8" s="1"/>
  <c r="N1085" i="8" s="1"/>
  <c r="N224" i="14"/>
  <c r="N699" i="2"/>
  <c r="N1060" i="8" s="1"/>
  <c r="N1061" i="8" s="1"/>
  <c r="N698" i="2"/>
  <c r="N1056" i="8" s="1"/>
  <c r="N1057" i="8" s="1"/>
  <c r="N700" i="2"/>
  <c r="N1064" i="8" s="1"/>
  <c r="N1065" i="8" s="1"/>
  <c r="V704" i="2"/>
  <c r="V1080" i="8" s="1"/>
  <c r="V1081" i="8" s="1"/>
  <c r="N984" i="8"/>
  <c r="N985" i="8" s="1"/>
  <c r="N701" i="2"/>
  <c r="N1068" i="8" s="1"/>
  <c r="N1069" i="8" s="1"/>
  <c r="V231" i="14"/>
  <c r="L18" i="15"/>
  <c r="L35" i="15"/>
  <c r="L23" i="15"/>
  <c r="M904" i="8"/>
  <c r="M905" i="8" s="1"/>
  <c r="M51" i="15"/>
  <c r="N916" i="8"/>
  <c r="N917" i="8" s="1"/>
  <c r="N56" i="15"/>
  <c r="L64" i="15"/>
  <c r="M916" i="8"/>
  <c r="M917" i="8" s="1"/>
  <c r="M56" i="15"/>
  <c r="N908" i="8"/>
  <c r="N909" i="8" s="1"/>
  <c r="N61" i="15"/>
  <c r="L69" i="15"/>
  <c r="L88" i="15"/>
  <c r="N904" i="8"/>
  <c r="N905" i="8" s="1"/>
  <c r="N51" i="15"/>
  <c r="L93" i="15"/>
  <c r="AA228" i="14"/>
  <c r="AA231" i="14"/>
  <c r="X230" i="14"/>
  <c r="X227" i="14"/>
  <c r="AA225" i="14"/>
  <c r="AA229" i="14"/>
  <c r="AA227" i="14"/>
  <c r="AA226" i="14"/>
  <c r="AA230" i="14"/>
  <c r="X224" i="14"/>
  <c r="L376" i="2"/>
  <c r="L375" i="2"/>
  <c r="X226" i="14"/>
  <c r="N1694" i="8"/>
  <c r="AD226" i="14"/>
  <c r="AD224" i="14"/>
  <c r="AD228" i="14"/>
  <c r="AD229" i="14"/>
  <c r="M225" i="14"/>
  <c r="AB230" i="14"/>
  <c r="M1694" i="8"/>
  <c r="T1692" i="8"/>
  <c r="AD1692" i="8"/>
  <c r="R1693" i="8"/>
  <c r="AD225" i="14"/>
  <c r="AD230" i="14"/>
  <c r="L119" i="14"/>
  <c r="P1694" i="8"/>
  <c r="V230" i="14"/>
  <c r="M229" i="14"/>
  <c r="X231" i="14"/>
  <c r="V226" i="14"/>
  <c r="V225" i="14"/>
  <c r="AD1693" i="8"/>
  <c r="N228" i="14"/>
  <c r="M227" i="14"/>
  <c r="V229" i="14"/>
  <c r="N231" i="14"/>
  <c r="M226" i="14"/>
  <c r="V227" i="14"/>
  <c r="M224" i="14"/>
  <c r="V224" i="14"/>
  <c r="V228" i="14"/>
  <c r="M228" i="14"/>
  <c r="AC226" i="14"/>
  <c r="M231" i="14"/>
  <c r="AC227" i="14"/>
  <c r="AC228" i="14"/>
  <c r="R1694" i="8"/>
  <c r="AA1693" i="8"/>
  <c r="X225" i="14"/>
  <c r="P1693" i="8"/>
  <c r="AA1695" i="8"/>
  <c r="T1695" i="8"/>
  <c r="W1695" i="8"/>
  <c r="X229" i="14"/>
  <c r="AD1695" i="8"/>
  <c r="R1695" i="8"/>
  <c r="AA1694" i="8"/>
  <c r="M1692" i="8"/>
  <c r="L1693" i="8"/>
  <c r="T1693" i="8"/>
  <c r="AE1692" i="8"/>
  <c r="Y1693" i="8"/>
  <c r="AC1694" i="8"/>
  <c r="Y1694" i="8"/>
  <c r="M1693" i="8"/>
  <c r="AC1693" i="8"/>
  <c r="L1695" i="8"/>
  <c r="AB226" i="14"/>
  <c r="Y1692" i="8"/>
  <c r="AC1692" i="8"/>
  <c r="L1692" i="8"/>
  <c r="O1694" i="8"/>
  <c r="Q1694" i="8"/>
  <c r="AB229" i="14"/>
  <c r="Y1695" i="8"/>
  <c r="AC1695" i="8"/>
  <c r="X1692" i="8"/>
  <c r="O1693" i="8"/>
  <c r="U1694" i="8"/>
  <c r="Q1692" i="8"/>
  <c r="AC224" i="14"/>
  <c r="AB224" i="14"/>
  <c r="AD227" i="14"/>
  <c r="O227" i="14"/>
  <c r="AE1693" i="8"/>
  <c r="Y231" i="14"/>
  <c r="Y225" i="14"/>
  <c r="Y229" i="14"/>
  <c r="Y227" i="14"/>
  <c r="Y226" i="14"/>
  <c r="Y230" i="14"/>
  <c r="Y228" i="14"/>
  <c r="Y224" i="14"/>
  <c r="W231" i="14"/>
  <c r="W225" i="14"/>
  <c r="W224" i="14"/>
  <c r="W227" i="14"/>
  <c r="W229" i="14"/>
  <c r="W226" i="14"/>
  <c r="W230" i="14"/>
  <c r="W228" i="14"/>
  <c r="S1695" i="8"/>
  <c r="X1693" i="8"/>
  <c r="O1695" i="8"/>
  <c r="U1693" i="8"/>
  <c r="Q1693" i="8"/>
  <c r="AB227" i="14"/>
  <c r="O229" i="14"/>
  <c r="AA1692" i="8"/>
  <c r="N1693" i="8"/>
  <c r="N1695" i="8"/>
  <c r="P231" i="14"/>
  <c r="P230" i="14"/>
  <c r="P228" i="14"/>
  <c r="P225" i="14"/>
  <c r="P224" i="14"/>
  <c r="P229" i="14"/>
  <c r="P227" i="14"/>
  <c r="P226" i="14"/>
  <c r="L231" i="14"/>
  <c r="L224" i="14"/>
  <c r="L229" i="14"/>
  <c r="L226" i="14"/>
  <c r="L227" i="14"/>
  <c r="L230" i="14"/>
  <c r="L225" i="14"/>
  <c r="L228" i="14"/>
  <c r="S1692" i="8"/>
  <c r="X1694" i="8"/>
  <c r="O1692" i="8"/>
  <c r="U1692" i="8"/>
  <c r="Q1695" i="8"/>
  <c r="AB228" i="14"/>
  <c r="N227" i="14"/>
  <c r="O226" i="14"/>
  <c r="L1694" i="8"/>
  <c r="N1692" i="8"/>
  <c r="V1693" i="8"/>
  <c r="Z1695" i="8"/>
  <c r="S1694" i="8"/>
  <c r="X1695" i="8"/>
  <c r="U1695" i="8"/>
  <c r="AC225" i="14"/>
  <c r="AB225" i="14"/>
  <c r="N230" i="14"/>
  <c r="O224" i="14"/>
  <c r="M1695" i="8"/>
  <c r="V1695" i="8"/>
  <c r="AB1694" i="8"/>
  <c r="Z1694" i="8"/>
  <c r="S1693" i="8"/>
  <c r="AC229" i="14"/>
  <c r="N229" i="14"/>
  <c r="O230" i="14"/>
  <c r="AE1695" i="8"/>
  <c r="V1692" i="8"/>
  <c r="AB1695" i="8"/>
  <c r="Z1692" i="8"/>
  <c r="W1693" i="8"/>
  <c r="AC230" i="14"/>
  <c r="N225" i="14"/>
  <c r="O225" i="14"/>
  <c r="AE1694" i="8"/>
  <c r="L374" i="2"/>
  <c r="L66" i="15" s="1"/>
  <c r="L68" i="15" s="1"/>
  <c r="L1850" i="8" s="1"/>
  <c r="AB1692" i="8"/>
  <c r="P1695" i="8"/>
  <c r="Z1693" i="8"/>
  <c r="W1692" i="8"/>
  <c r="N226" i="14"/>
  <c r="O228" i="14"/>
  <c r="V1694" i="8"/>
  <c r="AD1694" i="8"/>
  <c r="AB1693" i="8"/>
  <c r="R1692" i="8"/>
  <c r="P1692" i="8"/>
  <c r="T1694" i="8"/>
  <c r="W1694" i="8"/>
  <c r="Z231" i="14"/>
  <c r="Z225" i="14"/>
  <c r="Z224" i="14"/>
  <c r="Z227" i="14"/>
  <c r="Z226" i="14"/>
  <c r="Z229" i="14"/>
  <c r="Z228" i="14"/>
  <c r="Z230" i="14"/>
  <c r="F669" i="8"/>
  <c r="F685" i="8"/>
  <c r="F677" i="8"/>
  <c r="F673" i="8"/>
  <c r="F665" i="8"/>
  <c r="F681" i="8"/>
  <c r="Y170" i="13"/>
  <c r="Y171" i="13"/>
  <c r="Y169" i="13"/>
  <c r="Y176" i="13"/>
  <c r="Y175" i="13"/>
  <c r="Y173" i="13"/>
  <c r="Y172" i="13"/>
  <c r="Y174" i="13"/>
  <c r="Z175" i="13"/>
  <c r="Z173" i="13"/>
  <c r="Z171" i="13"/>
  <c r="Z169" i="13"/>
  <c r="Z170" i="13"/>
  <c r="Z176" i="13"/>
  <c r="Z172" i="13"/>
  <c r="Z174" i="13"/>
  <c r="T1072" i="8"/>
  <c r="T1073" i="8" s="1"/>
  <c r="U1068" i="8"/>
  <c r="U1069" i="8" s="1"/>
  <c r="AB1064" i="8"/>
  <c r="AB1065" i="8" s="1"/>
  <c r="L175" i="13"/>
  <c r="L173" i="13"/>
  <c r="L171" i="13"/>
  <c r="L169" i="13"/>
  <c r="L174" i="13"/>
  <c r="L172" i="13"/>
  <c r="L170" i="13"/>
  <c r="L176" i="13"/>
  <c r="T176" i="13"/>
  <c r="T174" i="13"/>
  <c r="T172" i="13"/>
  <c r="T170" i="13"/>
  <c r="T173" i="13"/>
  <c r="T175" i="13"/>
  <c r="T169" i="13"/>
  <c r="T171" i="13"/>
  <c r="AB173" i="13"/>
  <c r="AB172" i="13"/>
  <c r="AB171" i="13"/>
  <c r="AB170" i="13"/>
  <c r="AB169" i="13"/>
  <c r="AB174" i="13"/>
  <c r="AB176" i="13"/>
  <c r="AB175" i="13"/>
  <c r="U1064" i="8"/>
  <c r="U1065" i="8" s="1"/>
  <c r="AA1076" i="8"/>
  <c r="AA1077" i="8" s="1"/>
  <c r="U1080" i="8"/>
  <c r="U1081" i="8" s="1"/>
  <c r="AD174" i="13"/>
  <c r="AD173" i="13"/>
  <c r="AD172" i="13"/>
  <c r="AD171" i="13"/>
  <c r="AD170" i="13"/>
  <c r="AD169" i="13"/>
  <c r="AD176" i="13"/>
  <c r="AD175" i="13"/>
  <c r="O175" i="13"/>
  <c r="O173" i="13"/>
  <c r="O171" i="13"/>
  <c r="O169" i="13"/>
  <c r="O176" i="13"/>
  <c r="O174" i="13"/>
  <c r="O170" i="13"/>
  <c r="O172" i="13"/>
  <c r="V176" i="13"/>
  <c r="V174" i="13"/>
  <c r="V172" i="13"/>
  <c r="V170" i="13"/>
  <c r="V169" i="13"/>
  <c r="V175" i="13"/>
  <c r="V171" i="13"/>
  <c r="V173" i="13"/>
  <c r="AC175" i="13"/>
  <c r="AC173" i="13"/>
  <c r="AC171" i="13"/>
  <c r="AC169" i="13"/>
  <c r="AC174" i="13"/>
  <c r="AC172" i="13"/>
  <c r="AC170" i="13"/>
  <c r="AC176" i="13"/>
  <c r="N176" i="13"/>
  <c r="N175" i="13"/>
  <c r="N174" i="13"/>
  <c r="N173" i="13"/>
  <c r="N172" i="13"/>
  <c r="N169" i="13"/>
  <c r="N171" i="13"/>
  <c r="N170" i="13"/>
  <c r="AB1084" i="8"/>
  <c r="AB1085" i="8" s="1"/>
  <c r="AA1072" i="8"/>
  <c r="AA1073" i="8" s="1"/>
  <c r="O1068" i="8"/>
  <c r="O1069" i="8" s="1"/>
  <c r="Q175" i="13"/>
  <c r="Q173" i="13"/>
  <c r="Q171" i="13"/>
  <c r="Q169" i="13"/>
  <c r="Q176" i="13"/>
  <c r="Q172" i="13"/>
  <c r="Q174" i="13"/>
  <c r="Q170" i="13"/>
  <c r="U1072" i="8"/>
  <c r="U1073" i="8" s="1"/>
  <c r="AA1064" i="8"/>
  <c r="AA1065" i="8" s="1"/>
  <c r="AE175" i="13"/>
  <c r="AE173" i="13"/>
  <c r="AE171" i="13"/>
  <c r="AE169" i="13"/>
  <c r="AE176" i="13"/>
  <c r="AE174" i="13"/>
  <c r="AE172" i="13"/>
  <c r="AE170" i="13"/>
  <c r="W169" i="13"/>
  <c r="W170" i="13"/>
  <c r="W172" i="13"/>
  <c r="W175" i="13"/>
  <c r="W174" i="13"/>
  <c r="W171" i="13"/>
  <c r="W176" i="13"/>
  <c r="W173" i="13"/>
  <c r="O1072" i="8"/>
  <c r="O1073" i="8" s="1"/>
  <c r="Q1084" i="8"/>
  <c r="Q1085" i="8" s="1"/>
  <c r="AA1060" i="8"/>
  <c r="AA1061" i="8" s="1"/>
  <c r="O1084" i="8"/>
  <c r="O1085" i="8" s="1"/>
  <c r="AA1084" i="8"/>
  <c r="AA1085" i="8" s="1"/>
  <c r="Q1080" i="8"/>
  <c r="Q1081" i="8" s="1"/>
  <c r="P176" i="13"/>
  <c r="P175" i="13"/>
  <c r="P174" i="13"/>
  <c r="P173" i="13"/>
  <c r="P170" i="13"/>
  <c r="P171" i="13"/>
  <c r="P169" i="13"/>
  <c r="P172" i="13"/>
  <c r="R175" i="13"/>
  <c r="R176" i="13"/>
  <c r="R171" i="13"/>
  <c r="R169" i="13"/>
  <c r="R174" i="13"/>
  <c r="R170" i="13"/>
  <c r="R173" i="13"/>
  <c r="R172" i="13"/>
  <c r="AA175" i="13"/>
  <c r="AA173" i="13"/>
  <c r="AA171" i="13"/>
  <c r="AA169" i="13"/>
  <c r="AA172" i="13"/>
  <c r="AA170" i="13"/>
  <c r="AA176" i="13"/>
  <c r="AA174" i="13"/>
  <c r="M175" i="13"/>
  <c r="M173" i="13"/>
  <c r="M171" i="13"/>
  <c r="M169" i="13"/>
  <c r="M176" i="13"/>
  <c r="M174" i="13"/>
  <c r="M172" i="13"/>
  <c r="M170" i="13"/>
  <c r="AB1072" i="8"/>
  <c r="AB1073" i="8" s="1"/>
  <c r="AA1080" i="8"/>
  <c r="AA1081" i="8" s="1"/>
  <c r="Q1072" i="8"/>
  <c r="Q1073" i="8" s="1"/>
  <c r="AB1068" i="8"/>
  <c r="AB1069" i="8" s="1"/>
  <c r="O1076" i="8"/>
  <c r="O1077" i="8" s="1"/>
  <c r="U1084" i="8"/>
  <c r="U1085" i="8" s="1"/>
  <c r="AA1056" i="8"/>
  <c r="AA1057" i="8" s="1"/>
  <c r="AB1056" i="8"/>
  <c r="AB1057" i="8" s="1"/>
  <c r="Q1076" i="8"/>
  <c r="Q1077" i="8" s="1"/>
  <c r="Q1056" i="8"/>
  <c r="Q1057" i="8" s="1"/>
  <c r="AA1068" i="8"/>
  <c r="AA1069" i="8" s="1"/>
  <c r="O1056" i="8"/>
  <c r="O1057" i="8" s="1"/>
  <c r="U1076" i="8"/>
  <c r="U1077" i="8" s="1"/>
  <c r="Q1068" i="8"/>
  <c r="Q1069" i="8" s="1"/>
  <c r="Q1060" i="8"/>
  <c r="Q1061" i="8" s="1"/>
  <c r="O1060" i="8"/>
  <c r="O1061" i="8" s="1"/>
  <c r="O1064" i="8"/>
  <c r="O1065" i="8" s="1"/>
  <c r="U1056" i="8"/>
  <c r="U1057" i="8" s="1"/>
  <c r="AB1060" i="8"/>
  <c r="AB1061" i="8" s="1"/>
  <c r="Q1064" i="8"/>
  <c r="Q1065" i="8" s="1"/>
  <c r="AB1080" i="8"/>
  <c r="AB1081" i="8" s="1"/>
  <c r="O1080" i="8"/>
  <c r="O1081" i="8" s="1"/>
  <c r="U1060" i="8"/>
  <c r="U1061" i="8" s="1"/>
  <c r="AB1076" i="8"/>
  <c r="AB1077" i="8" s="1"/>
  <c r="U174" i="13"/>
  <c r="U170" i="13"/>
  <c r="U173" i="13"/>
  <c r="U171" i="13"/>
  <c r="U175" i="13"/>
  <c r="U172" i="13"/>
  <c r="U169" i="13"/>
  <c r="U176" i="13"/>
  <c r="S176" i="13"/>
  <c r="S174" i="13"/>
  <c r="S172" i="13"/>
  <c r="S170" i="13"/>
  <c r="S175" i="13"/>
  <c r="S173" i="13"/>
  <c r="S169" i="13"/>
  <c r="S171" i="13"/>
  <c r="X176" i="13"/>
  <c r="X174" i="13"/>
  <c r="X172" i="13"/>
  <c r="X170" i="13"/>
  <c r="X171" i="13"/>
  <c r="X169" i="13"/>
  <c r="X175" i="13"/>
  <c r="X173" i="13"/>
  <c r="L1543" i="8"/>
  <c r="L1545" i="8"/>
  <c r="L1544" i="8"/>
  <c r="L1546" i="8"/>
  <c r="L382" i="2"/>
  <c r="L840" i="8"/>
  <c r="L841" i="8" s="1"/>
  <c r="M860" i="8"/>
  <c r="M861" i="8" s="1"/>
  <c r="N860" i="8"/>
  <c r="N861" i="8" s="1"/>
  <c r="F1385" i="8"/>
  <c r="F989" i="8"/>
  <c r="H257" i="2"/>
  <c r="F313" i="2" s="1"/>
  <c r="I257" i="2"/>
  <c r="G313" i="2" s="1"/>
  <c r="H656" i="2"/>
  <c r="F712" i="2" s="1"/>
  <c r="I656" i="2"/>
  <c r="G712" i="2" s="1"/>
  <c r="L984" i="8"/>
  <c r="L985" i="8" s="1"/>
  <c r="L700" i="2"/>
  <c r="L705" i="2"/>
  <c r="L703" i="2"/>
  <c r="L704" i="2"/>
  <c r="L699" i="2"/>
  <c r="L698" i="2"/>
  <c r="L702" i="2"/>
  <c r="L701" i="2"/>
  <c r="F1425" i="8"/>
  <c r="F1397" i="8"/>
  <c r="H255" i="2"/>
  <c r="F317" i="2" s="1"/>
  <c r="I255" i="2"/>
  <c r="G317" i="2" s="1"/>
  <c r="I654" i="2"/>
  <c r="G716" i="2" s="1"/>
  <c r="H654" i="2"/>
  <c r="F716" i="2" s="1"/>
  <c r="F1413" i="8"/>
  <c r="I254" i="2"/>
  <c r="H254" i="2"/>
  <c r="H653" i="2"/>
  <c r="I653" i="2"/>
  <c r="Y984" i="8"/>
  <c r="Y985" i="8" s="1"/>
  <c r="Y700" i="2"/>
  <c r="Y704" i="2"/>
  <c r="Y705" i="2"/>
  <c r="Y703" i="2"/>
  <c r="Y702" i="2"/>
  <c r="Y699" i="2"/>
  <c r="Y698" i="2"/>
  <c r="Y701" i="2"/>
  <c r="F1421" i="8"/>
  <c r="P984" i="8"/>
  <c r="P985" i="8" s="1"/>
  <c r="P698" i="2"/>
  <c r="P700" i="2"/>
  <c r="P703" i="2"/>
  <c r="P705" i="2"/>
  <c r="P699" i="2"/>
  <c r="P702" i="2"/>
  <c r="P704" i="2"/>
  <c r="P701" i="2"/>
  <c r="Z704" i="2"/>
  <c r="Z698" i="2"/>
  <c r="Z700" i="2"/>
  <c r="Z699" i="2"/>
  <c r="Z984" i="8"/>
  <c r="Z985" i="8" s="1"/>
  <c r="Z703" i="2"/>
  <c r="Z705" i="2"/>
  <c r="Z702" i="2"/>
  <c r="Z701" i="2"/>
  <c r="F1417" i="8"/>
  <c r="W984" i="8"/>
  <c r="W985" i="8" s="1"/>
  <c r="W704" i="2"/>
  <c r="W705" i="2"/>
  <c r="W702" i="2"/>
  <c r="W703" i="2"/>
  <c r="W700" i="2"/>
  <c r="W698" i="2"/>
  <c r="W699" i="2"/>
  <c r="W701" i="2"/>
  <c r="F1405" i="8"/>
  <c r="H652" i="2"/>
  <c r="I652" i="2"/>
  <c r="F1393" i="8"/>
  <c r="F1409" i="8"/>
  <c r="F1401" i="8"/>
  <c r="H253" i="2"/>
  <c r="I253" i="2"/>
  <c r="L828" i="8"/>
  <c r="L829" i="8" s="1"/>
  <c r="L360" i="2"/>
  <c r="L378" i="2"/>
  <c r="M900" i="8"/>
  <c r="M901" i="8" s="1"/>
  <c r="M379" i="2"/>
  <c r="N900" i="8"/>
  <c r="N901" i="8" s="1"/>
  <c r="N379" i="2"/>
  <c r="D1455" i="8" l="1"/>
  <c r="T225" i="14"/>
  <c r="T228" i="14"/>
  <c r="T227" i="14"/>
  <c r="T226" i="14"/>
  <c r="T231" i="14"/>
  <c r="T230" i="14"/>
  <c r="T224" i="14"/>
  <c r="L900" i="8"/>
  <c r="L901" i="8" s="1"/>
  <c r="L904" i="8"/>
  <c r="L905" i="8" s="1"/>
  <c r="L51" i="15"/>
  <c r="L908" i="8"/>
  <c r="L909" i="8" s="1"/>
  <c r="L61" i="15"/>
  <c r="L63" i="15" s="1"/>
  <c r="L1849" i="8" s="1"/>
  <c r="L916" i="8"/>
  <c r="L917" i="8" s="1"/>
  <c r="L56" i="15"/>
  <c r="N326" i="14"/>
  <c r="M326" i="14"/>
  <c r="L326" i="14"/>
  <c r="X38" i="14"/>
  <c r="X30" i="14"/>
  <c r="Y38" i="14"/>
  <c r="Y30" i="14"/>
  <c r="L38" i="14"/>
  <c r="L112" i="14" s="1"/>
  <c r="Z38" i="14"/>
  <c r="L30" i="14"/>
  <c r="L104" i="14" s="1"/>
  <c r="Z30" i="14"/>
  <c r="M38" i="14"/>
  <c r="M112" i="14" s="1"/>
  <c r="AA38" i="14"/>
  <c r="M30" i="14"/>
  <c r="M104" i="14" s="1"/>
  <c r="AA30" i="14"/>
  <c r="N38" i="14"/>
  <c r="N112" i="14" s="1"/>
  <c r="AB38" i="14"/>
  <c r="N30" i="14"/>
  <c r="N104" i="14" s="1"/>
  <c r="AB30" i="14"/>
  <c r="Q38" i="14"/>
  <c r="AE38" i="14"/>
  <c r="Q30" i="14"/>
  <c r="AE30" i="14"/>
  <c r="AC38" i="14"/>
  <c r="V30" i="14"/>
  <c r="AD38" i="14"/>
  <c r="W30" i="14"/>
  <c r="AC30" i="14"/>
  <c r="AD30" i="14"/>
  <c r="O38" i="14"/>
  <c r="P38" i="14"/>
  <c r="R38" i="14"/>
  <c r="O30" i="14"/>
  <c r="V38" i="14"/>
  <c r="T30" i="14"/>
  <c r="P30" i="14"/>
  <c r="R30" i="14"/>
  <c r="S30" i="14"/>
  <c r="S38" i="14"/>
  <c r="U30" i="14"/>
  <c r="U38" i="14"/>
  <c r="T38" i="14"/>
  <c r="W38" i="14"/>
  <c r="N366" i="2"/>
  <c r="N395" i="2" s="1"/>
  <c r="N960" i="8" s="1"/>
  <c r="N961" i="8" s="1"/>
  <c r="M366" i="2"/>
  <c r="M395" i="2" s="1"/>
  <c r="M960" i="8" s="1"/>
  <c r="M961" i="8" s="1"/>
  <c r="L366" i="2"/>
  <c r="L395" i="2" s="1"/>
  <c r="L960" i="8" s="1"/>
  <c r="L961" i="8" s="1"/>
  <c r="F1693" i="8"/>
  <c r="F1692" i="8"/>
  <c r="P249" i="14"/>
  <c r="AD249" i="14"/>
  <c r="P241" i="14"/>
  <c r="AD241" i="14"/>
  <c r="Q249" i="14"/>
  <c r="AE249" i="14"/>
  <c r="Q241" i="14"/>
  <c r="AE241" i="14"/>
  <c r="R249" i="14"/>
  <c r="R241" i="14"/>
  <c r="S249" i="14"/>
  <c r="S241" i="14"/>
  <c r="T249" i="14"/>
  <c r="T241" i="14"/>
  <c r="U249" i="14"/>
  <c r="U241" i="14"/>
  <c r="V249" i="14"/>
  <c r="V241" i="14"/>
  <c r="X249" i="14"/>
  <c r="X241" i="14"/>
  <c r="W249" i="14"/>
  <c r="Y249" i="14"/>
  <c r="Z249" i="14"/>
  <c r="L241" i="14"/>
  <c r="L315" i="14" s="1"/>
  <c r="AA249" i="14"/>
  <c r="M241" i="14"/>
  <c r="M315" i="14" s="1"/>
  <c r="AB249" i="14"/>
  <c r="N241" i="14"/>
  <c r="N315" i="14" s="1"/>
  <c r="AC249" i="14"/>
  <c r="O241" i="14"/>
  <c r="W241" i="14"/>
  <c r="AA241" i="14"/>
  <c r="M249" i="14"/>
  <c r="M323" i="14" s="1"/>
  <c r="N249" i="14"/>
  <c r="N323" i="14" s="1"/>
  <c r="O249" i="14"/>
  <c r="Z241" i="14"/>
  <c r="Y241" i="14"/>
  <c r="AB241" i="14"/>
  <c r="AC241" i="14"/>
  <c r="L249" i="14"/>
  <c r="L323" i="14" s="1"/>
  <c r="F1694" i="8"/>
  <c r="F1695" i="8"/>
  <c r="X42" i="14"/>
  <c r="X34" i="14"/>
  <c r="Y42" i="14"/>
  <c r="Y34" i="14"/>
  <c r="L42" i="14"/>
  <c r="L116" i="14" s="1"/>
  <c r="Z42" i="14"/>
  <c r="L34" i="14"/>
  <c r="L108" i="14" s="1"/>
  <c r="Z34" i="14"/>
  <c r="M42" i="14"/>
  <c r="M116" i="14" s="1"/>
  <c r="AA42" i="14"/>
  <c r="M34" i="14"/>
  <c r="M108" i="14" s="1"/>
  <c r="AA34" i="14"/>
  <c r="N42" i="14"/>
  <c r="N116" i="14" s="1"/>
  <c r="AB42" i="14"/>
  <c r="N34" i="14"/>
  <c r="N108" i="14" s="1"/>
  <c r="AB34" i="14"/>
  <c r="Q42" i="14"/>
  <c r="AE42" i="14"/>
  <c r="Q34" i="14"/>
  <c r="AE34" i="14"/>
  <c r="R42" i="14"/>
  <c r="O34" i="14"/>
  <c r="S42" i="14"/>
  <c r="P34" i="14"/>
  <c r="T42" i="14"/>
  <c r="R34" i="14"/>
  <c r="U42" i="14"/>
  <c r="S34" i="14"/>
  <c r="V42" i="14"/>
  <c r="T34" i="14"/>
  <c r="AC42" i="14"/>
  <c r="V34" i="14"/>
  <c r="AD42" i="14"/>
  <c r="W34" i="14"/>
  <c r="AC34" i="14"/>
  <c r="O42" i="14"/>
  <c r="U34" i="14"/>
  <c r="AD34" i="14"/>
  <c r="P42" i="14"/>
  <c r="W42" i="14"/>
  <c r="M370" i="2"/>
  <c r="M399" i="2" s="1"/>
  <c r="M976" i="8" s="1"/>
  <c r="M977" i="8" s="1"/>
  <c r="N370" i="2"/>
  <c r="N399" i="2" s="1"/>
  <c r="N976" i="8" s="1"/>
  <c r="N977" i="8" s="1"/>
  <c r="L370" i="2"/>
  <c r="L399" i="2" s="1"/>
  <c r="L976" i="8" s="1"/>
  <c r="L977" i="8" s="1"/>
  <c r="P245" i="14"/>
  <c r="AD245" i="14"/>
  <c r="P237" i="14"/>
  <c r="AD237" i="14"/>
  <c r="Q245" i="14"/>
  <c r="AE245" i="14"/>
  <c r="Q237" i="14"/>
  <c r="AE237" i="14"/>
  <c r="R245" i="14"/>
  <c r="R237" i="14"/>
  <c r="S245" i="14"/>
  <c r="S237" i="14"/>
  <c r="T245" i="14"/>
  <c r="U245" i="14"/>
  <c r="U237" i="14"/>
  <c r="V245" i="14"/>
  <c r="V237" i="14"/>
  <c r="X245" i="14"/>
  <c r="X237" i="14"/>
  <c r="AB245" i="14"/>
  <c r="M237" i="14"/>
  <c r="M311" i="14" s="1"/>
  <c r="AC245" i="14"/>
  <c r="N237" i="14"/>
  <c r="N311" i="14" s="1"/>
  <c r="O237" i="14"/>
  <c r="T237" i="14"/>
  <c r="W237" i="14"/>
  <c r="Y237" i="14"/>
  <c r="L245" i="14"/>
  <c r="L319" i="14" s="1"/>
  <c r="Z237" i="14"/>
  <c r="O245" i="14"/>
  <c r="AC237" i="14"/>
  <c r="L237" i="14"/>
  <c r="L311" i="14" s="1"/>
  <c r="AA237" i="14"/>
  <c r="AB237" i="14"/>
  <c r="M245" i="14"/>
  <c r="M319" i="14" s="1"/>
  <c r="Y245" i="14"/>
  <c r="N245" i="14"/>
  <c r="N319" i="14" s="1"/>
  <c r="Z245" i="14"/>
  <c r="AA245" i="14"/>
  <c r="W245" i="14"/>
  <c r="W1060" i="8"/>
  <c r="W1061" i="8" s="1"/>
  <c r="Z1060" i="8"/>
  <c r="Z1061" i="8" s="1"/>
  <c r="P1064" i="8"/>
  <c r="P1065" i="8" s="1"/>
  <c r="L1068" i="8"/>
  <c r="L1069" i="8" s="1"/>
  <c r="W1064" i="8"/>
  <c r="W1065" i="8" s="1"/>
  <c r="Z1056" i="8"/>
  <c r="Z1057" i="8" s="1"/>
  <c r="L1056" i="8"/>
  <c r="L1057" i="8" s="1"/>
  <c r="Z1076" i="8"/>
  <c r="Z1077" i="8" s="1"/>
  <c r="Y1080" i="8"/>
  <c r="Y1081" i="8" s="1"/>
  <c r="L1072" i="8"/>
  <c r="L1073" i="8" s="1"/>
  <c r="W1076" i="8"/>
  <c r="W1077" i="8" s="1"/>
  <c r="Z1080" i="8"/>
  <c r="Z1081" i="8" s="1"/>
  <c r="L1060" i="8"/>
  <c r="L1061" i="8" s="1"/>
  <c r="P1084" i="8"/>
  <c r="P1085" i="8" s="1"/>
  <c r="L1080" i="8"/>
  <c r="L1081" i="8" s="1"/>
  <c r="W1084" i="8"/>
  <c r="W1085" i="8" s="1"/>
  <c r="L1076" i="8"/>
  <c r="L1077" i="8" s="1"/>
  <c r="W1080" i="8"/>
  <c r="W1081" i="8" s="1"/>
  <c r="Y1068" i="8"/>
  <c r="Y1069" i="8" s="1"/>
  <c r="L1084" i="8"/>
  <c r="L1085" i="8" s="1"/>
  <c r="Z1064" i="8"/>
  <c r="Z1065" i="8" s="1"/>
  <c r="Y1056" i="8"/>
  <c r="Y1057" i="8" s="1"/>
  <c r="L1064" i="8"/>
  <c r="L1065" i="8" s="1"/>
  <c r="P1056" i="8"/>
  <c r="P1057" i="8" s="1"/>
  <c r="W1072" i="8"/>
  <c r="W1073" i="8" s="1"/>
  <c r="P1068" i="8"/>
  <c r="P1069" i="8" s="1"/>
  <c r="Y1060" i="8"/>
  <c r="Y1061" i="8" s="1"/>
  <c r="W1056" i="8"/>
  <c r="W1057" i="8" s="1"/>
  <c r="Z1072" i="8"/>
  <c r="Z1073" i="8" s="1"/>
  <c r="P1072" i="8"/>
  <c r="P1073" i="8" s="1"/>
  <c r="Y1076" i="8"/>
  <c r="Y1077" i="8" s="1"/>
  <c r="Z1084" i="8"/>
  <c r="Z1085" i="8" s="1"/>
  <c r="P1060" i="8"/>
  <c r="P1061" i="8" s="1"/>
  <c r="Y1084" i="8"/>
  <c r="Y1085" i="8" s="1"/>
  <c r="Z1068" i="8"/>
  <c r="Z1069" i="8" s="1"/>
  <c r="P1080" i="8"/>
  <c r="P1081" i="8" s="1"/>
  <c r="Y1072" i="8"/>
  <c r="Y1073" i="8" s="1"/>
  <c r="W1068" i="8"/>
  <c r="W1069" i="8" s="1"/>
  <c r="P1076" i="8"/>
  <c r="P1077" i="8" s="1"/>
  <c r="Y1064" i="8"/>
  <c r="Y1065" i="8" s="1"/>
  <c r="S313" i="2"/>
  <c r="U313" i="2"/>
  <c r="T313" i="2"/>
  <c r="AC313" i="2"/>
  <c r="L313" i="2"/>
  <c r="X313" i="2"/>
  <c r="R313" i="2"/>
  <c r="Q313" i="2"/>
  <c r="W313" i="2"/>
  <c r="P313" i="2"/>
  <c r="AA313" i="2"/>
  <c r="O313" i="2"/>
  <c r="Z313" i="2"/>
  <c r="AB313" i="2"/>
  <c r="N313" i="2"/>
  <c r="V313" i="2"/>
  <c r="M313" i="2"/>
  <c r="AD313" i="2"/>
  <c r="Y313" i="2"/>
  <c r="AE313" i="2"/>
  <c r="R716" i="2"/>
  <c r="T716" i="2"/>
  <c r="W716" i="2"/>
  <c r="W726" i="2" s="1"/>
  <c r="W682" i="2" s="1"/>
  <c r="AE716" i="2"/>
  <c r="S716" i="2"/>
  <c r="Q716" i="2"/>
  <c r="AD716" i="2"/>
  <c r="AC716" i="2"/>
  <c r="Z716" i="2"/>
  <c r="Z726" i="2" s="1"/>
  <c r="Z682" i="2" s="1"/>
  <c r="AA716" i="2"/>
  <c r="M716" i="2"/>
  <c r="V716" i="2"/>
  <c r="Y716" i="2"/>
  <c r="Y726" i="2" s="1"/>
  <c r="Y682" i="2" s="1"/>
  <c r="N716" i="2"/>
  <c r="X716" i="2"/>
  <c r="P716" i="2"/>
  <c r="P726" i="2" s="1"/>
  <c r="P682" i="2" s="1"/>
  <c r="U716" i="2"/>
  <c r="L716" i="2"/>
  <c r="L726" i="2" s="1"/>
  <c r="O716" i="2"/>
  <c r="AB716" i="2"/>
  <c r="S317" i="2"/>
  <c r="T317" i="2"/>
  <c r="AC317" i="2"/>
  <c r="X317" i="2"/>
  <c r="U317" i="2"/>
  <c r="L317" i="2"/>
  <c r="R317" i="2"/>
  <c r="Y317" i="2"/>
  <c r="AA317" i="2"/>
  <c r="W317" i="2"/>
  <c r="P317" i="2"/>
  <c r="Z317" i="2"/>
  <c r="AE317" i="2"/>
  <c r="Q317" i="2"/>
  <c r="M317" i="2"/>
  <c r="AB317" i="2"/>
  <c r="N317" i="2"/>
  <c r="V317" i="2"/>
  <c r="O317" i="2"/>
  <c r="AD317" i="2"/>
  <c r="T712" i="2"/>
  <c r="AE712" i="2"/>
  <c r="W712" i="2"/>
  <c r="W722" i="2" s="1"/>
  <c r="W678" i="2" s="1"/>
  <c r="S712" i="2"/>
  <c r="Q712" i="2"/>
  <c r="AB712" i="2"/>
  <c r="R712" i="2"/>
  <c r="Z712" i="2"/>
  <c r="Z722" i="2" s="1"/>
  <c r="Z678" i="2" s="1"/>
  <c r="AA712" i="2"/>
  <c r="M712" i="2"/>
  <c r="Y712" i="2"/>
  <c r="Y722" i="2" s="1"/>
  <c r="Y678" i="2" s="1"/>
  <c r="P712" i="2"/>
  <c r="P722" i="2" s="1"/>
  <c r="P678" i="2" s="1"/>
  <c r="L712" i="2"/>
  <c r="L722" i="2" s="1"/>
  <c r="V712" i="2"/>
  <c r="X712" i="2"/>
  <c r="O712" i="2"/>
  <c r="U712" i="2"/>
  <c r="AD712" i="2"/>
  <c r="N712" i="2"/>
  <c r="AC712" i="2"/>
  <c r="D1381" i="8"/>
  <c r="L860" i="8"/>
  <c r="L861" i="8" s="1"/>
  <c r="M920" i="8"/>
  <c r="M921" i="8" s="1"/>
  <c r="N920" i="8"/>
  <c r="N921" i="8" s="1"/>
  <c r="F1439" i="8"/>
  <c r="F311" i="2"/>
  <c r="F312" i="2"/>
  <c r="F310" i="2"/>
  <c r="G312" i="2"/>
  <c r="G311" i="2"/>
  <c r="G310" i="2"/>
  <c r="L379" i="2"/>
  <c r="G315" i="2"/>
  <c r="G316" i="2"/>
  <c r="G314" i="2"/>
  <c r="G713" i="2"/>
  <c r="G715" i="2"/>
  <c r="G714" i="2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AD471" i="8"/>
  <c r="AD472" i="8" s="1"/>
  <c r="AB531" i="8"/>
  <c r="AB532" i="8" s="1"/>
  <c r="AB559" i="8"/>
  <c r="AB560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AD487" i="8"/>
  <c r="AD488" i="8" s="1"/>
  <c r="AC495" i="8"/>
  <c r="AC496" i="8" s="1"/>
  <c r="P539" i="8"/>
  <c r="P540" i="8" s="1"/>
  <c r="X555" i="8"/>
  <c r="X556" i="8" s="1"/>
  <c r="AA447" i="8"/>
  <c r="AA448" i="8" s="1"/>
  <c r="X531" i="8"/>
  <c r="X532" i="8" s="1"/>
  <c r="V447" i="8"/>
  <c r="V448" i="8" s="1"/>
  <c r="F316" i="2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N579" i="8"/>
  <c r="N580" i="8" s="1"/>
  <c r="Q503" i="8"/>
  <c r="Q504" i="8" s="1"/>
  <c r="Z471" i="8"/>
  <c r="Z472" i="8" s="1"/>
  <c r="W547" i="8"/>
  <c r="W548" i="8" s="1"/>
  <c r="F314" i="2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O511" i="8"/>
  <c r="O512" i="8" s="1"/>
  <c r="AB543" i="8"/>
  <c r="AB544" i="8" s="1"/>
  <c r="M527" i="8"/>
  <c r="M528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M471" i="8"/>
  <c r="M472" i="8" s="1"/>
  <c r="L487" i="8"/>
  <c r="L488" i="8" s="1"/>
  <c r="S543" i="8"/>
  <c r="S544" i="8" s="1"/>
  <c r="O459" i="8"/>
  <c r="O460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P475" i="8"/>
  <c r="P476" i="8" s="1"/>
  <c r="P491" i="8"/>
  <c r="P492" i="8" s="1"/>
  <c r="K479" i="8"/>
  <c r="S471" i="8"/>
  <c r="S472" i="8" s="1"/>
  <c r="N519" i="8"/>
  <c r="N520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X455" i="8"/>
  <c r="X456" i="8" s="1"/>
  <c r="Q515" i="8"/>
  <c r="Q516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AC579" i="8"/>
  <c r="AC580" i="8" s="1"/>
  <c r="X475" i="8"/>
  <c r="X476" i="8" s="1"/>
  <c r="Z527" i="8"/>
  <c r="Z528" i="8" s="1"/>
  <c r="L239" i="8"/>
  <c r="L240" i="8" s="1"/>
  <c r="AD463" i="8"/>
  <c r="AD464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X443" i="8"/>
  <c r="X444" i="8" s="1"/>
  <c r="L171" i="8"/>
  <c r="L172" i="8" s="1"/>
  <c r="AE579" i="8"/>
  <c r="AE580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L167" i="8"/>
  <c r="L168" i="8" s="1"/>
  <c r="N571" i="8"/>
  <c r="N572" i="8" s="1"/>
  <c r="AA487" i="8"/>
  <c r="AA488" i="8" s="1"/>
  <c r="F715" i="2"/>
  <c r="F714" i="2"/>
  <c r="F713" i="2"/>
  <c r="F985" i="8"/>
  <c r="G709" i="2"/>
  <c r="G710" i="2"/>
  <c r="G711" i="2"/>
  <c r="F710" i="2"/>
  <c r="F711" i="2"/>
  <c r="F709" i="2"/>
  <c r="L59" i="17" l="1"/>
  <c r="N260" i="2"/>
  <c r="N20" i="15" s="1"/>
  <c r="M261" i="2"/>
  <c r="M21" i="15" s="1"/>
  <c r="M1843" i="8" s="1"/>
  <c r="M260" i="2"/>
  <c r="M20" i="15" s="1"/>
  <c r="L261" i="2"/>
  <c r="L21" i="15" s="1"/>
  <c r="L1843" i="8" s="1"/>
  <c r="L260" i="2"/>
  <c r="L20" i="15" s="1"/>
  <c r="N261" i="2"/>
  <c r="N21" i="15" s="1"/>
  <c r="N1843" i="8" s="1"/>
  <c r="L58" i="15"/>
  <c r="L1848" i="8" s="1"/>
  <c r="L59" i="15"/>
  <c r="L53" i="15"/>
  <c r="L1847" i="8" s="1"/>
  <c r="L54" i="15"/>
  <c r="Q35" i="14"/>
  <c r="AE35" i="14"/>
  <c r="Q27" i="14"/>
  <c r="AE27" i="14"/>
  <c r="R35" i="14"/>
  <c r="R27" i="14"/>
  <c r="S35" i="14"/>
  <c r="S27" i="14"/>
  <c r="T35" i="14"/>
  <c r="T27" i="14"/>
  <c r="U35" i="14"/>
  <c r="U27" i="14"/>
  <c r="X35" i="14"/>
  <c r="X27" i="14"/>
  <c r="L35" i="14"/>
  <c r="L109" i="14" s="1"/>
  <c r="AD27" i="14"/>
  <c r="M35" i="14"/>
  <c r="M109" i="14" s="1"/>
  <c r="N35" i="14"/>
  <c r="N109" i="14" s="1"/>
  <c r="L27" i="14"/>
  <c r="O35" i="14"/>
  <c r="M27" i="14"/>
  <c r="P35" i="14"/>
  <c r="N27" i="14"/>
  <c r="W35" i="14"/>
  <c r="P27" i="14"/>
  <c r="Y35" i="14"/>
  <c r="V27" i="14"/>
  <c r="Z35" i="14"/>
  <c r="W27" i="14"/>
  <c r="AD35" i="14"/>
  <c r="AB27" i="14"/>
  <c r="AC35" i="14"/>
  <c r="V35" i="14"/>
  <c r="Z27" i="14"/>
  <c r="O27" i="14"/>
  <c r="Y27" i="14"/>
  <c r="AA35" i="14"/>
  <c r="AA27" i="14"/>
  <c r="AB35" i="14"/>
  <c r="AC27" i="14"/>
  <c r="M363" i="2"/>
  <c r="N363" i="2"/>
  <c r="L363" i="2"/>
  <c r="W293" i="14"/>
  <c r="W311" i="14" s="1"/>
  <c r="W301" i="14"/>
  <c r="W319" i="14" s="1"/>
  <c r="Q37" i="14"/>
  <c r="AE37" i="14"/>
  <c r="Q29" i="14"/>
  <c r="AE29" i="14"/>
  <c r="R37" i="14"/>
  <c r="R29" i="14"/>
  <c r="S37" i="14"/>
  <c r="S29" i="14"/>
  <c r="T37" i="14"/>
  <c r="T29" i="14"/>
  <c r="U37" i="14"/>
  <c r="U29" i="14"/>
  <c r="X37" i="14"/>
  <c r="X29" i="14"/>
  <c r="AC37" i="14"/>
  <c r="AA29" i="14"/>
  <c r="AD37" i="14"/>
  <c r="AB29" i="14"/>
  <c r="AC29" i="14"/>
  <c r="L37" i="14"/>
  <c r="L111" i="14" s="1"/>
  <c r="AD29" i="14"/>
  <c r="M37" i="14"/>
  <c r="M111" i="14" s="1"/>
  <c r="O37" i="14"/>
  <c r="M29" i="14"/>
  <c r="M103" i="14" s="1"/>
  <c r="P37" i="14"/>
  <c r="N29" i="14"/>
  <c r="N103" i="14" s="1"/>
  <c r="V37" i="14"/>
  <c r="O29" i="14"/>
  <c r="AA37" i="14"/>
  <c r="Y29" i="14"/>
  <c r="W37" i="14"/>
  <c r="Z29" i="14"/>
  <c r="Y37" i="14"/>
  <c r="W29" i="14"/>
  <c r="Z37" i="14"/>
  <c r="AB37" i="14"/>
  <c r="N37" i="14"/>
  <c r="N111" i="14" s="1"/>
  <c r="L29" i="14"/>
  <c r="L103" i="14" s="1"/>
  <c r="P29" i="14"/>
  <c r="V29" i="14"/>
  <c r="M365" i="2"/>
  <c r="M394" i="2" s="1"/>
  <c r="L365" i="2"/>
  <c r="L394" i="2" s="1"/>
  <c r="N365" i="2"/>
  <c r="N394" i="2" s="1"/>
  <c r="P301" i="14"/>
  <c r="P319" i="14" s="1"/>
  <c r="P293" i="14"/>
  <c r="P311" i="14" s="1"/>
  <c r="Y297" i="14"/>
  <c r="Y315" i="14" s="1"/>
  <c r="Y305" i="14"/>
  <c r="Y323" i="14" s="1"/>
  <c r="Y301" i="14"/>
  <c r="Y319" i="14" s="1"/>
  <c r="Y293" i="14"/>
  <c r="Y311" i="14" s="1"/>
  <c r="Z305" i="14"/>
  <c r="Z323" i="14" s="1"/>
  <c r="Z297" i="14"/>
  <c r="Z315" i="14" s="1"/>
  <c r="X36" i="14"/>
  <c r="X28" i="14"/>
  <c r="Y36" i="14"/>
  <c r="Y28" i="14"/>
  <c r="L36" i="14"/>
  <c r="L110" i="14" s="1"/>
  <c r="Z36" i="14"/>
  <c r="L28" i="14"/>
  <c r="L102" i="14" s="1"/>
  <c r="Z28" i="14"/>
  <c r="M36" i="14"/>
  <c r="M110" i="14" s="1"/>
  <c r="AA36" i="14"/>
  <c r="M28" i="14"/>
  <c r="M102" i="14" s="1"/>
  <c r="AA28" i="14"/>
  <c r="N36" i="14"/>
  <c r="N110" i="14" s="1"/>
  <c r="AB36" i="14"/>
  <c r="N28" i="14"/>
  <c r="N102" i="14" s="1"/>
  <c r="AB28" i="14"/>
  <c r="Q36" i="14"/>
  <c r="AE36" i="14"/>
  <c r="Q28" i="14"/>
  <c r="AE28" i="14"/>
  <c r="AD28" i="14"/>
  <c r="O36" i="14"/>
  <c r="P36" i="14"/>
  <c r="S36" i="14"/>
  <c r="P28" i="14"/>
  <c r="T36" i="14"/>
  <c r="R28" i="14"/>
  <c r="U36" i="14"/>
  <c r="S28" i="14"/>
  <c r="AD36" i="14"/>
  <c r="W28" i="14"/>
  <c r="O28" i="14"/>
  <c r="T28" i="14"/>
  <c r="U28" i="14"/>
  <c r="R36" i="14"/>
  <c r="V28" i="14"/>
  <c r="V36" i="14"/>
  <c r="AC28" i="14"/>
  <c r="W36" i="14"/>
  <c r="AC36" i="14"/>
  <c r="L364" i="2"/>
  <c r="L393" i="2" s="1"/>
  <c r="N364" i="2"/>
  <c r="N393" i="2" s="1"/>
  <c r="M364" i="2"/>
  <c r="M393" i="2" s="1"/>
  <c r="W242" i="14"/>
  <c r="X242" i="14"/>
  <c r="Y242" i="14"/>
  <c r="L242" i="14"/>
  <c r="L316" i="14" s="1"/>
  <c r="Z242" i="14"/>
  <c r="L234" i="14"/>
  <c r="Z234" i="14"/>
  <c r="M242" i="14"/>
  <c r="M316" i="14" s="1"/>
  <c r="AA242" i="14"/>
  <c r="N242" i="14"/>
  <c r="N316" i="14" s="1"/>
  <c r="AB242" i="14"/>
  <c r="N234" i="14"/>
  <c r="AB234" i="14"/>
  <c r="O242" i="14"/>
  <c r="AC242" i="14"/>
  <c r="O234" i="14"/>
  <c r="AC234" i="14"/>
  <c r="Q242" i="14"/>
  <c r="AE242" i="14"/>
  <c r="Q234" i="14"/>
  <c r="AE234" i="14"/>
  <c r="AD242" i="14"/>
  <c r="S234" i="14"/>
  <c r="T234" i="14"/>
  <c r="U234" i="14"/>
  <c r="V234" i="14"/>
  <c r="W234" i="14"/>
  <c r="X234" i="14"/>
  <c r="Y234" i="14"/>
  <c r="R242" i="14"/>
  <c r="M234" i="14"/>
  <c r="P242" i="14"/>
  <c r="P234" i="14"/>
  <c r="U242" i="14"/>
  <c r="AD234" i="14"/>
  <c r="S242" i="14"/>
  <c r="T242" i="14"/>
  <c r="R234" i="14"/>
  <c r="V242" i="14"/>
  <c r="AA234" i="14"/>
  <c r="W244" i="14"/>
  <c r="W236" i="14"/>
  <c r="X244" i="14"/>
  <c r="X236" i="14"/>
  <c r="Y244" i="14"/>
  <c r="L244" i="14"/>
  <c r="L318" i="14" s="1"/>
  <c r="Z244" i="14"/>
  <c r="L236" i="14"/>
  <c r="L310" i="14" s="1"/>
  <c r="Z236" i="14"/>
  <c r="M244" i="14"/>
  <c r="M318" i="14" s="1"/>
  <c r="AA244" i="14"/>
  <c r="N244" i="14"/>
  <c r="N318" i="14" s="1"/>
  <c r="AB244" i="14"/>
  <c r="N236" i="14"/>
  <c r="N310" i="14" s="1"/>
  <c r="AB236" i="14"/>
  <c r="O244" i="14"/>
  <c r="AC244" i="14"/>
  <c r="O236" i="14"/>
  <c r="AC236" i="14"/>
  <c r="Q244" i="14"/>
  <c r="AE244" i="14"/>
  <c r="Q236" i="14"/>
  <c r="AE236" i="14"/>
  <c r="S236" i="14"/>
  <c r="T236" i="14"/>
  <c r="U236" i="14"/>
  <c r="P244" i="14"/>
  <c r="V236" i="14"/>
  <c r="R244" i="14"/>
  <c r="Y236" i="14"/>
  <c r="S244" i="14"/>
  <c r="AA236" i="14"/>
  <c r="T244" i="14"/>
  <c r="AD236" i="14"/>
  <c r="AD244" i="14"/>
  <c r="R236" i="14"/>
  <c r="U244" i="14"/>
  <c r="V244" i="14"/>
  <c r="P236" i="14"/>
  <c r="M236" i="14"/>
  <c r="M310" i="14" s="1"/>
  <c r="P243" i="14"/>
  <c r="AD243" i="14"/>
  <c r="Q243" i="14"/>
  <c r="AE243" i="14"/>
  <c r="R243" i="14"/>
  <c r="S243" i="14"/>
  <c r="S235" i="14"/>
  <c r="T243" i="14"/>
  <c r="U243" i="14"/>
  <c r="U235" i="14"/>
  <c r="V243" i="14"/>
  <c r="V235" i="14"/>
  <c r="X243" i="14"/>
  <c r="X235" i="14"/>
  <c r="O243" i="14"/>
  <c r="R235" i="14"/>
  <c r="W243" i="14"/>
  <c r="T235" i="14"/>
  <c r="Y243" i="14"/>
  <c r="W235" i="14"/>
  <c r="Z243" i="14"/>
  <c r="Y235" i="14"/>
  <c r="AA243" i="14"/>
  <c r="Z235" i="14"/>
  <c r="AB243" i="14"/>
  <c r="AA235" i="14"/>
  <c r="AC243" i="14"/>
  <c r="AB235" i="14"/>
  <c r="M235" i="14"/>
  <c r="M309" i="14" s="1"/>
  <c r="AE235" i="14"/>
  <c r="L243" i="14"/>
  <c r="L317" i="14" s="1"/>
  <c r="AC235" i="14"/>
  <c r="M243" i="14"/>
  <c r="M317" i="14" s="1"/>
  <c r="AD235" i="14"/>
  <c r="N243" i="14"/>
  <c r="N317" i="14" s="1"/>
  <c r="P235" i="14"/>
  <c r="Q235" i="14"/>
  <c r="L235" i="14"/>
  <c r="L309" i="14" s="1"/>
  <c r="N235" i="14"/>
  <c r="N309" i="14" s="1"/>
  <c r="O235" i="14"/>
  <c r="X40" i="14"/>
  <c r="X32" i="14"/>
  <c r="Y40" i="14"/>
  <c r="Y32" i="14"/>
  <c r="L40" i="14"/>
  <c r="L114" i="14" s="1"/>
  <c r="Z40" i="14"/>
  <c r="L32" i="14"/>
  <c r="L106" i="14" s="1"/>
  <c r="Z32" i="14"/>
  <c r="M40" i="14"/>
  <c r="M114" i="14" s="1"/>
  <c r="AA40" i="14"/>
  <c r="M32" i="14"/>
  <c r="M106" i="14" s="1"/>
  <c r="AA32" i="14"/>
  <c r="N40" i="14"/>
  <c r="N114" i="14" s="1"/>
  <c r="AB40" i="14"/>
  <c r="N32" i="14"/>
  <c r="N106" i="14" s="1"/>
  <c r="AB32" i="14"/>
  <c r="Q40" i="14"/>
  <c r="AE40" i="14"/>
  <c r="Q32" i="14"/>
  <c r="AE32" i="14"/>
  <c r="U40" i="14"/>
  <c r="S32" i="14"/>
  <c r="V40" i="14"/>
  <c r="T32" i="14"/>
  <c r="W40" i="14"/>
  <c r="U32" i="14"/>
  <c r="AC40" i="14"/>
  <c r="V32" i="14"/>
  <c r="AD40" i="14"/>
  <c r="W32" i="14"/>
  <c r="AD32" i="14"/>
  <c r="S40" i="14"/>
  <c r="P32" i="14"/>
  <c r="R40" i="14"/>
  <c r="T40" i="14"/>
  <c r="P40" i="14"/>
  <c r="O32" i="14"/>
  <c r="R32" i="14"/>
  <c r="AC32" i="14"/>
  <c r="O40" i="14"/>
  <c r="N368" i="2"/>
  <c r="N397" i="2" s="1"/>
  <c r="M368" i="2"/>
  <c r="M397" i="2" s="1"/>
  <c r="L368" i="2"/>
  <c r="L397" i="2" s="1"/>
  <c r="Q41" i="14"/>
  <c r="AE41" i="14"/>
  <c r="Q33" i="14"/>
  <c r="AE33" i="14"/>
  <c r="R41" i="14"/>
  <c r="R33" i="14"/>
  <c r="S41" i="14"/>
  <c r="S33" i="14"/>
  <c r="T41" i="14"/>
  <c r="T33" i="14"/>
  <c r="U41" i="14"/>
  <c r="U33" i="14"/>
  <c r="X41" i="14"/>
  <c r="X33" i="14"/>
  <c r="V41" i="14"/>
  <c r="O33" i="14"/>
  <c r="W41" i="14"/>
  <c r="P33" i="14"/>
  <c r="Y41" i="14"/>
  <c r="V33" i="14"/>
  <c r="Z41" i="14"/>
  <c r="W33" i="14"/>
  <c r="AA41" i="14"/>
  <c r="Y33" i="14"/>
  <c r="AC41" i="14"/>
  <c r="AA33" i="14"/>
  <c r="AD41" i="14"/>
  <c r="AB33" i="14"/>
  <c r="AC33" i="14"/>
  <c r="O41" i="14"/>
  <c r="M33" i="14"/>
  <c r="M107" i="14" s="1"/>
  <c r="L33" i="14"/>
  <c r="L107" i="14" s="1"/>
  <c r="N33" i="14"/>
  <c r="N107" i="14" s="1"/>
  <c r="L41" i="14"/>
  <c r="L115" i="14" s="1"/>
  <c r="Z33" i="14"/>
  <c r="M41" i="14"/>
  <c r="M115" i="14" s="1"/>
  <c r="AD33" i="14"/>
  <c r="AB41" i="14"/>
  <c r="N41" i="14"/>
  <c r="N115" i="14" s="1"/>
  <c r="P41" i="14"/>
  <c r="M369" i="2"/>
  <c r="M398" i="2" s="1"/>
  <c r="N369" i="2"/>
  <c r="N398" i="2" s="1"/>
  <c r="L369" i="2"/>
  <c r="L398" i="2" s="1"/>
  <c r="Z301" i="14"/>
  <c r="Z319" i="14" s="1"/>
  <c r="Z293" i="14"/>
  <c r="Z311" i="14" s="1"/>
  <c r="W246" i="14"/>
  <c r="W238" i="14"/>
  <c r="X246" i="14"/>
  <c r="X238" i="14"/>
  <c r="Y246" i="14"/>
  <c r="Y238" i="14"/>
  <c r="L246" i="14"/>
  <c r="L320" i="14" s="1"/>
  <c r="Z246" i="14"/>
  <c r="L238" i="14"/>
  <c r="L312" i="14" s="1"/>
  <c r="Z238" i="14"/>
  <c r="M246" i="14"/>
  <c r="M320" i="14" s="1"/>
  <c r="AA246" i="14"/>
  <c r="M238" i="14"/>
  <c r="M312" i="14" s="1"/>
  <c r="N246" i="14"/>
  <c r="N320" i="14" s="1"/>
  <c r="AB246" i="14"/>
  <c r="N238" i="14"/>
  <c r="N312" i="14" s="1"/>
  <c r="AB238" i="14"/>
  <c r="O246" i="14"/>
  <c r="AC246" i="14"/>
  <c r="O238" i="14"/>
  <c r="AC238" i="14"/>
  <c r="Q246" i="14"/>
  <c r="AE246" i="14"/>
  <c r="Q238" i="14"/>
  <c r="AE238" i="14"/>
  <c r="S246" i="14"/>
  <c r="T246" i="14"/>
  <c r="U246" i="14"/>
  <c r="V246" i="14"/>
  <c r="AD246" i="14"/>
  <c r="P238" i="14"/>
  <c r="R238" i="14"/>
  <c r="S238" i="14"/>
  <c r="V238" i="14"/>
  <c r="P246" i="14"/>
  <c r="R246" i="14"/>
  <c r="T238" i="14"/>
  <c r="U238" i="14"/>
  <c r="AA238" i="14"/>
  <c r="AD238" i="14"/>
  <c r="P297" i="14"/>
  <c r="P315" i="14" s="1"/>
  <c r="P305" i="14"/>
  <c r="P323" i="14" s="1"/>
  <c r="P247" i="14"/>
  <c r="AD247" i="14"/>
  <c r="P239" i="14"/>
  <c r="AD239" i="14"/>
  <c r="Q247" i="14"/>
  <c r="AE247" i="14"/>
  <c r="Q239" i="14"/>
  <c r="AE239" i="14"/>
  <c r="R247" i="14"/>
  <c r="R239" i="14"/>
  <c r="S247" i="14"/>
  <c r="S239" i="14"/>
  <c r="T247" i="14"/>
  <c r="T239" i="14"/>
  <c r="U247" i="14"/>
  <c r="U239" i="14"/>
  <c r="V247" i="14"/>
  <c r="V239" i="14"/>
  <c r="X247" i="14"/>
  <c r="X239" i="14"/>
  <c r="AA239" i="14"/>
  <c r="L247" i="14"/>
  <c r="L321" i="14" s="1"/>
  <c r="AB239" i="14"/>
  <c r="M247" i="14"/>
  <c r="M321" i="14" s="1"/>
  <c r="AC239" i="14"/>
  <c r="N247" i="14"/>
  <c r="N321" i="14" s="1"/>
  <c r="O247" i="14"/>
  <c r="W247" i="14"/>
  <c r="Y247" i="14"/>
  <c r="AB247" i="14"/>
  <c r="N239" i="14"/>
  <c r="N313" i="14" s="1"/>
  <c r="L239" i="14"/>
  <c r="L313" i="14" s="1"/>
  <c r="M239" i="14"/>
  <c r="M313" i="14" s="1"/>
  <c r="Y239" i="14"/>
  <c r="Z239" i="14"/>
  <c r="Z247" i="14"/>
  <c r="AA247" i="14"/>
  <c r="AC247" i="14"/>
  <c r="W239" i="14"/>
  <c r="O239" i="14"/>
  <c r="Q39" i="14"/>
  <c r="AE39" i="14"/>
  <c r="Q31" i="14"/>
  <c r="AE31" i="14"/>
  <c r="R39" i="14"/>
  <c r="R31" i="14"/>
  <c r="S39" i="14"/>
  <c r="S31" i="14"/>
  <c r="T39" i="14"/>
  <c r="T31" i="14"/>
  <c r="U39" i="14"/>
  <c r="U31" i="14"/>
  <c r="X39" i="14"/>
  <c r="X31" i="14"/>
  <c r="Z39" i="14"/>
  <c r="W31" i="14"/>
  <c r="AA39" i="14"/>
  <c r="Y31" i="14"/>
  <c r="AB39" i="14"/>
  <c r="Z31" i="14"/>
  <c r="AC39" i="14"/>
  <c r="AA31" i="14"/>
  <c r="AD39" i="14"/>
  <c r="AB31" i="14"/>
  <c r="L39" i="14"/>
  <c r="L113" i="14" s="1"/>
  <c r="AD31" i="14"/>
  <c r="M39" i="14"/>
  <c r="M113" i="14" s="1"/>
  <c r="N39" i="14"/>
  <c r="N113" i="14" s="1"/>
  <c r="L31" i="14"/>
  <c r="L105" i="14" s="1"/>
  <c r="W39" i="14"/>
  <c r="P31" i="14"/>
  <c r="N31" i="14"/>
  <c r="N105" i="14" s="1"/>
  <c r="O31" i="14"/>
  <c r="V31" i="14"/>
  <c r="O39" i="14"/>
  <c r="AC31" i="14"/>
  <c r="P39" i="14"/>
  <c r="V39" i="14"/>
  <c r="Y39" i="14"/>
  <c r="M31" i="14"/>
  <c r="M105" i="14" s="1"/>
  <c r="M367" i="2"/>
  <c r="M396" i="2" s="1"/>
  <c r="M964" i="8" s="1"/>
  <c r="M965" i="8" s="1"/>
  <c r="N367" i="2"/>
  <c r="N396" i="2" s="1"/>
  <c r="N964" i="8" s="1"/>
  <c r="N965" i="8" s="1"/>
  <c r="L367" i="2"/>
  <c r="L396" i="2" s="1"/>
  <c r="L964" i="8" s="1"/>
  <c r="L965" i="8" s="1"/>
  <c r="W248" i="14"/>
  <c r="W240" i="14"/>
  <c r="X248" i="14"/>
  <c r="X240" i="14"/>
  <c r="Y248" i="14"/>
  <c r="Y240" i="14"/>
  <c r="L248" i="14"/>
  <c r="L322" i="14" s="1"/>
  <c r="Z248" i="14"/>
  <c r="L240" i="14"/>
  <c r="L314" i="14" s="1"/>
  <c r="Z240" i="14"/>
  <c r="M248" i="14"/>
  <c r="M322" i="14" s="1"/>
  <c r="AA248" i="14"/>
  <c r="M240" i="14"/>
  <c r="M314" i="14" s="1"/>
  <c r="AA240" i="14"/>
  <c r="N248" i="14"/>
  <c r="N322" i="14" s="1"/>
  <c r="AB248" i="14"/>
  <c r="N240" i="14"/>
  <c r="N314" i="14" s="1"/>
  <c r="AB240" i="14"/>
  <c r="O248" i="14"/>
  <c r="AC248" i="14"/>
  <c r="O240" i="14"/>
  <c r="AC240" i="14"/>
  <c r="Q248" i="14"/>
  <c r="AE248" i="14"/>
  <c r="Q240" i="14"/>
  <c r="AE240" i="14"/>
  <c r="R240" i="14"/>
  <c r="S240" i="14"/>
  <c r="T240" i="14"/>
  <c r="U240" i="14"/>
  <c r="V240" i="14"/>
  <c r="AD240" i="14"/>
  <c r="S248" i="14"/>
  <c r="P240" i="14"/>
  <c r="P248" i="14"/>
  <c r="U248" i="14"/>
  <c r="AD248" i="14"/>
  <c r="R248" i="14"/>
  <c r="T248" i="14"/>
  <c r="V248" i="14"/>
  <c r="W297" i="14"/>
  <c r="W315" i="14" s="1"/>
  <c r="W305" i="14"/>
  <c r="W323" i="14" s="1"/>
  <c r="F1061" i="8"/>
  <c r="F1057" i="8"/>
  <c r="W166" i="13"/>
  <c r="W186" i="13" s="1"/>
  <c r="W216" i="13" s="1"/>
  <c r="W248" i="13" s="1"/>
  <c r="F1077" i="8"/>
  <c r="F1085" i="8"/>
  <c r="F1069" i="8"/>
  <c r="F1065" i="8"/>
  <c r="F1073" i="8"/>
  <c r="F1081" i="8"/>
  <c r="U722" i="2"/>
  <c r="U678" i="2" s="1"/>
  <c r="U162" i="13"/>
  <c r="R323" i="2"/>
  <c r="R279" i="2" s="1"/>
  <c r="R23" i="13"/>
  <c r="O722" i="2"/>
  <c r="O678" i="2" s="1"/>
  <c r="O162" i="13"/>
  <c r="AE722" i="2"/>
  <c r="AE678" i="2" s="1"/>
  <c r="AE162" i="13"/>
  <c r="Y327" i="2"/>
  <c r="Y283" i="2" s="1"/>
  <c r="Y27" i="13"/>
  <c r="N726" i="2"/>
  <c r="N1148" i="8" s="1"/>
  <c r="N1149" i="8" s="1"/>
  <c r="N166" i="13"/>
  <c r="AE323" i="2"/>
  <c r="AE279" i="2" s="1"/>
  <c r="AE23" i="13"/>
  <c r="X323" i="2"/>
  <c r="X279" i="2" s="1"/>
  <c r="X23" i="13"/>
  <c r="Z166" i="13"/>
  <c r="L162" i="13"/>
  <c r="X722" i="2"/>
  <c r="X678" i="2" s="1"/>
  <c r="X162" i="13"/>
  <c r="T722" i="2"/>
  <c r="T678" i="2" s="1"/>
  <c r="L40" i="18" s="1"/>
  <c r="T162" i="13"/>
  <c r="R327" i="2"/>
  <c r="R283" i="2" s="1"/>
  <c r="R27" i="13"/>
  <c r="Y323" i="2"/>
  <c r="Y279" i="2" s="1"/>
  <c r="Y23" i="13"/>
  <c r="L323" i="2"/>
  <c r="L736" i="8" s="1"/>
  <c r="L737" i="8" s="1"/>
  <c r="L23" i="13"/>
  <c r="P166" i="13"/>
  <c r="V722" i="2"/>
  <c r="V678" i="2" s="1"/>
  <c r="V162" i="13"/>
  <c r="AD327" i="2"/>
  <c r="AD283" i="2" s="1"/>
  <c r="AD27" i="13"/>
  <c r="L327" i="2"/>
  <c r="L752" i="8" s="1"/>
  <c r="L753" i="8" s="1"/>
  <c r="L27" i="13"/>
  <c r="V726" i="2"/>
  <c r="V682" i="2" s="1"/>
  <c r="V166" i="13"/>
  <c r="AD323" i="2"/>
  <c r="AD279" i="2" s="1"/>
  <c r="AD23" i="13"/>
  <c r="AC323" i="2"/>
  <c r="AC279" i="2" s="1"/>
  <c r="AC23" i="13"/>
  <c r="W327" i="2"/>
  <c r="W283" i="2" s="1"/>
  <c r="W27" i="13"/>
  <c r="R726" i="2"/>
  <c r="R682" i="2" s="1"/>
  <c r="R166" i="13"/>
  <c r="O327" i="2"/>
  <c r="O283" i="2" s="1"/>
  <c r="O27" i="13"/>
  <c r="U327" i="2"/>
  <c r="U283" i="2" s="1"/>
  <c r="U27" i="13"/>
  <c r="M726" i="2"/>
  <c r="M1148" i="8" s="1"/>
  <c r="M1149" i="8" s="1"/>
  <c r="M166" i="13"/>
  <c r="M323" i="2"/>
  <c r="M736" i="8" s="1"/>
  <c r="M737" i="8" s="1"/>
  <c r="M23" i="13"/>
  <c r="T323" i="2"/>
  <c r="T279" i="2" s="1"/>
  <c r="K40" i="18" s="1"/>
  <c r="T23" i="13"/>
  <c r="X726" i="2"/>
  <c r="X682" i="2" s="1"/>
  <c r="X166" i="13"/>
  <c r="V327" i="2"/>
  <c r="V283" i="2" s="1"/>
  <c r="V27" i="13"/>
  <c r="X327" i="2"/>
  <c r="X283" i="2" s="1"/>
  <c r="X27" i="13"/>
  <c r="AA726" i="2"/>
  <c r="AA682" i="2" s="1"/>
  <c r="AA166" i="13"/>
  <c r="V323" i="2"/>
  <c r="V279" i="2" s="1"/>
  <c r="V23" i="13"/>
  <c r="U323" i="2"/>
  <c r="U279" i="2" s="1"/>
  <c r="U23" i="13"/>
  <c r="P162" i="13"/>
  <c r="Q323" i="2"/>
  <c r="Q279" i="2" s="1"/>
  <c r="Q23" i="13"/>
  <c r="N327" i="2"/>
  <c r="N752" i="8" s="1"/>
  <c r="N753" i="8" s="1"/>
  <c r="N27" i="13"/>
  <c r="AC327" i="2"/>
  <c r="AC283" i="2" s="1"/>
  <c r="AC27" i="13"/>
  <c r="N323" i="2"/>
  <c r="N736" i="8" s="1"/>
  <c r="N737" i="8" s="1"/>
  <c r="N23" i="13"/>
  <c r="S323" i="2"/>
  <c r="S279" i="2" s="1"/>
  <c r="S23" i="13"/>
  <c r="M722" i="2"/>
  <c r="M1132" i="8" s="1"/>
  <c r="M1133" i="8" s="1"/>
  <c r="M162" i="13"/>
  <c r="AB327" i="2"/>
  <c r="AB283" i="2" s="1"/>
  <c r="AB27" i="13"/>
  <c r="T327" i="2"/>
  <c r="T283" i="2" s="1"/>
  <c r="K39" i="18" s="1"/>
  <c r="T27" i="13"/>
  <c r="AC726" i="2"/>
  <c r="AC682" i="2" s="1"/>
  <c r="AC166" i="13"/>
  <c r="AB323" i="2"/>
  <c r="AB279" i="2" s="1"/>
  <c r="AB23" i="13"/>
  <c r="AD722" i="2"/>
  <c r="AD678" i="2" s="1"/>
  <c r="AD162" i="13"/>
  <c r="AA722" i="2"/>
  <c r="AA678" i="2" s="1"/>
  <c r="AA162" i="13"/>
  <c r="M327" i="2"/>
  <c r="M752" i="8" s="1"/>
  <c r="M753" i="8" s="1"/>
  <c r="M27" i="13"/>
  <c r="S327" i="2"/>
  <c r="S283" i="2" s="1"/>
  <c r="S27" i="13"/>
  <c r="AD726" i="2"/>
  <c r="AD682" i="2" s="1"/>
  <c r="AD166" i="13"/>
  <c r="Z323" i="2"/>
  <c r="Z279" i="2" s="1"/>
  <c r="Z23" i="13"/>
  <c r="L166" i="13"/>
  <c r="Q327" i="2"/>
  <c r="Q283" i="2" s="1"/>
  <c r="Q27" i="13"/>
  <c r="AB726" i="2"/>
  <c r="AB682" i="2" s="1"/>
  <c r="AB166" i="13"/>
  <c r="Q726" i="2"/>
  <c r="Q682" i="2" s="1"/>
  <c r="Q166" i="13"/>
  <c r="O323" i="2"/>
  <c r="O279" i="2" s="1"/>
  <c r="O23" i="13"/>
  <c r="S722" i="2"/>
  <c r="S678" i="2" s="1"/>
  <c r="S162" i="13"/>
  <c r="R722" i="2"/>
  <c r="R678" i="2" s="1"/>
  <c r="R162" i="13"/>
  <c r="AE327" i="2"/>
  <c r="AE283" i="2" s="1"/>
  <c r="AE27" i="13"/>
  <c r="O726" i="2"/>
  <c r="O682" i="2" s="1"/>
  <c r="O166" i="13"/>
  <c r="S726" i="2"/>
  <c r="S682" i="2" s="1"/>
  <c r="S166" i="13"/>
  <c r="AA323" i="2"/>
  <c r="AA279" i="2" s="1"/>
  <c r="AA23" i="13"/>
  <c r="Z162" i="13"/>
  <c r="Y162" i="13"/>
  <c r="T726" i="2"/>
  <c r="T682" i="2" s="1"/>
  <c r="L39" i="18" s="1"/>
  <c r="T166" i="13"/>
  <c r="AC722" i="2"/>
  <c r="AC678" i="2" s="1"/>
  <c r="AC162" i="13"/>
  <c r="AB722" i="2"/>
  <c r="AB678" i="2" s="1"/>
  <c r="AB162" i="13"/>
  <c r="Z327" i="2"/>
  <c r="Z283" i="2" s="1"/>
  <c r="Z27" i="13"/>
  <c r="AE726" i="2"/>
  <c r="AE682" i="2" s="1"/>
  <c r="AE166" i="13"/>
  <c r="P323" i="2"/>
  <c r="P279" i="2" s="1"/>
  <c r="P23" i="13"/>
  <c r="W162" i="13"/>
  <c r="Y166" i="13"/>
  <c r="AA327" i="2"/>
  <c r="AA283" i="2" s="1"/>
  <c r="AA27" i="13"/>
  <c r="N722" i="2"/>
  <c r="N1132" i="8" s="1"/>
  <c r="N1133" i="8" s="1"/>
  <c r="N162" i="13"/>
  <c r="Q722" i="2"/>
  <c r="Q678" i="2" s="1"/>
  <c r="Q162" i="13"/>
  <c r="P327" i="2"/>
  <c r="P283" i="2" s="1"/>
  <c r="P27" i="13"/>
  <c r="U726" i="2"/>
  <c r="U682" i="2" s="1"/>
  <c r="U166" i="13"/>
  <c r="W323" i="2"/>
  <c r="W279" i="2" s="1"/>
  <c r="W23" i="13"/>
  <c r="P1004" i="8"/>
  <c r="P1005" i="8" s="1"/>
  <c r="P743" i="2"/>
  <c r="P1200" i="8" s="1"/>
  <c r="P1201" i="8" s="1"/>
  <c r="P732" i="2"/>
  <c r="P255" i="14" s="1"/>
  <c r="P1020" i="8"/>
  <c r="P1021" i="8" s="1"/>
  <c r="P747" i="2"/>
  <c r="P1216" i="8" s="1"/>
  <c r="P1217" i="8" s="1"/>
  <c r="P736" i="2"/>
  <c r="P259" i="14" s="1"/>
  <c r="N696" i="2"/>
  <c r="N683" i="2"/>
  <c r="N86" i="17" s="1"/>
  <c r="M683" i="2"/>
  <c r="M86" i="17" s="1"/>
  <c r="M696" i="2"/>
  <c r="L696" i="2"/>
  <c r="L683" i="2"/>
  <c r="L86" i="17" s="1"/>
  <c r="N284" i="2"/>
  <c r="N297" i="2"/>
  <c r="M297" i="2"/>
  <c r="M284" i="2"/>
  <c r="L297" i="2"/>
  <c r="L284" i="2"/>
  <c r="L315" i="2"/>
  <c r="U315" i="2"/>
  <c r="X315" i="2"/>
  <c r="R315" i="2"/>
  <c r="T315" i="2"/>
  <c r="S315" i="2"/>
  <c r="AC315" i="2"/>
  <c r="Y315" i="2"/>
  <c r="O315" i="2"/>
  <c r="V315" i="2"/>
  <c r="AA315" i="2"/>
  <c r="AD315" i="2"/>
  <c r="AE315" i="2"/>
  <c r="M315" i="2"/>
  <c r="Q315" i="2"/>
  <c r="W315" i="2"/>
  <c r="P315" i="2"/>
  <c r="Z315" i="2"/>
  <c r="AB315" i="2"/>
  <c r="N315" i="2"/>
  <c r="L310" i="2"/>
  <c r="X310" i="2"/>
  <c r="T310" i="2"/>
  <c r="U310" i="2"/>
  <c r="R310" i="2"/>
  <c r="AC310" i="2"/>
  <c r="S310" i="2"/>
  <c r="AB310" i="2"/>
  <c r="N310" i="2"/>
  <c r="O310" i="2"/>
  <c r="M310" i="2"/>
  <c r="V310" i="2"/>
  <c r="AD310" i="2"/>
  <c r="Z310" i="2"/>
  <c r="AE310" i="2"/>
  <c r="Y310" i="2"/>
  <c r="Q310" i="2"/>
  <c r="AA310" i="2"/>
  <c r="W310" i="2"/>
  <c r="P310" i="2"/>
  <c r="L311" i="2"/>
  <c r="S311" i="2"/>
  <c r="X311" i="2"/>
  <c r="R311" i="2"/>
  <c r="AC311" i="2"/>
  <c r="T311" i="2"/>
  <c r="U311" i="2"/>
  <c r="AA311" i="2"/>
  <c r="V311" i="2"/>
  <c r="AD311" i="2"/>
  <c r="AE311" i="2"/>
  <c r="W311" i="2"/>
  <c r="O311" i="2"/>
  <c r="Q311" i="2"/>
  <c r="Y311" i="2"/>
  <c r="P311" i="2"/>
  <c r="M311" i="2"/>
  <c r="Z311" i="2"/>
  <c r="AB311" i="2"/>
  <c r="N311" i="2"/>
  <c r="AB710" i="2"/>
  <c r="Q710" i="2"/>
  <c r="R710" i="2"/>
  <c r="S710" i="2"/>
  <c r="T710" i="2"/>
  <c r="AE710" i="2"/>
  <c r="W710" i="2"/>
  <c r="X710" i="2"/>
  <c r="O710" i="2"/>
  <c r="U710" i="2"/>
  <c r="L710" i="2"/>
  <c r="AC710" i="2"/>
  <c r="Z710" i="2"/>
  <c r="P710" i="2"/>
  <c r="AD710" i="2"/>
  <c r="AA710" i="2"/>
  <c r="M710" i="2"/>
  <c r="N710" i="2"/>
  <c r="Y710" i="2"/>
  <c r="V710" i="2"/>
  <c r="R314" i="2"/>
  <c r="AC314" i="2"/>
  <c r="U314" i="2"/>
  <c r="S314" i="2"/>
  <c r="L314" i="2"/>
  <c r="X314" i="2"/>
  <c r="T314" i="2"/>
  <c r="AA314" i="2"/>
  <c r="P314" i="2"/>
  <c r="Z314" i="2"/>
  <c r="AB314" i="2"/>
  <c r="N314" i="2"/>
  <c r="O314" i="2"/>
  <c r="M314" i="2"/>
  <c r="AD314" i="2"/>
  <c r="V314" i="2"/>
  <c r="Y314" i="2"/>
  <c r="AE314" i="2"/>
  <c r="Q314" i="2"/>
  <c r="W314" i="2"/>
  <c r="R312" i="2"/>
  <c r="L312" i="2"/>
  <c r="T312" i="2"/>
  <c r="S312" i="2"/>
  <c r="AC312" i="2"/>
  <c r="X312" i="2"/>
  <c r="P312" i="2"/>
  <c r="AE312" i="2"/>
  <c r="Q312" i="2"/>
  <c r="Y312" i="2"/>
  <c r="W312" i="2"/>
  <c r="AD312" i="2"/>
  <c r="Z312" i="2"/>
  <c r="AA312" i="2"/>
  <c r="AB312" i="2"/>
  <c r="N312" i="2"/>
  <c r="U312" i="2"/>
  <c r="V312" i="2"/>
  <c r="O312" i="2"/>
  <c r="M312" i="2"/>
  <c r="W713" i="2"/>
  <c r="AE713" i="2"/>
  <c r="R713" i="2"/>
  <c r="Q713" i="2"/>
  <c r="S713" i="2"/>
  <c r="AB713" i="2"/>
  <c r="T713" i="2"/>
  <c r="AA713" i="2"/>
  <c r="M713" i="2"/>
  <c r="V713" i="2"/>
  <c r="P713" i="2"/>
  <c r="L713" i="2"/>
  <c r="X713" i="2"/>
  <c r="O713" i="2"/>
  <c r="N713" i="2"/>
  <c r="U713" i="2"/>
  <c r="AC713" i="2"/>
  <c r="Y713" i="2"/>
  <c r="AD713" i="2"/>
  <c r="Z713" i="2"/>
  <c r="S714" i="2"/>
  <c r="Q714" i="2"/>
  <c r="R714" i="2"/>
  <c r="AB714" i="2"/>
  <c r="AE714" i="2"/>
  <c r="W714" i="2"/>
  <c r="T714" i="2"/>
  <c r="Y714" i="2"/>
  <c r="Z714" i="2"/>
  <c r="P714" i="2"/>
  <c r="X714" i="2"/>
  <c r="O714" i="2"/>
  <c r="U714" i="2"/>
  <c r="AC714" i="2"/>
  <c r="AD714" i="2"/>
  <c r="V714" i="2"/>
  <c r="N714" i="2"/>
  <c r="AA714" i="2"/>
  <c r="L714" i="2"/>
  <c r="M714" i="2"/>
  <c r="AB715" i="2"/>
  <c r="AE715" i="2"/>
  <c r="W715" i="2"/>
  <c r="Q715" i="2"/>
  <c r="S715" i="2"/>
  <c r="R715" i="2"/>
  <c r="P715" i="2"/>
  <c r="X715" i="2"/>
  <c r="U715" i="2"/>
  <c r="L715" i="2"/>
  <c r="N715" i="2"/>
  <c r="AD715" i="2"/>
  <c r="Z715" i="2"/>
  <c r="AA715" i="2"/>
  <c r="O715" i="2"/>
  <c r="M715" i="2"/>
  <c r="Y715" i="2"/>
  <c r="AC715" i="2"/>
  <c r="V715" i="2"/>
  <c r="T715" i="2"/>
  <c r="W709" i="2"/>
  <c r="S709" i="2"/>
  <c r="Q709" i="2"/>
  <c r="AB709" i="2"/>
  <c r="T709" i="2"/>
  <c r="R709" i="2"/>
  <c r="AE709" i="2"/>
  <c r="V709" i="2"/>
  <c r="U709" i="2"/>
  <c r="AA709" i="2"/>
  <c r="M709" i="2"/>
  <c r="P709" i="2"/>
  <c r="L709" i="2"/>
  <c r="X709" i="2"/>
  <c r="O709" i="2"/>
  <c r="N709" i="2"/>
  <c r="Y709" i="2"/>
  <c r="AD709" i="2"/>
  <c r="AC709" i="2"/>
  <c r="Z709" i="2"/>
  <c r="S711" i="2"/>
  <c r="R711" i="2"/>
  <c r="Q711" i="2"/>
  <c r="W711" i="2"/>
  <c r="AB711" i="2"/>
  <c r="T711" i="2"/>
  <c r="P711" i="2"/>
  <c r="N711" i="2"/>
  <c r="U711" i="2"/>
  <c r="L711" i="2"/>
  <c r="O711" i="2"/>
  <c r="AA711" i="2"/>
  <c r="M711" i="2"/>
  <c r="AD711" i="2"/>
  <c r="AC711" i="2"/>
  <c r="Z711" i="2"/>
  <c r="V711" i="2"/>
  <c r="Y711" i="2"/>
  <c r="X711" i="2"/>
  <c r="AE711" i="2"/>
  <c r="X316" i="2"/>
  <c r="R316" i="2"/>
  <c r="T316" i="2"/>
  <c r="U316" i="2"/>
  <c r="AC316" i="2"/>
  <c r="L316" i="2"/>
  <c r="M316" i="2"/>
  <c r="AE316" i="2"/>
  <c r="AB316" i="2"/>
  <c r="N316" i="2"/>
  <c r="Q316" i="2"/>
  <c r="Y316" i="2"/>
  <c r="AD316" i="2"/>
  <c r="W316" i="2"/>
  <c r="S316" i="2"/>
  <c r="AA316" i="2"/>
  <c r="Z316" i="2"/>
  <c r="P316" i="2"/>
  <c r="O316" i="2"/>
  <c r="V316" i="2"/>
  <c r="L920" i="8"/>
  <c r="L921" i="8" s="1"/>
  <c r="F504" i="8"/>
  <c r="M720" i="8"/>
  <c r="M721" i="8" s="1"/>
  <c r="M876" i="8"/>
  <c r="M877" i="8" s="1"/>
  <c r="M389" i="2"/>
  <c r="M940" i="8" s="1"/>
  <c r="M941" i="8" s="1"/>
  <c r="S1100" i="8"/>
  <c r="S1101" i="8" s="1"/>
  <c r="F568" i="8"/>
  <c r="V1100" i="8"/>
  <c r="V1101" i="8" s="1"/>
  <c r="AB1100" i="8"/>
  <c r="AB1101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AA1116" i="8"/>
  <c r="AA1117" i="8" s="1"/>
  <c r="Z1116" i="8"/>
  <c r="Z1117" i="8" s="1"/>
  <c r="Z1148" i="8"/>
  <c r="Z1149" i="8" s="1"/>
  <c r="N720" i="8"/>
  <c r="N721" i="8" s="1"/>
  <c r="T1100" i="8"/>
  <c r="T1101" i="8" s="1"/>
  <c r="N892" i="8"/>
  <c r="N893" i="8" s="1"/>
  <c r="N387" i="2"/>
  <c r="F456" i="8"/>
  <c r="V704" i="8"/>
  <c r="V705" i="8" s="1"/>
  <c r="W1100" i="8"/>
  <c r="W1101" i="8" s="1"/>
  <c r="W1132" i="8"/>
  <c r="W1133" i="8" s="1"/>
  <c r="AB720" i="8"/>
  <c r="AB721" i="8" s="1"/>
  <c r="Z720" i="8"/>
  <c r="Z721" i="8" s="1"/>
  <c r="F472" i="8"/>
  <c r="L704" i="8"/>
  <c r="L705" i="8" s="1"/>
  <c r="AE1100" i="8"/>
  <c r="AE1101" i="8" s="1"/>
  <c r="U1100" i="8"/>
  <c r="U1101" i="8" s="1"/>
  <c r="Y720" i="8"/>
  <c r="Y721" i="8" s="1"/>
  <c r="F488" i="8"/>
  <c r="F532" i="8"/>
  <c r="F564" i="8"/>
  <c r="N704" i="8"/>
  <c r="N705" i="8" s="1"/>
  <c r="S1116" i="8"/>
  <c r="S1117" i="8" s="1"/>
  <c r="Y1116" i="8"/>
  <c r="Y1117" i="8" s="1"/>
  <c r="Y1148" i="8"/>
  <c r="Y1149" i="8" s="1"/>
  <c r="R720" i="8"/>
  <c r="R721" i="8" s="1"/>
  <c r="Y1100" i="8"/>
  <c r="Y1101" i="8" s="1"/>
  <c r="Y1132" i="8"/>
  <c r="Y1133" i="8" s="1"/>
  <c r="F508" i="8"/>
  <c r="N876" i="8"/>
  <c r="N877" i="8" s="1"/>
  <c r="N389" i="2"/>
  <c r="X1116" i="8"/>
  <c r="X1117" i="8" s="1"/>
  <c r="L876" i="8"/>
  <c r="L877" i="8" s="1"/>
  <c r="L389" i="2"/>
  <c r="L940" i="8" s="1"/>
  <c r="L941" i="8" s="1"/>
  <c r="AD1116" i="8"/>
  <c r="AD1117" i="8" s="1"/>
  <c r="F520" i="8"/>
  <c r="Q1100" i="8"/>
  <c r="Q1101" i="8" s="1"/>
  <c r="O720" i="8"/>
  <c r="O721" i="8" s="1"/>
  <c r="T720" i="8"/>
  <c r="T721" i="8" s="1"/>
  <c r="F480" i="8"/>
  <c r="F528" i="8"/>
  <c r="F552" i="8"/>
  <c r="F492" i="8"/>
  <c r="P704" i="8"/>
  <c r="P705" i="8" s="1"/>
  <c r="R704" i="8"/>
  <c r="R705" i="8" s="1"/>
  <c r="O1116" i="8"/>
  <c r="O1117" i="8" s="1"/>
  <c r="X1100" i="8"/>
  <c r="X1101" i="8" s="1"/>
  <c r="W1116" i="8"/>
  <c r="W1117" i="8" s="1"/>
  <c r="W1148" i="8"/>
  <c r="W1149" i="8" s="1"/>
  <c r="O1100" i="8"/>
  <c r="O1101" i="8" s="1"/>
  <c r="R1100" i="8"/>
  <c r="R1101" i="8" s="1"/>
  <c r="AE720" i="8"/>
  <c r="AE721" i="8" s="1"/>
  <c r="F468" i="8"/>
  <c r="F556" i="8"/>
  <c r="Z1132" i="8"/>
  <c r="Z1133" i="8" s="1"/>
  <c r="Z1100" i="8"/>
  <c r="Z1101" i="8" s="1"/>
  <c r="P1132" i="8"/>
  <c r="P1133" i="8" s="1"/>
  <c r="P1100" i="8"/>
  <c r="P1101" i="8" s="1"/>
  <c r="AA720" i="8"/>
  <c r="AA721" i="8" s="1"/>
  <c r="AC720" i="8"/>
  <c r="AC721" i="8" s="1"/>
  <c r="F548" i="8"/>
  <c r="T704" i="8"/>
  <c r="T705" i="8" s="1"/>
  <c r="AB704" i="8"/>
  <c r="AB705" i="8" s="1"/>
  <c r="U1116" i="8"/>
  <c r="U1117" i="8" s="1"/>
  <c r="L720" i="8"/>
  <c r="L721" i="8" s="1"/>
  <c r="F544" i="8"/>
  <c r="P720" i="8"/>
  <c r="P721" i="8" s="1"/>
  <c r="F524" i="8"/>
  <c r="AC1100" i="8"/>
  <c r="AC1101" i="8" s="1"/>
  <c r="L1100" i="8"/>
  <c r="L1101" i="8" s="1"/>
  <c r="L1132" i="8"/>
  <c r="L1133" i="8" s="1"/>
  <c r="AD720" i="8"/>
  <c r="AD721" i="8" s="1"/>
  <c r="S720" i="8"/>
  <c r="S721" i="8" s="1"/>
  <c r="F540" i="8"/>
  <c r="O704" i="8"/>
  <c r="O705" i="8" s="1"/>
  <c r="AE704" i="8"/>
  <c r="AE705" i="8" s="1"/>
  <c r="R1116" i="8"/>
  <c r="R1117" i="8" s="1"/>
  <c r="AC1116" i="8"/>
  <c r="AC1117" i="8" s="1"/>
  <c r="M704" i="8"/>
  <c r="M705" i="8" s="1"/>
  <c r="M1100" i="8"/>
  <c r="M1101" i="8" s="1"/>
  <c r="F440" i="8"/>
  <c r="X720" i="8"/>
  <c r="X721" i="8" s="1"/>
  <c r="F516" i="8"/>
  <c r="F576" i="8"/>
  <c r="U704" i="8"/>
  <c r="U705" i="8" s="1"/>
  <c r="AA704" i="8"/>
  <c r="AA705" i="8" s="1"/>
  <c r="T1116" i="8"/>
  <c r="T1117" i="8" s="1"/>
  <c r="N1100" i="8"/>
  <c r="N1101" i="8" s="1"/>
  <c r="W720" i="8"/>
  <c r="W721" i="8" s="1"/>
  <c r="L892" i="8"/>
  <c r="L893" i="8" s="1"/>
  <c r="L387" i="2"/>
  <c r="L932" i="8" s="1"/>
  <c r="L933" i="8" s="1"/>
  <c r="F512" i="8"/>
  <c r="F464" i="8"/>
  <c r="F500" i="8"/>
  <c r="F484" i="8"/>
  <c r="F536" i="8"/>
  <c r="F580" i="8"/>
  <c r="AC704" i="8"/>
  <c r="AC705" i="8" s="1"/>
  <c r="Q704" i="8"/>
  <c r="Q705" i="8" s="1"/>
  <c r="AB1116" i="8"/>
  <c r="AB1117" i="8" s="1"/>
  <c r="V1116" i="8"/>
  <c r="V1117" i="8" s="1"/>
  <c r="V720" i="8"/>
  <c r="V721" i="8" s="1"/>
  <c r="F444" i="8"/>
  <c r="F496" i="8"/>
  <c r="X704" i="8"/>
  <c r="X705" i="8" s="1"/>
  <c r="Z704" i="8"/>
  <c r="Z705" i="8" s="1"/>
  <c r="Q1116" i="8"/>
  <c r="Q1117" i="8" s="1"/>
  <c r="P1148" i="8"/>
  <c r="P1149" i="8" s="1"/>
  <c r="P1116" i="8"/>
  <c r="P1117" i="8" s="1"/>
  <c r="AA1100" i="8"/>
  <c r="AA1101" i="8" s="1"/>
  <c r="U720" i="8"/>
  <c r="U721" i="8" s="1"/>
  <c r="F476" i="8"/>
  <c r="Y704" i="8"/>
  <c r="Y705" i="8" s="1"/>
  <c r="AD704" i="8"/>
  <c r="AD705" i="8" s="1"/>
  <c r="L1148" i="8"/>
  <c r="L1149" i="8" s="1"/>
  <c r="L1116" i="8"/>
  <c r="L1117" i="8" s="1"/>
  <c r="N1116" i="8"/>
  <c r="N1117" i="8" s="1"/>
  <c r="AD1100" i="8"/>
  <c r="AD1101" i="8" s="1"/>
  <c r="F448" i="8"/>
  <c r="F452" i="8"/>
  <c r="W704" i="8"/>
  <c r="W705" i="8" s="1"/>
  <c r="AE1116" i="8"/>
  <c r="AE1117" i="8" s="1"/>
  <c r="M1116" i="8"/>
  <c r="M1117" i="8" s="1"/>
  <c r="M39" i="18" l="1"/>
  <c r="N932" i="8"/>
  <c r="N933" i="8" s="1"/>
  <c r="F39" i="18"/>
  <c r="M40" i="18"/>
  <c r="N940" i="8"/>
  <c r="N941" i="8" s="1"/>
  <c r="F40" i="18"/>
  <c r="L63" i="17"/>
  <c r="L1842" i="8"/>
  <c r="M1842" i="8"/>
  <c r="N1842" i="8"/>
  <c r="V1148" i="8"/>
  <c r="V1149" i="8" s="1"/>
  <c r="AC366" i="2"/>
  <c r="AC94" i="14"/>
  <c r="AC112" i="14" s="1"/>
  <c r="AC86" i="14"/>
  <c r="AC104" i="14" s="1"/>
  <c r="U366" i="2"/>
  <c r="U86" i="14"/>
  <c r="U104" i="14" s="1"/>
  <c r="U94" i="14"/>
  <c r="U112" i="14" s="1"/>
  <c r="AD366" i="2"/>
  <c r="AD86" i="14"/>
  <c r="AD104" i="14" s="1"/>
  <c r="AD94" i="14"/>
  <c r="AD112" i="14" s="1"/>
  <c r="AB370" i="2"/>
  <c r="AB98" i="14"/>
  <c r="AB116" i="14" s="1"/>
  <c r="AB90" i="14"/>
  <c r="AB108" i="14" s="1"/>
  <c r="P608" i="8"/>
  <c r="P609" i="8" s="1"/>
  <c r="P366" i="2"/>
  <c r="P876" i="8" s="1"/>
  <c r="P877" i="8" s="1"/>
  <c r="P94" i="14"/>
  <c r="P112" i="14" s="1"/>
  <c r="P86" i="14"/>
  <c r="P104" i="14" s="1"/>
  <c r="M308" i="14"/>
  <c r="M327" i="14" s="1"/>
  <c r="M328" i="14" s="1"/>
  <c r="U1020" i="8"/>
  <c r="U1021" i="8" s="1"/>
  <c r="U297" i="14"/>
  <c r="U315" i="14" s="1"/>
  <c r="U305" i="14"/>
  <c r="U323" i="14" s="1"/>
  <c r="AE305" i="14"/>
  <c r="AE323" i="14" s="1"/>
  <c r="AE297" i="14"/>
  <c r="AE315" i="14" s="1"/>
  <c r="S297" i="14"/>
  <c r="S315" i="14" s="1"/>
  <c r="S305" i="14"/>
  <c r="S323" i="14" s="1"/>
  <c r="AB297" i="14"/>
  <c r="AB315" i="14" s="1"/>
  <c r="AB305" i="14"/>
  <c r="AB323" i="14" s="1"/>
  <c r="R370" i="2"/>
  <c r="R892" i="8" s="1"/>
  <c r="R893" i="8" s="1"/>
  <c r="R98" i="14"/>
  <c r="R116" i="14" s="1"/>
  <c r="R90" i="14"/>
  <c r="R108" i="14" s="1"/>
  <c r="Y370" i="2"/>
  <c r="Y98" i="14"/>
  <c r="Y116" i="14" s="1"/>
  <c r="Y90" i="14"/>
  <c r="Y108" i="14" s="1"/>
  <c r="AA301" i="14"/>
  <c r="AA319" i="14" s="1"/>
  <c r="AA293" i="14"/>
  <c r="AA311" i="14" s="1"/>
  <c r="S366" i="2"/>
  <c r="S876" i="8" s="1"/>
  <c r="S877" i="8" s="1"/>
  <c r="S86" i="14"/>
  <c r="S104" i="14" s="1"/>
  <c r="S94" i="14"/>
  <c r="S112" i="14" s="1"/>
  <c r="V366" i="2"/>
  <c r="V86" i="14"/>
  <c r="V104" i="14" s="1"/>
  <c r="V94" i="14"/>
  <c r="V112" i="14" s="1"/>
  <c r="V297" i="14"/>
  <c r="V315" i="14" s="1"/>
  <c r="V305" i="14"/>
  <c r="V323" i="14" s="1"/>
  <c r="Z370" i="2"/>
  <c r="Z98" i="14"/>
  <c r="Z116" i="14" s="1"/>
  <c r="Z90" i="14"/>
  <c r="Z108" i="14" s="1"/>
  <c r="N101" i="14"/>
  <c r="Y366" i="2"/>
  <c r="Y94" i="14"/>
  <c r="Y112" i="14" s="1"/>
  <c r="Y86" i="14"/>
  <c r="Y104" i="14" s="1"/>
  <c r="AE301" i="14"/>
  <c r="AE319" i="14" s="1"/>
  <c r="AE293" i="14"/>
  <c r="AE311" i="14" s="1"/>
  <c r="N308" i="14"/>
  <c r="N327" i="14" s="1"/>
  <c r="N328" i="14" s="1"/>
  <c r="P370" i="2"/>
  <c r="P892" i="8" s="1"/>
  <c r="P893" i="8" s="1"/>
  <c r="P98" i="14"/>
  <c r="P116" i="14" s="1"/>
  <c r="P90" i="14"/>
  <c r="P108" i="14" s="1"/>
  <c r="Q370" i="2"/>
  <c r="Q892" i="8" s="1"/>
  <c r="Q893" i="8" s="1"/>
  <c r="Q98" i="14"/>
  <c r="Q116" i="14" s="1"/>
  <c r="Q90" i="14"/>
  <c r="Q108" i="14" s="1"/>
  <c r="AD301" i="14"/>
  <c r="AD319" i="14" s="1"/>
  <c r="AD293" i="14"/>
  <c r="AD311" i="14" s="1"/>
  <c r="AA297" i="14"/>
  <c r="AA315" i="14" s="1"/>
  <c r="AA305" i="14"/>
  <c r="AA323" i="14" s="1"/>
  <c r="Q301" i="14"/>
  <c r="Q319" i="14" s="1"/>
  <c r="Q293" i="14"/>
  <c r="Q311" i="14" s="1"/>
  <c r="AB301" i="14"/>
  <c r="AB319" i="14" s="1"/>
  <c r="AB293" i="14"/>
  <c r="AB311" i="14" s="1"/>
  <c r="AE370" i="2"/>
  <c r="AE98" i="14"/>
  <c r="AE116" i="14" s="1"/>
  <c r="AE90" i="14"/>
  <c r="AE108" i="14" s="1"/>
  <c r="X293" i="14"/>
  <c r="X311" i="14" s="1"/>
  <c r="X301" i="14"/>
  <c r="X319" i="14" s="1"/>
  <c r="O732" i="2"/>
  <c r="O255" i="14" s="1"/>
  <c r="O301" i="14"/>
  <c r="O319" i="14" s="1"/>
  <c r="O293" i="14"/>
  <c r="O311" i="14" s="1"/>
  <c r="M101" i="14"/>
  <c r="M120" i="14" s="1"/>
  <c r="M121" i="14" s="1"/>
  <c r="Q297" i="14"/>
  <c r="Q315" i="14" s="1"/>
  <c r="Q305" i="14"/>
  <c r="Q323" i="14" s="1"/>
  <c r="T293" i="14"/>
  <c r="T311" i="14" s="1"/>
  <c r="T301" i="14"/>
  <c r="T319" i="14" s="1"/>
  <c r="AB366" i="2"/>
  <c r="AB94" i="14"/>
  <c r="AB112" i="14" s="1"/>
  <c r="AB86" i="14"/>
  <c r="AB104" i="14" s="1"/>
  <c r="AC370" i="2"/>
  <c r="AC98" i="14"/>
  <c r="AC116" i="14" s="1"/>
  <c r="AC90" i="14"/>
  <c r="AC108" i="14" s="1"/>
  <c r="X370" i="2"/>
  <c r="X98" i="14"/>
  <c r="X116" i="14" s="1"/>
  <c r="X90" i="14"/>
  <c r="X108" i="14" s="1"/>
  <c r="O624" i="8"/>
  <c r="O625" i="8" s="1"/>
  <c r="O370" i="2"/>
  <c r="O98" i="14"/>
  <c r="O116" i="14" s="1"/>
  <c r="O90" i="14"/>
  <c r="O108" i="14" s="1"/>
  <c r="AD370" i="2"/>
  <c r="AD98" i="14"/>
  <c r="AD116" i="14" s="1"/>
  <c r="AD90" i="14"/>
  <c r="AD108" i="14" s="1"/>
  <c r="T366" i="2"/>
  <c r="T86" i="14"/>
  <c r="T104" i="14" s="1"/>
  <c r="T94" i="14"/>
  <c r="T112" i="14" s="1"/>
  <c r="AA366" i="2"/>
  <c r="AA94" i="14"/>
  <c r="AA112" i="14" s="1"/>
  <c r="AA86" i="14"/>
  <c r="AA104" i="14" s="1"/>
  <c r="O305" i="14"/>
  <c r="O323" i="14" s="1"/>
  <c r="O297" i="14"/>
  <c r="O315" i="14" s="1"/>
  <c r="U370" i="2"/>
  <c r="U892" i="8" s="1"/>
  <c r="U893" i="8" s="1"/>
  <c r="U90" i="14"/>
  <c r="U108" i="14" s="1"/>
  <c r="U98" i="14"/>
  <c r="U116" i="14" s="1"/>
  <c r="AC301" i="14"/>
  <c r="AC319" i="14" s="1"/>
  <c r="AC293" i="14"/>
  <c r="AC311" i="14" s="1"/>
  <c r="R301" i="14"/>
  <c r="R319" i="14" s="1"/>
  <c r="R293" i="14"/>
  <c r="R311" i="14" s="1"/>
  <c r="R366" i="2"/>
  <c r="R876" i="8" s="1"/>
  <c r="R877" i="8" s="1"/>
  <c r="R94" i="14"/>
  <c r="R112" i="14" s="1"/>
  <c r="R86" i="14"/>
  <c r="R104" i="14" s="1"/>
  <c r="L101" i="14"/>
  <c r="L120" i="14" s="1"/>
  <c r="L121" i="14" s="1"/>
  <c r="S370" i="2"/>
  <c r="S892" i="8" s="1"/>
  <c r="S893" i="8" s="1"/>
  <c r="S90" i="14"/>
  <c r="S108" i="14" s="1"/>
  <c r="S98" i="14"/>
  <c r="S116" i="14" s="1"/>
  <c r="Z366" i="2"/>
  <c r="Z94" i="14"/>
  <c r="Z112" i="14" s="1"/>
  <c r="Z86" i="14"/>
  <c r="Z104" i="14" s="1"/>
  <c r="AC305" i="14"/>
  <c r="AC323" i="14" s="1"/>
  <c r="AC297" i="14"/>
  <c r="AC315" i="14" s="1"/>
  <c r="V370" i="2"/>
  <c r="V90" i="14"/>
  <c r="V108" i="14" s="1"/>
  <c r="V98" i="14"/>
  <c r="V116" i="14" s="1"/>
  <c r="R747" i="2"/>
  <c r="R1216" i="8" s="1"/>
  <c r="R1217" i="8" s="1"/>
  <c r="R305" i="14"/>
  <c r="R323" i="14" s="1"/>
  <c r="R297" i="14"/>
  <c r="R315" i="14" s="1"/>
  <c r="V301" i="14"/>
  <c r="V319" i="14" s="1"/>
  <c r="V293" i="14"/>
  <c r="V311" i="14" s="1"/>
  <c r="W366" i="2"/>
  <c r="W86" i="14"/>
  <c r="W104" i="14" s="1"/>
  <c r="W94" i="14"/>
  <c r="W112" i="14" s="1"/>
  <c r="AA370" i="2"/>
  <c r="AA98" i="14"/>
  <c r="AA116" i="14" s="1"/>
  <c r="AA90" i="14"/>
  <c r="AA108" i="14" s="1"/>
  <c r="T736" i="2"/>
  <c r="T259" i="14" s="1"/>
  <c r="T305" i="14"/>
  <c r="T323" i="14" s="1"/>
  <c r="T297" i="14"/>
  <c r="T315" i="14" s="1"/>
  <c r="S1004" i="8"/>
  <c r="S1005" i="8" s="1"/>
  <c r="S301" i="14"/>
  <c r="S319" i="14" s="1"/>
  <c r="S293" i="14"/>
  <c r="S311" i="14" s="1"/>
  <c r="X366" i="2"/>
  <c r="X86" i="14"/>
  <c r="X104" i="14" s="1"/>
  <c r="X94" i="14"/>
  <c r="X112" i="14" s="1"/>
  <c r="U301" i="14"/>
  <c r="U319" i="14" s="1"/>
  <c r="U293" i="14"/>
  <c r="U311" i="14" s="1"/>
  <c r="T370" i="2"/>
  <c r="T892" i="8" s="1"/>
  <c r="T893" i="8" s="1"/>
  <c r="T90" i="14"/>
  <c r="T108" i="14" s="1"/>
  <c r="T98" i="14"/>
  <c r="T116" i="14" s="1"/>
  <c r="X297" i="14"/>
  <c r="X315" i="14" s="1"/>
  <c r="X305" i="14"/>
  <c r="X323" i="14" s="1"/>
  <c r="L308" i="14"/>
  <c r="L327" i="14" s="1"/>
  <c r="L328" i="14" s="1"/>
  <c r="AD305" i="14"/>
  <c r="AD323" i="14" s="1"/>
  <c r="AD297" i="14"/>
  <c r="AD315" i="14" s="1"/>
  <c r="Q366" i="2"/>
  <c r="Q876" i="8" s="1"/>
  <c r="Q877" i="8" s="1"/>
  <c r="Q94" i="14"/>
  <c r="Q112" i="14" s="1"/>
  <c r="Q86" i="14"/>
  <c r="Q104" i="14" s="1"/>
  <c r="W370" i="2"/>
  <c r="W90" i="14"/>
  <c r="W108" i="14" s="1"/>
  <c r="W98" i="14"/>
  <c r="W116" i="14" s="1"/>
  <c r="U1148" i="8"/>
  <c r="U1149" i="8" s="1"/>
  <c r="O608" i="8"/>
  <c r="O609" i="8" s="1"/>
  <c r="O366" i="2"/>
  <c r="O876" i="8" s="1"/>
  <c r="O877" i="8" s="1"/>
  <c r="O94" i="14"/>
  <c r="O112" i="14" s="1"/>
  <c r="O86" i="14"/>
  <c r="O104" i="14" s="1"/>
  <c r="AE366" i="2"/>
  <c r="AE86" i="14"/>
  <c r="AE104" i="14" s="1"/>
  <c r="AE94" i="14"/>
  <c r="AE112" i="14" s="1"/>
  <c r="R624" i="8"/>
  <c r="R625" i="8" s="1"/>
  <c r="W249" i="13"/>
  <c r="W250" i="13" s="1"/>
  <c r="AE1132" i="8"/>
  <c r="AE1133" i="8" s="1"/>
  <c r="V736" i="8"/>
  <c r="V737" i="8" s="1"/>
  <c r="R736" i="2"/>
  <c r="R1020" i="8"/>
  <c r="R1021" i="8" s="1"/>
  <c r="V1020" i="8"/>
  <c r="V1021" i="8" s="1"/>
  <c r="S1132" i="8"/>
  <c r="S1133" i="8" s="1"/>
  <c r="T732" i="2"/>
  <c r="AA1132" i="8"/>
  <c r="AA1133" i="8" s="1"/>
  <c r="S736" i="8"/>
  <c r="S737" i="8" s="1"/>
  <c r="P624" i="8"/>
  <c r="P625" i="8" s="1"/>
  <c r="O348" i="2"/>
  <c r="O820" i="8" s="1"/>
  <c r="O821" i="8" s="1"/>
  <c r="T337" i="2"/>
  <c r="R736" i="8"/>
  <c r="R737" i="8" s="1"/>
  <c r="S333" i="2"/>
  <c r="V1132" i="8"/>
  <c r="V1133" i="8" s="1"/>
  <c r="AC1148" i="8"/>
  <c r="AC1149" i="8" s="1"/>
  <c r="R1148" i="8"/>
  <c r="R1149" i="8" s="1"/>
  <c r="R752" i="8"/>
  <c r="R753" i="8" s="1"/>
  <c r="R337" i="2"/>
  <c r="R359" i="2" s="1"/>
  <c r="R856" i="8" s="1"/>
  <c r="R857" i="8" s="1"/>
  <c r="Q608" i="8"/>
  <c r="Q609" i="8" s="1"/>
  <c r="W752" i="8"/>
  <c r="W753" i="8" s="1"/>
  <c r="Q344" i="2"/>
  <c r="Q804" i="8" s="1"/>
  <c r="Q805" i="8" s="1"/>
  <c r="AC1132" i="8"/>
  <c r="AC1133" i="8" s="1"/>
  <c r="X1148" i="8"/>
  <c r="X1149" i="8" s="1"/>
  <c r="R732" i="2"/>
  <c r="Z736" i="8"/>
  <c r="Z737" i="8" s="1"/>
  <c r="O736" i="8"/>
  <c r="O737" i="8" s="1"/>
  <c r="R1004" i="8"/>
  <c r="R1005" i="8" s="1"/>
  <c r="U1132" i="8"/>
  <c r="U1133" i="8" s="1"/>
  <c r="O344" i="2"/>
  <c r="O804" i="8" s="1"/>
  <c r="O805" i="8" s="1"/>
  <c r="R743" i="2"/>
  <c r="R1200" i="8" s="1"/>
  <c r="R1201" i="8" s="1"/>
  <c r="O333" i="2"/>
  <c r="S752" i="8"/>
  <c r="S753" i="8" s="1"/>
  <c r="T752" i="8"/>
  <c r="T753" i="8" s="1"/>
  <c r="R344" i="2"/>
  <c r="R804" i="8" s="1"/>
  <c r="R805" i="8" s="1"/>
  <c r="AD736" i="8"/>
  <c r="AD737" i="8" s="1"/>
  <c r="Q333" i="2"/>
  <c r="X1132" i="8"/>
  <c r="X1133" i="8" s="1"/>
  <c r="O752" i="8"/>
  <c r="O753" i="8" s="1"/>
  <c r="T624" i="8"/>
  <c r="T625" i="8" s="1"/>
  <c r="Q736" i="8"/>
  <c r="Q737" i="8" s="1"/>
  <c r="T348" i="2"/>
  <c r="T820" i="8" s="1"/>
  <c r="T821" i="8" s="1"/>
  <c r="AD1148" i="8"/>
  <c r="AD1149" i="8" s="1"/>
  <c r="R608" i="8"/>
  <c r="R609" i="8" s="1"/>
  <c r="S344" i="2"/>
  <c r="S804" i="8" s="1"/>
  <c r="S805" i="8" s="1"/>
  <c r="V736" i="2"/>
  <c r="V747" i="2"/>
  <c r="V1216" i="8" s="1"/>
  <c r="V1217" i="8" s="1"/>
  <c r="X736" i="8"/>
  <c r="X737" i="8" s="1"/>
  <c r="S608" i="8"/>
  <c r="S609" i="8" s="1"/>
  <c r="V752" i="8"/>
  <c r="V753" i="8" s="1"/>
  <c r="O1132" i="8"/>
  <c r="O1133" i="8" s="1"/>
  <c r="O743" i="2"/>
  <c r="O1200" i="8" s="1"/>
  <c r="O1201" i="8" s="1"/>
  <c r="AC752" i="8"/>
  <c r="AC753" i="8" s="1"/>
  <c r="S747" i="2"/>
  <c r="S1216" i="8" s="1"/>
  <c r="S1217" i="8" s="1"/>
  <c r="O747" i="2"/>
  <c r="O1216" i="8" s="1"/>
  <c r="O1217" i="8" s="1"/>
  <c r="AD1132" i="8"/>
  <c r="AD1133" i="8" s="1"/>
  <c r="U736" i="2"/>
  <c r="AB736" i="8"/>
  <c r="AB737" i="8" s="1"/>
  <c r="O1148" i="8"/>
  <c r="O1149" i="8" s="1"/>
  <c r="Q736" i="2"/>
  <c r="AD752" i="8"/>
  <c r="AD753" i="8" s="1"/>
  <c r="R1132" i="8"/>
  <c r="R1133" i="8" s="1"/>
  <c r="Q732" i="2"/>
  <c r="T1132" i="8"/>
  <c r="T1133" i="8" s="1"/>
  <c r="O1020" i="8"/>
  <c r="O1021" i="8" s="1"/>
  <c r="X752" i="8"/>
  <c r="X753" i="8" s="1"/>
  <c r="AB1132" i="8"/>
  <c r="AB1133" i="8" s="1"/>
  <c r="Q1148" i="8"/>
  <c r="Q1149" i="8" s="1"/>
  <c r="AB1148" i="8"/>
  <c r="AB1149" i="8" s="1"/>
  <c r="T747" i="2"/>
  <c r="T1216" i="8" s="1"/>
  <c r="T1217" i="8" s="1"/>
  <c r="T1020" i="8"/>
  <c r="T1021" i="8" s="1"/>
  <c r="T1004" i="8"/>
  <c r="T1005" i="8" s="1"/>
  <c r="AA736" i="8"/>
  <c r="AA737" i="8" s="1"/>
  <c r="O337" i="2"/>
  <c r="O1004" i="8"/>
  <c r="O1005" i="8" s="1"/>
  <c r="AA752" i="8"/>
  <c r="AA753" i="8" s="1"/>
  <c r="T721" i="2"/>
  <c r="T677" i="2" s="1"/>
  <c r="T161" i="13"/>
  <c r="R724" i="2"/>
  <c r="R680" i="2" s="1"/>
  <c r="R164" i="13"/>
  <c r="T324" i="2"/>
  <c r="T280" i="2" s="1"/>
  <c r="T24" i="13"/>
  <c r="AD320" i="2"/>
  <c r="AD276" i="2" s="1"/>
  <c r="AD20" i="13"/>
  <c r="M110" i="13"/>
  <c r="M111" i="13" s="1"/>
  <c r="M47" i="13"/>
  <c r="M77" i="13" s="1"/>
  <c r="M109" i="13" s="1"/>
  <c r="M235" i="13"/>
  <c r="M236" i="13" s="1"/>
  <c r="M182" i="13"/>
  <c r="M212" i="13" s="1"/>
  <c r="M234" i="13" s="1"/>
  <c r="U96" i="13"/>
  <c r="U97" i="13" s="1"/>
  <c r="U43" i="13"/>
  <c r="U73" i="13" s="1"/>
  <c r="U95" i="13" s="1"/>
  <c r="M96" i="13"/>
  <c r="M97" i="13" s="1"/>
  <c r="M43" i="13"/>
  <c r="M73" i="13" s="1"/>
  <c r="M95" i="13" s="1"/>
  <c r="AD96" i="13"/>
  <c r="AD97" i="13" s="1"/>
  <c r="AD43" i="13"/>
  <c r="AD73" i="13" s="1"/>
  <c r="AD95" i="13" s="1"/>
  <c r="N724" i="2"/>
  <c r="N1140" i="8" s="1"/>
  <c r="N1141" i="8" s="1"/>
  <c r="N164" i="13"/>
  <c r="P96" i="13"/>
  <c r="P97" i="13" s="1"/>
  <c r="P43" i="13"/>
  <c r="P73" i="13" s="1"/>
  <c r="P95" i="13" s="1"/>
  <c r="T333" i="2"/>
  <c r="Z752" i="8"/>
  <c r="Z753" i="8" s="1"/>
  <c r="Y326" i="2"/>
  <c r="Y282" i="2" s="1"/>
  <c r="Y26" i="13"/>
  <c r="Y721" i="2"/>
  <c r="Y677" i="2" s="1"/>
  <c r="Y161" i="13"/>
  <c r="W721" i="2"/>
  <c r="W677" i="2" s="1"/>
  <c r="W161" i="13"/>
  <c r="X719" i="2"/>
  <c r="X675" i="2" s="1"/>
  <c r="X159" i="13"/>
  <c r="S719" i="2"/>
  <c r="S675" i="2" s="1"/>
  <c r="S159" i="13"/>
  <c r="X725" i="2"/>
  <c r="X681" i="2" s="1"/>
  <c r="X165" i="13"/>
  <c r="AD724" i="2"/>
  <c r="AD680" i="2" s="1"/>
  <c r="AD164" i="13"/>
  <c r="S724" i="2"/>
  <c r="S680" i="2" s="1"/>
  <c r="S164" i="13"/>
  <c r="T723" i="2"/>
  <c r="T679" i="2" s="1"/>
  <c r="T163" i="13"/>
  <c r="Z322" i="2"/>
  <c r="Z278" i="2" s="1"/>
  <c r="Z22" i="13"/>
  <c r="Q324" i="2"/>
  <c r="Q280" i="2" s="1"/>
  <c r="Q24" i="13"/>
  <c r="L324" i="2"/>
  <c r="L740" i="8" s="1"/>
  <c r="L741" i="8" s="1"/>
  <c r="L24" i="13"/>
  <c r="L720" i="2"/>
  <c r="L1124" i="8" s="1"/>
  <c r="L1125" i="8" s="1"/>
  <c r="L160" i="13"/>
  <c r="M321" i="2"/>
  <c r="M728" i="8" s="1"/>
  <c r="M729" i="8" s="1"/>
  <c r="M21" i="13"/>
  <c r="X321" i="2"/>
  <c r="X277" i="2" s="1"/>
  <c r="X21" i="13"/>
  <c r="L320" i="2"/>
  <c r="L724" i="8" s="1"/>
  <c r="L725" i="8" s="1"/>
  <c r="L20" i="13"/>
  <c r="AC325" i="2"/>
  <c r="AC281" i="2" s="1"/>
  <c r="AC25" i="13"/>
  <c r="S337" i="2"/>
  <c r="U249" i="13"/>
  <c r="U186" i="13"/>
  <c r="U216" i="13" s="1"/>
  <c r="U248" i="13" s="1"/>
  <c r="AE249" i="13"/>
  <c r="AE186" i="13"/>
  <c r="AE216" i="13" s="1"/>
  <c r="AE248" i="13" s="1"/>
  <c r="S249" i="13"/>
  <c r="S186" i="13"/>
  <c r="S216" i="13" s="1"/>
  <c r="S248" i="13" s="1"/>
  <c r="AB249" i="13"/>
  <c r="AB186" i="13"/>
  <c r="AB216" i="13" s="1"/>
  <c r="AB248" i="13" s="1"/>
  <c r="Y96" i="13"/>
  <c r="Y97" i="13" s="1"/>
  <c r="Y43" i="13"/>
  <c r="Y73" i="13" s="1"/>
  <c r="Y95" i="13" s="1"/>
  <c r="N249" i="13"/>
  <c r="N250" i="13" s="1"/>
  <c r="N186" i="13"/>
  <c r="N216" i="13" s="1"/>
  <c r="N248" i="13" s="1"/>
  <c r="Q249" i="13"/>
  <c r="Q186" i="13"/>
  <c r="Q216" i="13" s="1"/>
  <c r="Q248" i="13" s="1"/>
  <c r="AD326" i="2"/>
  <c r="AD282" i="2" s="1"/>
  <c r="AD26" i="13"/>
  <c r="X721" i="2"/>
  <c r="X677" i="2" s="1"/>
  <c r="X161" i="13"/>
  <c r="AB721" i="2"/>
  <c r="AB677" i="2" s="1"/>
  <c r="AB161" i="13"/>
  <c r="O719" i="2"/>
  <c r="O675" i="2" s="1"/>
  <c r="O159" i="13"/>
  <c r="Q719" i="2"/>
  <c r="Q675" i="2" s="1"/>
  <c r="Q159" i="13"/>
  <c r="U725" i="2"/>
  <c r="U681" i="2" s="1"/>
  <c r="U165" i="13"/>
  <c r="V724" i="2"/>
  <c r="V680" i="2" s="1"/>
  <c r="V164" i="13"/>
  <c r="Q724" i="2"/>
  <c r="Q680" i="2" s="1"/>
  <c r="Q164" i="13"/>
  <c r="AA723" i="2"/>
  <c r="AA679" i="2" s="1"/>
  <c r="AA163" i="13"/>
  <c r="AA322" i="2"/>
  <c r="AA278" i="2" s="1"/>
  <c r="AA22" i="13"/>
  <c r="W324" i="2"/>
  <c r="W280" i="2" s="1"/>
  <c r="W24" i="13"/>
  <c r="X324" i="2"/>
  <c r="X280" i="2" s="1"/>
  <c r="X24" i="13"/>
  <c r="AC720" i="2"/>
  <c r="AC676" i="2" s="1"/>
  <c r="AC160" i="13"/>
  <c r="Z321" i="2"/>
  <c r="Z277" i="2" s="1"/>
  <c r="Z21" i="13"/>
  <c r="R321" i="2"/>
  <c r="R277" i="2" s="1"/>
  <c r="R21" i="13"/>
  <c r="X320" i="2"/>
  <c r="X276" i="2" s="1"/>
  <c r="X20" i="13"/>
  <c r="Y325" i="2"/>
  <c r="Y281" i="2" s="1"/>
  <c r="Y25" i="13"/>
  <c r="T608" i="8"/>
  <c r="T609" i="8" s="1"/>
  <c r="Y752" i="8"/>
  <c r="Y753" i="8" s="1"/>
  <c r="AB752" i="8"/>
  <c r="AB753" i="8" s="1"/>
  <c r="Q326" i="2"/>
  <c r="Q282" i="2" s="1"/>
  <c r="Q26" i="13"/>
  <c r="V721" i="2"/>
  <c r="V677" i="2" s="1"/>
  <c r="V161" i="13"/>
  <c r="Q721" i="2"/>
  <c r="Q677" i="2" s="1"/>
  <c r="Q161" i="13"/>
  <c r="L719" i="2"/>
  <c r="L1120" i="8" s="1"/>
  <c r="L1121" i="8" s="1"/>
  <c r="L159" i="13"/>
  <c r="W719" i="2"/>
  <c r="W675" i="2" s="1"/>
  <c r="W159" i="13"/>
  <c r="P725" i="2"/>
  <c r="P681" i="2" s="1"/>
  <c r="P165" i="13"/>
  <c r="AC724" i="2"/>
  <c r="AC680" i="2" s="1"/>
  <c r="AC164" i="13"/>
  <c r="Z723" i="2"/>
  <c r="Z679" i="2" s="1"/>
  <c r="Z163" i="13"/>
  <c r="AB723" i="2"/>
  <c r="AB679" i="2" s="1"/>
  <c r="AB163" i="13"/>
  <c r="AD322" i="2"/>
  <c r="AD278" i="2" s="1"/>
  <c r="AD22" i="13"/>
  <c r="AE324" i="2"/>
  <c r="AE280" i="2" s="1"/>
  <c r="AE24" i="13"/>
  <c r="S324" i="2"/>
  <c r="S280" i="2" s="1"/>
  <c r="S24" i="13"/>
  <c r="U720" i="2"/>
  <c r="U676" i="2" s="1"/>
  <c r="U730" i="2" s="1"/>
  <c r="U253" i="14" s="1"/>
  <c r="U160" i="13"/>
  <c r="P321" i="2"/>
  <c r="P277" i="2" s="1"/>
  <c r="P21" i="13"/>
  <c r="S321" i="2"/>
  <c r="S277" i="2" s="1"/>
  <c r="S21" i="13"/>
  <c r="V320" i="2"/>
  <c r="V276" i="2" s="1"/>
  <c r="V20" i="13"/>
  <c r="N325" i="2"/>
  <c r="N744" i="8" s="1"/>
  <c r="N745" i="8" s="1"/>
  <c r="N25" i="13"/>
  <c r="S325" i="2"/>
  <c r="S281" i="2" s="1"/>
  <c r="S25" i="13"/>
  <c r="S624" i="8"/>
  <c r="S625" i="8" s="1"/>
  <c r="AA235" i="13"/>
  <c r="AA182" i="13"/>
  <c r="AA212" i="13" s="1"/>
  <c r="AA234" i="13" s="1"/>
  <c r="S96" i="13"/>
  <c r="S97" i="13" s="1"/>
  <c r="S43" i="13"/>
  <c r="S73" i="13" s="1"/>
  <c r="S95" i="13" s="1"/>
  <c r="V96" i="13"/>
  <c r="V97" i="13" s="1"/>
  <c r="V43" i="13"/>
  <c r="V73" i="13" s="1"/>
  <c r="V95" i="13" s="1"/>
  <c r="M249" i="13"/>
  <c r="M250" i="13" s="1"/>
  <c r="M186" i="13"/>
  <c r="M216" i="13" s="1"/>
  <c r="M248" i="13" s="1"/>
  <c r="V249" i="13"/>
  <c r="V186" i="13"/>
  <c r="V216" i="13" s="1"/>
  <c r="V248" i="13" s="1"/>
  <c r="T743" i="2"/>
  <c r="T1200" i="8" s="1"/>
  <c r="T1201" i="8" s="1"/>
  <c r="U736" i="8"/>
  <c r="U737" i="8" s="1"/>
  <c r="AE752" i="8"/>
  <c r="AE753" i="8" s="1"/>
  <c r="Q1132" i="8"/>
  <c r="Q1133" i="8" s="1"/>
  <c r="Q752" i="8"/>
  <c r="Q753" i="8" s="1"/>
  <c r="N326" i="2"/>
  <c r="N748" i="8" s="1"/>
  <c r="N749" i="8" s="1"/>
  <c r="N26" i="13"/>
  <c r="Z721" i="2"/>
  <c r="Z677" i="2" s="1"/>
  <c r="Z161" i="13"/>
  <c r="R721" i="2"/>
  <c r="R677" i="2" s="1"/>
  <c r="R161" i="13"/>
  <c r="P719" i="2"/>
  <c r="P675" i="2" s="1"/>
  <c r="P159" i="13"/>
  <c r="T725" i="2"/>
  <c r="T681" i="2" s="1"/>
  <c r="T165" i="13"/>
  <c r="R725" i="2"/>
  <c r="R681" i="2" s="1"/>
  <c r="R165" i="13"/>
  <c r="U724" i="2"/>
  <c r="U680" i="2" s="1"/>
  <c r="U164" i="13"/>
  <c r="AD723" i="2"/>
  <c r="AD679" i="2" s="1"/>
  <c r="AD163" i="13"/>
  <c r="S723" i="2"/>
  <c r="S679" i="2" s="1"/>
  <c r="S163" i="13"/>
  <c r="W322" i="2"/>
  <c r="W278" i="2" s="1"/>
  <c r="W22" i="13"/>
  <c r="Y324" i="2"/>
  <c r="Y280" i="2" s="1"/>
  <c r="Y24" i="13"/>
  <c r="U324" i="2"/>
  <c r="U280" i="2" s="1"/>
  <c r="U24" i="13"/>
  <c r="O720" i="2"/>
  <c r="O676" i="2" s="1"/>
  <c r="O160" i="13"/>
  <c r="Y321" i="2"/>
  <c r="Y277" i="2" s="1"/>
  <c r="Y21" i="13"/>
  <c r="L321" i="2"/>
  <c r="L21" i="13"/>
  <c r="AB325" i="2"/>
  <c r="AB281" i="2" s="1"/>
  <c r="AB25" i="13"/>
  <c r="T325" i="2"/>
  <c r="T281" i="2" s="1"/>
  <c r="T25" i="13"/>
  <c r="Q747" i="2"/>
  <c r="Q1216" i="8" s="1"/>
  <c r="Q1217" i="8" s="1"/>
  <c r="S348" i="2"/>
  <c r="S820" i="8" s="1"/>
  <c r="S821" i="8" s="1"/>
  <c r="P110" i="13"/>
  <c r="P111" i="13" s="1"/>
  <c r="P47" i="13"/>
  <c r="P77" i="13" s="1"/>
  <c r="P109" i="13" s="1"/>
  <c r="Z110" i="13"/>
  <c r="Z111" i="13" s="1"/>
  <c r="Z47" i="13"/>
  <c r="Z77" i="13" s="1"/>
  <c r="Z109" i="13" s="1"/>
  <c r="O249" i="13"/>
  <c r="O250" i="13" s="1"/>
  <c r="O186" i="13"/>
  <c r="O216" i="13" s="1"/>
  <c r="O248" i="13" s="1"/>
  <c r="Q110" i="13"/>
  <c r="Q111" i="13" s="1"/>
  <c r="Q47" i="13"/>
  <c r="Q77" i="13" s="1"/>
  <c r="Q109" i="13" s="1"/>
  <c r="R110" i="13"/>
  <c r="R111" i="13" s="1"/>
  <c r="R47" i="13"/>
  <c r="R77" i="13" s="1"/>
  <c r="R109" i="13" s="1"/>
  <c r="Y110" i="13"/>
  <c r="Y111" i="13" s="1"/>
  <c r="Y47" i="13"/>
  <c r="Y77" i="13" s="1"/>
  <c r="Y109" i="13" s="1"/>
  <c r="AB719" i="2"/>
  <c r="AB675" i="2" s="1"/>
  <c r="AB159" i="13"/>
  <c r="M723" i="2"/>
  <c r="M1136" i="8" s="1"/>
  <c r="M1137" i="8" s="1"/>
  <c r="M163" i="13"/>
  <c r="Z720" i="2"/>
  <c r="Z676" i="2" s="1"/>
  <c r="Z160" i="13"/>
  <c r="T320" i="2"/>
  <c r="T276" i="2" s="1"/>
  <c r="T20" i="13"/>
  <c r="O724" i="2"/>
  <c r="O680" i="2" s="1"/>
  <c r="O164" i="13"/>
  <c r="Q321" i="2"/>
  <c r="Q277" i="2" s="1"/>
  <c r="Q21" i="13"/>
  <c r="L249" i="13"/>
  <c r="L250" i="13" s="1"/>
  <c r="L186" i="13"/>
  <c r="L216" i="13" s="1"/>
  <c r="L248" i="13" s="1"/>
  <c r="AE96" i="13"/>
  <c r="AE97" i="13" s="1"/>
  <c r="AE43" i="13"/>
  <c r="AE73" i="13" s="1"/>
  <c r="AE95" i="13" s="1"/>
  <c r="M721" i="2"/>
  <c r="M161" i="13"/>
  <c r="W320" i="2"/>
  <c r="W276" i="2" s="1"/>
  <c r="W20" i="13"/>
  <c r="AA96" i="13"/>
  <c r="AA97" i="13" s="1"/>
  <c r="AA43" i="13"/>
  <c r="AA73" i="13" s="1"/>
  <c r="AA95" i="13" s="1"/>
  <c r="AB326" i="2"/>
  <c r="AB282" i="2" s="1"/>
  <c r="AB26" i="13"/>
  <c r="V725" i="2"/>
  <c r="V681" i="2" s="1"/>
  <c r="V165" i="13"/>
  <c r="Y322" i="2"/>
  <c r="Y278" i="2" s="1"/>
  <c r="Y22" i="13"/>
  <c r="R325" i="2"/>
  <c r="R281" i="2" s="1"/>
  <c r="R25" i="13"/>
  <c r="AE326" i="2"/>
  <c r="AE282" i="2" s="1"/>
  <c r="AE26" i="13"/>
  <c r="Z719" i="2"/>
  <c r="Z675" i="2" s="1"/>
  <c r="Z159" i="13"/>
  <c r="AC725" i="2"/>
  <c r="AC681" i="2" s="1"/>
  <c r="AC165" i="13"/>
  <c r="AC723" i="2"/>
  <c r="AC679" i="2" s="1"/>
  <c r="AC163" i="13"/>
  <c r="R723" i="2"/>
  <c r="R679" i="2" s="1"/>
  <c r="R163" i="13"/>
  <c r="Q322" i="2"/>
  <c r="Q278" i="2" s="1"/>
  <c r="Q22" i="13"/>
  <c r="AD324" i="2"/>
  <c r="AD280" i="2" s="1"/>
  <c r="AD24" i="13"/>
  <c r="R324" i="2"/>
  <c r="R280" i="2" s="1"/>
  <c r="R24" i="13"/>
  <c r="W720" i="2"/>
  <c r="W676" i="2" s="1"/>
  <c r="W160" i="13"/>
  <c r="O321" i="2"/>
  <c r="O277" i="2" s="1"/>
  <c r="O21" i="13"/>
  <c r="M320" i="2"/>
  <c r="M724" i="8" s="1"/>
  <c r="M725" i="8" s="1"/>
  <c r="M20" i="13"/>
  <c r="P325" i="2"/>
  <c r="P281" i="2" s="1"/>
  <c r="P25" i="13"/>
  <c r="X325" i="2"/>
  <c r="X281" i="2" s="1"/>
  <c r="X25" i="13"/>
  <c r="Q1020" i="8"/>
  <c r="Q1021" i="8" s="1"/>
  <c r="Q235" i="13"/>
  <c r="Q182" i="13"/>
  <c r="Q212" i="13" s="1"/>
  <c r="Q234" i="13" s="1"/>
  <c r="AB235" i="13"/>
  <c r="AB182" i="13"/>
  <c r="AB212" i="13" s="1"/>
  <c r="AB234" i="13" s="1"/>
  <c r="T235" i="13"/>
  <c r="T182" i="13"/>
  <c r="T212" i="13" s="1"/>
  <c r="T234" i="13" s="1"/>
  <c r="U719" i="2"/>
  <c r="U675" i="2" s="1"/>
  <c r="U159" i="13"/>
  <c r="Y725" i="2"/>
  <c r="Y681" i="2" s="1"/>
  <c r="Y165" i="13"/>
  <c r="P724" i="2"/>
  <c r="P680" i="2" s="1"/>
  <c r="P164" i="13"/>
  <c r="U723" i="2"/>
  <c r="U679" i="2" s="1"/>
  <c r="U163" i="13"/>
  <c r="AE723" i="2"/>
  <c r="AE679" i="2" s="1"/>
  <c r="AE163" i="13"/>
  <c r="AE322" i="2"/>
  <c r="AE278" i="2" s="1"/>
  <c r="AE22" i="13"/>
  <c r="M324" i="2"/>
  <c r="M740" i="8" s="1"/>
  <c r="M741" i="8" s="1"/>
  <c r="M24" i="13"/>
  <c r="V720" i="2"/>
  <c r="V676" i="2" s="1"/>
  <c r="V160" i="13"/>
  <c r="AE720" i="2"/>
  <c r="AE676" i="2" s="1"/>
  <c r="AE160" i="13"/>
  <c r="W321" i="2"/>
  <c r="W277" i="2" s="1"/>
  <c r="W21" i="13"/>
  <c r="O320" i="2"/>
  <c r="O276" i="2" s="1"/>
  <c r="O20" i="13"/>
  <c r="W325" i="2"/>
  <c r="W281" i="2" s="1"/>
  <c r="W25" i="13"/>
  <c r="AB96" i="13"/>
  <c r="AB97" i="13" s="1"/>
  <c r="AB43" i="13"/>
  <c r="AB73" i="13" s="1"/>
  <c r="AB95" i="13" s="1"/>
  <c r="AC110" i="13"/>
  <c r="AC111" i="13" s="1"/>
  <c r="AC47" i="13"/>
  <c r="AC77" i="13" s="1"/>
  <c r="AC109" i="13" s="1"/>
  <c r="X110" i="13"/>
  <c r="X111" i="13" s="1"/>
  <c r="X47" i="13"/>
  <c r="X77" i="13" s="1"/>
  <c r="X109" i="13" s="1"/>
  <c r="O110" i="13"/>
  <c r="O111" i="13" s="1"/>
  <c r="O47" i="13"/>
  <c r="O77" i="13" s="1"/>
  <c r="O109" i="13" s="1"/>
  <c r="AD110" i="13"/>
  <c r="AD111" i="13" s="1"/>
  <c r="AD47" i="13"/>
  <c r="AD77" i="13" s="1"/>
  <c r="AD109" i="13" s="1"/>
  <c r="AE1148" i="8"/>
  <c r="AE1149" i="8" s="1"/>
  <c r="Y736" i="8"/>
  <c r="Y737" i="8" s="1"/>
  <c r="AC736" i="8"/>
  <c r="AC737" i="8" s="1"/>
  <c r="AA1148" i="8"/>
  <c r="AA1149" i="8" s="1"/>
  <c r="V326" i="2"/>
  <c r="V282" i="2" s="1"/>
  <c r="V26" i="13"/>
  <c r="L326" i="2"/>
  <c r="L748" i="8" s="1"/>
  <c r="L749" i="8" s="1"/>
  <c r="L26" i="13"/>
  <c r="AA721" i="2"/>
  <c r="AA677" i="2" s="1"/>
  <c r="AA161" i="13"/>
  <c r="AC719" i="2"/>
  <c r="AC675" i="2" s="1"/>
  <c r="AC159" i="13"/>
  <c r="M725" i="2"/>
  <c r="M1144" i="8" s="1"/>
  <c r="M1145" i="8" s="1"/>
  <c r="M165" i="13"/>
  <c r="AE725" i="2"/>
  <c r="AE681" i="2" s="1"/>
  <c r="AE165" i="13"/>
  <c r="Z724" i="2"/>
  <c r="Z680" i="2" s="1"/>
  <c r="Z164" i="13"/>
  <c r="N723" i="2"/>
  <c r="N163" i="13"/>
  <c r="W723" i="2"/>
  <c r="W679" i="2" s="1"/>
  <c r="W163" i="13"/>
  <c r="P322" i="2"/>
  <c r="P278" i="2" s="1"/>
  <c r="P22" i="13"/>
  <c r="O324" i="2"/>
  <c r="O280" i="2" s="1"/>
  <c r="O24" i="13"/>
  <c r="Y720" i="2"/>
  <c r="Y676" i="2" s="1"/>
  <c r="Y160" i="13"/>
  <c r="T720" i="2"/>
  <c r="T676" i="2" s="1"/>
  <c r="T160" i="13"/>
  <c r="AE321" i="2"/>
  <c r="AE277" i="2" s="1"/>
  <c r="AE21" i="13"/>
  <c r="AA320" i="2"/>
  <c r="AA276" i="2" s="1"/>
  <c r="AA20" i="13"/>
  <c r="N320" i="2"/>
  <c r="N20" i="13"/>
  <c r="Q325" i="2"/>
  <c r="Q281" i="2" s="1"/>
  <c r="Q25" i="13"/>
  <c r="L325" i="2"/>
  <c r="L744" i="8" s="1"/>
  <c r="L745" i="8" s="1"/>
  <c r="L25" i="13"/>
  <c r="Q743" i="2"/>
  <c r="Q1200" i="8" s="1"/>
  <c r="Q1201" i="8" s="1"/>
  <c r="P333" i="2"/>
  <c r="N235" i="13"/>
  <c r="N236" i="13" s="1"/>
  <c r="N182" i="13"/>
  <c r="N212" i="13" s="1"/>
  <c r="N234" i="13" s="1"/>
  <c r="AC235" i="13"/>
  <c r="AC182" i="13"/>
  <c r="AC212" i="13" s="1"/>
  <c r="AC234" i="13" s="1"/>
  <c r="R235" i="13"/>
  <c r="R182" i="13"/>
  <c r="R212" i="13" s="1"/>
  <c r="R234" i="13" s="1"/>
  <c r="X235" i="13"/>
  <c r="X182" i="13"/>
  <c r="X212" i="13" s="1"/>
  <c r="X234" i="13" s="1"/>
  <c r="O235" i="13"/>
  <c r="O236" i="13" s="1"/>
  <c r="O182" i="13"/>
  <c r="O212" i="13" s="1"/>
  <c r="O234" i="13" s="1"/>
  <c r="W326" i="2"/>
  <c r="W282" i="2" s="1"/>
  <c r="W26" i="13"/>
  <c r="N719" i="2"/>
  <c r="N1120" i="8" s="1"/>
  <c r="N1121" i="8" s="1"/>
  <c r="N159" i="13"/>
  <c r="L725" i="2"/>
  <c r="L1144" i="8" s="1"/>
  <c r="L1145" i="8" s="1"/>
  <c r="L165" i="13"/>
  <c r="AB322" i="2"/>
  <c r="AB278" i="2" s="1"/>
  <c r="AB22" i="13"/>
  <c r="R322" i="2"/>
  <c r="R278" i="2" s="1"/>
  <c r="R22" i="13"/>
  <c r="AB321" i="2"/>
  <c r="AB277" i="2" s="1"/>
  <c r="AB21" i="13"/>
  <c r="AC321" i="2"/>
  <c r="AC277" i="2" s="1"/>
  <c r="AC21" i="13"/>
  <c r="O325" i="2"/>
  <c r="O281" i="2" s="1"/>
  <c r="O335" i="2" s="1"/>
  <c r="O50" i="14" s="1"/>
  <c r="O25" i="13"/>
  <c r="W96" i="13"/>
  <c r="W97" i="13" s="1"/>
  <c r="W43" i="13"/>
  <c r="W73" i="13" s="1"/>
  <c r="W95" i="13" s="1"/>
  <c r="T344" i="2"/>
  <c r="T804" i="8" s="1"/>
  <c r="T805" i="8" s="1"/>
  <c r="AD235" i="13"/>
  <c r="AD182" i="13"/>
  <c r="AD212" i="13" s="1"/>
  <c r="AD234" i="13" s="1"/>
  <c r="T736" i="8"/>
  <c r="T737" i="8" s="1"/>
  <c r="X724" i="2"/>
  <c r="X680" i="2" s="1"/>
  <c r="X164" i="13"/>
  <c r="AE110" i="13"/>
  <c r="AE111" i="13" s="1"/>
  <c r="AE47" i="13"/>
  <c r="AE77" i="13" s="1"/>
  <c r="AE109" i="13" s="1"/>
  <c r="P337" i="2"/>
  <c r="U348" i="2"/>
  <c r="U820" i="8" s="1"/>
  <c r="U821" i="8" s="1"/>
  <c r="AE736" i="8"/>
  <c r="AE737" i="8" s="1"/>
  <c r="P752" i="8"/>
  <c r="P753" i="8" s="1"/>
  <c r="P736" i="8"/>
  <c r="P737" i="8" s="1"/>
  <c r="S1148" i="8"/>
  <c r="S1149" i="8" s="1"/>
  <c r="O326" i="2"/>
  <c r="O282" i="2" s="1"/>
  <c r="O26" i="13"/>
  <c r="AC326" i="2"/>
  <c r="AC282" i="2" s="1"/>
  <c r="AC26" i="13"/>
  <c r="O721" i="2"/>
  <c r="O677" i="2" s="1"/>
  <c r="O161" i="13"/>
  <c r="O725" i="2"/>
  <c r="O681" i="2" s="1"/>
  <c r="O746" i="2" s="1"/>
  <c r="O1212" i="8" s="1"/>
  <c r="O1213" i="8" s="1"/>
  <c r="O165" i="13"/>
  <c r="AB725" i="2"/>
  <c r="AB681" i="2" s="1"/>
  <c r="AB165" i="13"/>
  <c r="Y724" i="2"/>
  <c r="Y680" i="2" s="1"/>
  <c r="Y164" i="13"/>
  <c r="O723" i="2"/>
  <c r="O679" i="2" s="1"/>
  <c r="O163" i="13"/>
  <c r="M322" i="2"/>
  <c r="M732" i="8" s="1"/>
  <c r="M733" i="8" s="1"/>
  <c r="M22" i="13"/>
  <c r="X322" i="2"/>
  <c r="X278" i="2" s="1"/>
  <c r="X22" i="13"/>
  <c r="N324" i="2"/>
  <c r="N740" i="8" s="1"/>
  <c r="N741" i="8" s="1"/>
  <c r="N24" i="13"/>
  <c r="N720" i="2"/>
  <c r="N1124" i="8" s="1"/>
  <c r="N1125" i="8" s="1"/>
  <c r="N160" i="13"/>
  <c r="S720" i="2"/>
  <c r="S676" i="2" s="1"/>
  <c r="S160" i="13"/>
  <c r="AD321" i="2"/>
  <c r="AD277" i="2" s="1"/>
  <c r="AD21" i="13"/>
  <c r="Q320" i="2"/>
  <c r="Q276" i="2" s="1"/>
  <c r="Q20" i="13"/>
  <c r="AB320" i="2"/>
  <c r="AB276" i="2" s="1"/>
  <c r="AB20" i="13"/>
  <c r="M325" i="2"/>
  <c r="M744" i="8" s="1"/>
  <c r="M745" i="8" s="1"/>
  <c r="M25" i="13"/>
  <c r="Q1004" i="8"/>
  <c r="Q1005" i="8" s="1"/>
  <c r="P344" i="2"/>
  <c r="P804" i="8" s="1"/>
  <c r="P805" i="8" s="1"/>
  <c r="Z96" i="13"/>
  <c r="Z97" i="13" s="1"/>
  <c r="Z43" i="13"/>
  <c r="Z73" i="13" s="1"/>
  <c r="Z95" i="13" s="1"/>
  <c r="AC249" i="13"/>
  <c r="AC186" i="13"/>
  <c r="AC216" i="13" s="1"/>
  <c r="AC248" i="13" s="1"/>
  <c r="N110" i="13"/>
  <c r="N111" i="13" s="1"/>
  <c r="N47" i="13"/>
  <c r="N77" i="13" s="1"/>
  <c r="N109" i="13" s="1"/>
  <c r="V110" i="13"/>
  <c r="V111" i="13" s="1"/>
  <c r="V47" i="13"/>
  <c r="V77" i="13" s="1"/>
  <c r="V109" i="13" s="1"/>
  <c r="R249" i="13"/>
  <c r="R186" i="13"/>
  <c r="R216" i="13" s="1"/>
  <c r="R248" i="13" s="1"/>
  <c r="V235" i="13"/>
  <c r="V182" i="13"/>
  <c r="V212" i="13" s="1"/>
  <c r="V234" i="13" s="1"/>
  <c r="L96" i="13"/>
  <c r="L97" i="13" s="1"/>
  <c r="L43" i="13"/>
  <c r="L73" i="13" s="1"/>
  <c r="L95" i="13" s="1"/>
  <c r="AC721" i="2"/>
  <c r="AC677" i="2" s="1"/>
  <c r="AC161" i="13"/>
  <c r="M719" i="2"/>
  <c r="M1120" i="8" s="1"/>
  <c r="M1121" i="8" s="1"/>
  <c r="M159" i="13"/>
  <c r="S725" i="2"/>
  <c r="S681" i="2" s="1"/>
  <c r="S165" i="13"/>
  <c r="Q723" i="2"/>
  <c r="Q679" i="2" s="1"/>
  <c r="Q163" i="13"/>
  <c r="V324" i="2"/>
  <c r="V280" i="2" s="1"/>
  <c r="V24" i="13"/>
  <c r="AC324" i="2"/>
  <c r="AC280" i="2" s="1"/>
  <c r="AC24" i="13"/>
  <c r="X720" i="2"/>
  <c r="X676" i="2" s="1"/>
  <c r="X160" i="13"/>
  <c r="Z325" i="2"/>
  <c r="Z281" i="2" s="1"/>
  <c r="Z25" i="13"/>
  <c r="N96" i="13"/>
  <c r="N97" i="13" s="1"/>
  <c r="N43" i="13"/>
  <c r="N73" i="13" s="1"/>
  <c r="N95" i="13" s="1"/>
  <c r="AD721" i="2"/>
  <c r="AD677" i="2" s="1"/>
  <c r="AD161" i="13"/>
  <c r="AE235" i="13"/>
  <c r="AE182" i="13"/>
  <c r="AE212" i="13" s="1"/>
  <c r="AE234" i="13" s="1"/>
  <c r="M326" i="2"/>
  <c r="M748" i="8" s="1"/>
  <c r="M749" i="8" s="1"/>
  <c r="M26" i="13"/>
  <c r="W725" i="2"/>
  <c r="W681" i="2" s="1"/>
  <c r="W165" i="13"/>
  <c r="U325" i="2"/>
  <c r="U281" i="2" s="1"/>
  <c r="U25" i="13"/>
  <c r="U337" i="2"/>
  <c r="W736" i="8"/>
  <c r="W737" i="8" s="1"/>
  <c r="P326" i="2"/>
  <c r="P282" i="2" s="1"/>
  <c r="P26" i="13"/>
  <c r="U326" i="2"/>
  <c r="U282" i="2" s="1"/>
  <c r="U26" i="13"/>
  <c r="L721" i="2"/>
  <c r="L1128" i="8" s="1"/>
  <c r="L1129" i="8" s="1"/>
  <c r="L161" i="13"/>
  <c r="V719" i="2"/>
  <c r="V675" i="2" s="1"/>
  <c r="V159" i="13"/>
  <c r="AA725" i="2"/>
  <c r="AA681" i="2" s="1"/>
  <c r="AA165" i="13"/>
  <c r="T724" i="2"/>
  <c r="T680" i="2" s="1"/>
  <c r="T164" i="13"/>
  <c r="X723" i="2"/>
  <c r="X679" i="2" s="1"/>
  <c r="X163" i="13"/>
  <c r="O322" i="2"/>
  <c r="O278" i="2" s="1"/>
  <c r="O22" i="13"/>
  <c r="AC322" i="2"/>
  <c r="AC278" i="2" s="1"/>
  <c r="AC22" i="13"/>
  <c r="AB324" i="2"/>
  <c r="AB280" i="2" s="1"/>
  <c r="AB24" i="13"/>
  <c r="M720" i="2"/>
  <c r="M1124" i="8" s="1"/>
  <c r="M1125" i="8" s="1"/>
  <c r="M160" i="13"/>
  <c r="R720" i="2"/>
  <c r="R676" i="2" s="1"/>
  <c r="R160" i="13"/>
  <c r="V321" i="2"/>
  <c r="V277" i="2" s="1"/>
  <c r="V21" i="13"/>
  <c r="Y320" i="2"/>
  <c r="Y276" i="2" s="1"/>
  <c r="Y20" i="13"/>
  <c r="S320" i="2"/>
  <c r="S276" i="2" s="1"/>
  <c r="S20" i="13"/>
  <c r="AE325" i="2"/>
  <c r="AE281" i="2" s="1"/>
  <c r="AE25" i="13"/>
  <c r="S736" i="2"/>
  <c r="Q624" i="8"/>
  <c r="Q625" i="8" s="1"/>
  <c r="AA110" i="13"/>
  <c r="AA111" i="13" s="1"/>
  <c r="AA47" i="13"/>
  <c r="AA77" i="13" s="1"/>
  <c r="AA109" i="13" s="1"/>
  <c r="T249" i="13"/>
  <c r="T186" i="13"/>
  <c r="T216" i="13" s="1"/>
  <c r="T248" i="13" s="1"/>
  <c r="S235" i="13"/>
  <c r="S182" i="13"/>
  <c r="S212" i="13" s="1"/>
  <c r="S234" i="13" s="1"/>
  <c r="L235" i="13"/>
  <c r="L236" i="13" s="1"/>
  <c r="L182" i="13"/>
  <c r="L212" i="13" s="1"/>
  <c r="L234" i="13" s="1"/>
  <c r="R96" i="13"/>
  <c r="R97" i="13" s="1"/>
  <c r="R43" i="13"/>
  <c r="R73" i="13" s="1"/>
  <c r="R95" i="13" s="1"/>
  <c r="U110" i="13"/>
  <c r="U111" i="13" s="1"/>
  <c r="U47" i="13"/>
  <c r="U77" i="13" s="1"/>
  <c r="U109" i="13" s="1"/>
  <c r="P348" i="2"/>
  <c r="P820" i="8" s="1"/>
  <c r="P821" i="8" s="1"/>
  <c r="U624" i="8"/>
  <c r="U625" i="8" s="1"/>
  <c r="AD325" i="2"/>
  <c r="AD281" i="2" s="1"/>
  <c r="AD25" i="13"/>
  <c r="Q348" i="2"/>
  <c r="P249" i="13"/>
  <c r="P250" i="13" s="1"/>
  <c r="P186" i="13"/>
  <c r="P216" i="13" s="1"/>
  <c r="P248" i="13" s="1"/>
  <c r="AE721" i="2"/>
  <c r="AE677" i="2" s="1"/>
  <c r="AE161" i="13"/>
  <c r="S721" i="2"/>
  <c r="S677" i="2" s="1"/>
  <c r="S161" i="13"/>
  <c r="L110" i="13"/>
  <c r="L111" i="13" s="1"/>
  <c r="L47" i="13"/>
  <c r="L77" i="13" s="1"/>
  <c r="L109" i="13" s="1"/>
  <c r="Q725" i="2"/>
  <c r="Q681" i="2" s="1"/>
  <c r="Q165" i="13"/>
  <c r="U752" i="8"/>
  <c r="U753" i="8" s="1"/>
  <c r="Z326" i="2"/>
  <c r="Z282" i="2" s="1"/>
  <c r="Z26" i="13"/>
  <c r="T326" i="2"/>
  <c r="T282" i="2" s="1"/>
  <c r="T26" i="13"/>
  <c r="U721" i="2"/>
  <c r="U677" i="2" s="1"/>
  <c r="U161" i="13"/>
  <c r="AD719" i="2"/>
  <c r="AD675" i="2" s="1"/>
  <c r="AD159" i="13"/>
  <c r="AE719" i="2"/>
  <c r="AE675" i="2" s="1"/>
  <c r="AE159" i="13"/>
  <c r="Z725" i="2"/>
  <c r="Z681" i="2" s="1"/>
  <c r="Z165" i="13"/>
  <c r="M724" i="2"/>
  <c r="M1140" i="8" s="1"/>
  <c r="M1141" i="8" s="1"/>
  <c r="M164" i="13"/>
  <c r="W724" i="2"/>
  <c r="W680" i="2" s="1"/>
  <c r="W164" i="13"/>
  <c r="L723" i="2"/>
  <c r="L1136" i="8" s="1"/>
  <c r="L1137" i="8" s="1"/>
  <c r="L163" i="13"/>
  <c r="V322" i="2"/>
  <c r="V278" i="2" s="1"/>
  <c r="V22" i="13"/>
  <c r="S322" i="2"/>
  <c r="S278" i="2" s="1"/>
  <c r="S22" i="13"/>
  <c r="Z324" i="2"/>
  <c r="Z280" i="2" s="1"/>
  <c r="Z24" i="13"/>
  <c r="AA720" i="2"/>
  <c r="AA676" i="2" s="1"/>
  <c r="AA160" i="13"/>
  <c r="Q720" i="2"/>
  <c r="Q676" i="2" s="1"/>
  <c r="Q160" i="13"/>
  <c r="AA321" i="2"/>
  <c r="AA277" i="2" s="1"/>
  <c r="AA21" i="13"/>
  <c r="AC320" i="2"/>
  <c r="AC276" i="2" s="1"/>
  <c r="AC20" i="13"/>
  <c r="S743" i="2"/>
  <c r="S1200" i="8" s="1"/>
  <c r="S1201" i="8" s="1"/>
  <c r="S732" i="2"/>
  <c r="S255" i="14" s="1"/>
  <c r="AD249" i="13"/>
  <c r="AD186" i="13"/>
  <c r="AD216" i="13" s="1"/>
  <c r="AD248" i="13" s="1"/>
  <c r="Q96" i="13"/>
  <c r="Q97" i="13" s="1"/>
  <c r="Q43" i="13"/>
  <c r="Q73" i="13" s="1"/>
  <c r="Q95" i="13" s="1"/>
  <c r="X249" i="13"/>
  <c r="X186" i="13"/>
  <c r="X216" i="13" s="1"/>
  <c r="X248" i="13" s="1"/>
  <c r="W110" i="13"/>
  <c r="W111" i="13" s="1"/>
  <c r="W47" i="13"/>
  <c r="W77" i="13" s="1"/>
  <c r="W109" i="13" s="1"/>
  <c r="Z249" i="13"/>
  <c r="Z186" i="13"/>
  <c r="Z216" i="13" s="1"/>
  <c r="Z248" i="13" s="1"/>
  <c r="T1148" i="8"/>
  <c r="T1149" i="8" s="1"/>
  <c r="AA326" i="2"/>
  <c r="AA282" i="2" s="1"/>
  <c r="AA26" i="13"/>
  <c r="R326" i="2"/>
  <c r="R282" i="2" s="1"/>
  <c r="R26" i="13"/>
  <c r="N721" i="2"/>
  <c r="N1128" i="8" s="1"/>
  <c r="N1129" i="8" s="1"/>
  <c r="N161" i="13"/>
  <c r="Y719" i="2"/>
  <c r="Y675" i="2" s="1"/>
  <c r="Y159" i="13"/>
  <c r="R719" i="2"/>
  <c r="R675" i="2" s="1"/>
  <c r="R159" i="13"/>
  <c r="AD725" i="2"/>
  <c r="AD681" i="2" s="1"/>
  <c r="AD165" i="13"/>
  <c r="L724" i="2"/>
  <c r="L1140" i="8" s="1"/>
  <c r="L1141" i="8" s="1"/>
  <c r="L164" i="13"/>
  <c r="AE724" i="2"/>
  <c r="AE680" i="2" s="1"/>
  <c r="AE164" i="13"/>
  <c r="P723" i="2"/>
  <c r="P679" i="2" s="1"/>
  <c r="P163" i="13"/>
  <c r="U322" i="2"/>
  <c r="U278" i="2" s="1"/>
  <c r="U22" i="13"/>
  <c r="T322" i="2"/>
  <c r="T278" i="2" s="1"/>
  <c r="T22" i="13"/>
  <c r="P324" i="2"/>
  <c r="P280" i="2" s="1"/>
  <c r="P24" i="13"/>
  <c r="AD720" i="2"/>
  <c r="AD676" i="2" s="1"/>
  <c r="AD160" i="13"/>
  <c r="AB720" i="2"/>
  <c r="AB676" i="2" s="1"/>
  <c r="AB160" i="13"/>
  <c r="U321" i="2"/>
  <c r="U277" i="2" s="1"/>
  <c r="U21" i="13"/>
  <c r="AE320" i="2"/>
  <c r="AE276" i="2" s="1"/>
  <c r="AE20" i="13"/>
  <c r="R320" i="2"/>
  <c r="R276" i="2" s="1"/>
  <c r="R20" i="13"/>
  <c r="AA325" i="2"/>
  <c r="AA281" i="2" s="1"/>
  <c r="AA25" i="13"/>
  <c r="S1020" i="8"/>
  <c r="S1021" i="8" s="1"/>
  <c r="Q337" i="2"/>
  <c r="R333" i="2"/>
  <c r="U747" i="2"/>
  <c r="U1216" i="8" s="1"/>
  <c r="U1217" i="8" s="1"/>
  <c r="Y249" i="13"/>
  <c r="Y186" i="13"/>
  <c r="Y216" i="13" s="1"/>
  <c r="Y248" i="13" s="1"/>
  <c r="Y235" i="13"/>
  <c r="Y182" i="13"/>
  <c r="Y212" i="13" s="1"/>
  <c r="Y234" i="13" s="1"/>
  <c r="O96" i="13"/>
  <c r="O97" i="13" s="1"/>
  <c r="O43" i="13"/>
  <c r="O73" i="13" s="1"/>
  <c r="O95" i="13" s="1"/>
  <c r="W196" i="13"/>
  <c r="W206" i="13" s="1"/>
  <c r="X96" i="13"/>
  <c r="X97" i="13" s="1"/>
  <c r="X43" i="13"/>
  <c r="X73" i="13" s="1"/>
  <c r="X95" i="13" s="1"/>
  <c r="U235" i="13"/>
  <c r="U182" i="13"/>
  <c r="U212" i="13" s="1"/>
  <c r="U234" i="13" s="1"/>
  <c r="Y723" i="2"/>
  <c r="Y679" i="2" s="1"/>
  <c r="Y163" i="13"/>
  <c r="AA249" i="13"/>
  <c r="AA186" i="13"/>
  <c r="AA216" i="13" s="1"/>
  <c r="AA248" i="13" s="1"/>
  <c r="AA719" i="2"/>
  <c r="AA675" i="2" s="1"/>
  <c r="AA159" i="13"/>
  <c r="P320" i="2"/>
  <c r="P276" i="2" s="1"/>
  <c r="P20" i="13"/>
  <c r="T110" i="13"/>
  <c r="T111" i="13" s="1"/>
  <c r="T47" i="13"/>
  <c r="T77" i="13" s="1"/>
  <c r="T109" i="13" s="1"/>
  <c r="S326" i="2"/>
  <c r="S282" i="2" s="1"/>
  <c r="S26" i="13"/>
  <c r="X326" i="2"/>
  <c r="X282" i="2" s="1"/>
  <c r="X26" i="13"/>
  <c r="P721" i="2"/>
  <c r="P677" i="2" s="1"/>
  <c r="P161" i="13"/>
  <c r="T719" i="2"/>
  <c r="T675" i="2" s="1"/>
  <c r="T159" i="13"/>
  <c r="N725" i="2"/>
  <c r="N1144" i="8" s="1"/>
  <c r="N1145" i="8" s="1"/>
  <c r="N165" i="13"/>
  <c r="AA724" i="2"/>
  <c r="AA680" i="2" s="1"/>
  <c r="AA164" i="13"/>
  <c r="AB724" i="2"/>
  <c r="AB680" i="2" s="1"/>
  <c r="AB164" i="13"/>
  <c r="V723" i="2"/>
  <c r="V679" i="2" s="1"/>
  <c r="V163" i="13"/>
  <c r="N322" i="2"/>
  <c r="N732" i="8" s="1"/>
  <c r="N733" i="8" s="1"/>
  <c r="N22" i="13"/>
  <c r="L322" i="2"/>
  <c r="L732" i="8" s="1"/>
  <c r="L733" i="8" s="1"/>
  <c r="L22" i="13"/>
  <c r="AA324" i="2"/>
  <c r="AA280" i="2" s="1"/>
  <c r="AA24" i="13"/>
  <c r="P720" i="2"/>
  <c r="P676" i="2" s="1"/>
  <c r="P160" i="13"/>
  <c r="N321" i="2"/>
  <c r="N728" i="8" s="1"/>
  <c r="N729" i="8" s="1"/>
  <c r="N21" i="13"/>
  <c r="T321" i="2"/>
  <c r="T277" i="2" s="1"/>
  <c r="T21" i="13"/>
  <c r="Z320" i="2"/>
  <c r="Z276" i="2" s="1"/>
  <c r="Z20" i="13"/>
  <c r="U320" i="2"/>
  <c r="U276" i="2" s="1"/>
  <c r="U20" i="13"/>
  <c r="V325" i="2"/>
  <c r="V281" i="2" s="1"/>
  <c r="V25" i="13"/>
  <c r="O736" i="2"/>
  <c r="R348" i="2"/>
  <c r="R820" i="8" s="1"/>
  <c r="R821" i="8" s="1"/>
  <c r="W235" i="13"/>
  <c r="W182" i="13"/>
  <c r="W212" i="13" s="1"/>
  <c r="W234" i="13" s="1"/>
  <c r="Z235" i="13"/>
  <c r="Z182" i="13"/>
  <c r="Z212" i="13" s="1"/>
  <c r="Z234" i="13" s="1"/>
  <c r="S110" i="13"/>
  <c r="S111" i="13" s="1"/>
  <c r="S47" i="13"/>
  <c r="S77" i="13" s="1"/>
  <c r="S109" i="13" s="1"/>
  <c r="AB110" i="13"/>
  <c r="AB111" i="13" s="1"/>
  <c r="AB47" i="13"/>
  <c r="AB77" i="13" s="1"/>
  <c r="AB109" i="13" s="1"/>
  <c r="P235" i="13"/>
  <c r="P236" i="13" s="1"/>
  <c r="P182" i="13"/>
  <c r="P212" i="13" s="1"/>
  <c r="P234" i="13" s="1"/>
  <c r="T96" i="13"/>
  <c r="T97" i="13" s="1"/>
  <c r="T43" i="13"/>
  <c r="T73" i="13" s="1"/>
  <c r="T95" i="13" s="1"/>
  <c r="AC96" i="13"/>
  <c r="AC97" i="13" s="1"/>
  <c r="AC43" i="13"/>
  <c r="AC73" i="13" s="1"/>
  <c r="AC95" i="13" s="1"/>
  <c r="P1180" i="8"/>
  <c r="P1181" i="8" s="1"/>
  <c r="P1164" i="8"/>
  <c r="P1165" i="8" s="1"/>
  <c r="L296" i="2"/>
  <c r="N296" i="2"/>
  <c r="M296" i="2"/>
  <c r="L383" i="2"/>
  <c r="L392" i="2"/>
  <c r="L339" i="2" s="1"/>
  <c r="N383" i="2"/>
  <c r="N392" i="2"/>
  <c r="N339" i="2" s="1"/>
  <c r="M383" i="2"/>
  <c r="M392" i="2"/>
  <c r="M339" i="2" s="1"/>
  <c r="N888" i="8"/>
  <c r="N889" i="8" s="1"/>
  <c r="N972" i="8"/>
  <c r="N973" i="8" s="1"/>
  <c r="M868" i="8"/>
  <c r="M869" i="8" s="1"/>
  <c r="M952" i="8"/>
  <c r="M953" i="8" s="1"/>
  <c r="L872" i="8"/>
  <c r="L873" i="8" s="1"/>
  <c r="L956" i="8"/>
  <c r="L957" i="8" s="1"/>
  <c r="M872" i="8"/>
  <c r="M873" i="8" s="1"/>
  <c r="M956" i="8"/>
  <c r="M957" i="8" s="1"/>
  <c r="L884" i="8"/>
  <c r="L885" i="8" s="1"/>
  <c r="L968" i="8"/>
  <c r="L969" i="8" s="1"/>
  <c r="N884" i="8"/>
  <c r="N885" i="8" s="1"/>
  <c r="N968" i="8"/>
  <c r="N969" i="8" s="1"/>
  <c r="M884" i="8"/>
  <c r="M885" i="8" s="1"/>
  <c r="M968" i="8"/>
  <c r="M969" i="8" s="1"/>
  <c r="M888" i="8"/>
  <c r="M889" i="8" s="1"/>
  <c r="M972" i="8"/>
  <c r="M973" i="8" s="1"/>
  <c r="L868" i="8"/>
  <c r="L869" i="8" s="1"/>
  <c r="L952" i="8"/>
  <c r="L953" i="8" s="1"/>
  <c r="N868" i="8"/>
  <c r="N869" i="8" s="1"/>
  <c r="N952" i="8"/>
  <c r="N953" i="8" s="1"/>
  <c r="L888" i="8"/>
  <c r="L889" i="8" s="1"/>
  <c r="L972" i="8"/>
  <c r="L973" i="8" s="1"/>
  <c r="N872" i="8"/>
  <c r="N873" i="8" s="1"/>
  <c r="N956" i="8"/>
  <c r="N957" i="8" s="1"/>
  <c r="V1096" i="8"/>
  <c r="V1097" i="8" s="1"/>
  <c r="AC1096" i="8"/>
  <c r="AC1097" i="8" s="1"/>
  <c r="AD712" i="8"/>
  <c r="AD713" i="8" s="1"/>
  <c r="AA700" i="8"/>
  <c r="AA701" i="8" s="1"/>
  <c r="U1104" i="8"/>
  <c r="U1105" i="8" s="1"/>
  <c r="X1108" i="8"/>
  <c r="X1109" i="8" s="1"/>
  <c r="V1108" i="8"/>
  <c r="V1109" i="8" s="1"/>
  <c r="F1117" i="8"/>
  <c r="Q1104" i="8"/>
  <c r="Q1105" i="8" s="1"/>
  <c r="X1104" i="8"/>
  <c r="X1105" i="8" s="1"/>
  <c r="AE1092" i="8"/>
  <c r="AE1093" i="8" s="1"/>
  <c r="L1096" i="8"/>
  <c r="L1097" i="8" s="1"/>
  <c r="U1096" i="8"/>
  <c r="U1097" i="8" s="1"/>
  <c r="AE1088" i="8"/>
  <c r="AE1089" i="8" s="1"/>
  <c r="AC712" i="8"/>
  <c r="AC713" i="8" s="1"/>
  <c r="P712" i="8"/>
  <c r="P713" i="8" s="1"/>
  <c r="O708" i="8"/>
  <c r="O709" i="8" s="1"/>
  <c r="AC708" i="8"/>
  <c r="AC709" i="8" s="1"/>
  <c r="U716" i="8"/>
  <c r="U717" i="8" s="1"/>
  <c r="O1112" i="8"/>
  <c r="O1113" i="8" s="1"/>
  <c r="M700" i="8"/>
  <c r="M701" i="8" s="1"/>
  <c r="N700" i="8"/>
  <c r="N701" i="8" s="1"/>
  <c r="AE692" i="8"/>
  <c r="AE693" i="8" s="1"/>
  <c r="Q692" i="8"/>
  <c r="Q693" i="8" s="1"/>
  <c r="W1104" i="8"/>
  <c r="W1105" i="8" s="1"/>
  <c r="P1092" i="8"/>
  <c r="P1093" i="8" s="1"/>
  <c r="P708" i="8"/>
  <c r="P709" i="8" s="1"/>
  <c r="Z1112" i="8"/>
  <c r="Z1113" i="8" s="1"/>
  <c r="Z692" i="8"/>
  <c r="Z693" i="8" s="1"/>
  <c r="X1096" i="8"/>
  <c r="X1097" i="8" s="1"/>
  <c r="M385" i="2"/>
  <c r="M880" i="8"/>
  <c r="M881" i="8" s="1"/>
  <c r="W708" i="8"/>
  <c r="W709" i="8" s="1"/>
  <c r="Z696" i="8"/>
  <c r="Z697" i="8" s="1"/>
  <c r="AD700" i="8"/>
  <c r="AD701" i="8" s="1"/>
  <c r="AB692" i="8"/>
  <c r="AB693" i="8" s="1"/>
  <c r="O1108" i="8"/>
  <c r="O1109" i="8" s="1"/>
  <c r="O1104" i="8"/>
  <c r="O1105" i="8" s="1"/>
  <c r="L1104" i="8"/>
  <c r="L1105" i="8" s="1"/>
  <c r="Z1092" i="8"/>
  <c r="Z1093" i="8" s="1"/>
  <c r="V1092" i="8"/>
  <c r="V1093" i="8" s="1"/>
  <c r="W1096" i="8"/>
  <c r="W1097" i="8" s="1"/>
  <c r="AC1088" i="8"/>
  <c r="AC1089" i="8" s="1"/>
  <c r="F1101" i="8"/>
  <c r="AB712" i="8"/>
  <c r="AB713" i="8" s="1"/>
  <c r="Y712" i="8"/>
  <c r="Y713" i="8" s="1"/>
  <c r="V708" i="8"/>
  <c r="V709" i="8" s="1"/>
  <c r="AB716" i="8"/>
  <c r="AB717" i="8" s="1"/>
  <c r="AE716" i="8"/>
  <c r="AE717" i="8" s="1"/>
  <c r="AE1112" i="8"/>
  <c r="AE1113" i="8" s="1"/>
  <c r="W1112" i="8"/>
  <c r="W1113" i="8" s="1"/>
  <c r="Q700" i="8"/>
  <c r="Q701" i="8" s="1"/>
  <c r="V700" i="8"/>
  <c r="V701" i="8" s="1"/>
  <c r="N692" i="8"/>
  <c r="N693" i="8" s="1"/>
  <c r="S692" i="8"/>
  <c r="S693" i="8" s="1"/>
  <c r="AB1108" i="8"/>
  <c r="AB1109" i="8" s="1"/>
  <c r="M1096" i="8"/>
  <c r="M1097" i="8" s="1"/>
  <c r="L712" i="8"/>
  <c r="L713" i="8" s="1"/>
  <c r="X1112" i="8"/>
  <c r="X1113" i="8" s="1"/>
  <c r="R700" i="8"/>
  <c r="R701" i="8" s="1"/>
  <c r="P1108" i="8"/>
  <c r="P1109" i="8" s="1"/>
  <c r="AA1108" i="8"/>
  <c r="AA1109" i="8" s="1"/>
  <c r="V1104" i="8"/>
  <c r="V1105" i="8" s="1"/>
  <c r="Y1092" i="8"/>
  <c r="Y1093" i="8" s="1"/>
  <c r="AD1092" i="8"/>
  <c r="AD1093" i="8" s="1"/>
  <c r="AB1096" i="8"/>
  <c r="AB1097" i="8" s="1"/>
  <c r="L1088" i="8"/>
  <c r="L1089" i="8" s="1"/>
  <c r="R712" i="8"/>
  <c r="R713" i="8" s="1"/>
  <c r="T712" i="8"/>
  <c r="T713" i="8" s="1"/>
  <c r="N385" i="2"/>
  <c r="F37" i="18" s="1"/>
  <c r="N880" i="8"/>
  <c r="N881" i="8" s="1"/>
  <c r="AA708" i="8"/>
  <c r="AA709" i="8" s="1"/>
  <c r="T716" i="8"/>
  <c r="T717" i="8" s="1"/>
  <c r="U1112" i="8"/>
  <c r="U1113" i="8" s="1"/>
  <c r="AA696" i="8"/>
  <c r="AA697" i="8" s="1"/>
  <c r="Y696" i="8"/>
  <c r="Y697" i="8" s="1"/>
  <c r="Z700" i="8"/>
  <c r="Z701" i="8" s="1"/>
  <c r="F705" i="8"/>
  <c r="N386" i="2"/>
  <c r="N864" i="8"/>
  <c r="N865" i="8" s="1"/>
  <c r="N371" i="2"/>
  <c r="AD692" i="8"/>
  <c r="AD693" i="8" s="1"/>
  <c r="O1096" i="8"/>
  <c r="O1097" i="8" s="1"/>
  <c r="AA1088" i="8"/>
  <c r="AA1089" i="8" s="1"/>
  <c r="L371" i="2"/>
  <c r="L385" i="2"/>
  <c r="L880" i="8"/>
  <c r="L881" i="8" s="1"/>
  <c r="AC696" i="8"/>
  <c r="AC697" i="8" s="1"/>
  <c r="S700" i="8"/>
  <c r="S701" i="8" s="1"/>
  <c r="O700" i="8"/>
  <c r="O701" i="8" s="1"/>
  <c r="AD1108" i="8"/>
  <c r="AD1109" i="8" s="1"/>
  <c r="S696" i="8"/>
  <c r="S697" i="8" s="1"/>
  <c r="N1108" i="8"/>
  <c r="N1109" i="8" s="1"/>
  <c r="U1108" i="8"/>
  <c r="U1109" i="8" s="1"/>
  <c r="N1104" i="8"/>
  <c r="N1105" i="8" s="1"/>
  <c r="AA1104" i="8"/>
  <c r="AA1105" i="8" s="1"/>
  <c r="X1092" i="8"/>
  <c r="X1093" i="8" s="1"/>
  <c r="U1092" i="8"/>
  <c r="U1093" i="8" s="1"/>
  <c r="AE1096" i="8"/>
  <c r="AE1097" i="8" s="1"/>
  <c r="Z1088" i="8"/>
  <c r="Z1089" i="8" s="1"/>
  <c r="V1088" i="8"/>
  <c r="V1089" i="8" s="1"/>
  <c r="N712" i="8"/>
  <c r="N713" i="8" s="1"/>
  <c r="AE708" i="8"/>
  <c r="AE709" i="8" s="1"/>
  <c r="U708" i="8"/>
  <c r="U709" i="8" s="1"/>
  <c r="AA716" i="8"/>
  <c r="AA717" i="8" s="1"/>
  <c r="Q716" i="8"/>
  <c r="Q717" i="8" s="1"/>
  <c r="M1112" i="8"/>
  <c r="M1113" i="8" s="1"/>
  <c r="V1112" i="8"/>
  <c r="V1113" i="8" s="1"/>
  <c r="AB696" i="8"/>
  <c r="AB697" i="8" s="1"/>
  <c r="L700" i="8"/>
  <c r="L701" i="8" s="1"/>
  <c r="U700" i="8"/>
  <c r="U701" i="8" s="1"/>
  <c r="M692" i="8"/>
  <c r="M693" i="8" s="1"/>
  <c r="R692" i="8"/>
  <c r="R693" i="8" s="1"/>
  <c r="O1088" i="8"/>
  <c r="O1089" i="8" s="1"/>
  <c r="L708" i="8"/>
  <c r="L709" i="8" s="1"/>
  <c r="Y1104" i="8"/>
  <c r="Y1105" i="8" s="1"/>
  <c r="N1096" i="8"/>
  <c r="N1097" i="8" s="1"/>
  <c r="Q712" i="8"/>
  <c r="Q713" i="8" s="1"/>
  <c r="R1108" i="8"/>
  <c r="R1109" i="8" s="1"/>
  <c r="M1088" i="8"/>
  <c r="M1089" i="8" s="1"/>
  <c r="S716" i="8"/>
  <c r="S717" i="8" s="1"/>
  <c r="X696" i="8"/>
  <c r="X697" i="8" s="1"/>
  <c r="W1108" i="8"/>
  <c r="W1109" i="8" s="1"/>
  <c r="R1092" i="8"/>
  <c r="R1093" i="8" s="1"/>
  <c r="N1092" i="8"/>
  <c r="N1093" i="8" s="1"/>
  <c r="S1096" i="8"/>
  <c r="S1097" i="8" s="1"/>
  <c r="S1088" i="8"/>
  <c r="S1089" i="8" s="1"/>
  <c r="Y1088" i="8"/>
  <c r="Y1089" i="8" s="1"/>
  <c r="V712" i="8"/>
  <c r="V713" i="8" s="1"/>
  <c r="X712" i="8"/>
  <c r="X713" i="8" s="1"/>
  <c r="N708" i="8"/>
  <c r="N709" i="8" s="1"/>
  <c r="Z708" i="8"/>
  <c r="Z709" i="8" s="1"/>
  <c r="Z716" i="8"/>
  <c r="Z717" i="8" s="1"/>
  <c r="T1112" i="8"/>
  <c r="T1113" i="8" s="1"/>
  <c r="AB1112" i="8"/>
  <c r="AB1113" i="8" s="1"/>
  <c r="P696" i="8"/>
  <c r="P697" i="8" s="1"/>
  <c r="W696" i="8"/>
  <c r="W697" i="8" s="1"/>
  <c r="L864" i="8"/>
  <c r="L865" i="8" s="1"/>
  <c r="L386" i="2"/>
  <c r="L928" i="8" s="1"/>
  <c r="L929" i="8" s="1"/>
  <c r="P692" i="8"/>
  <c r="P693" i="8" s="1"/>
  <c r="X700" i="8"/>
  <c r="X701" i="8" s="1"/>
  <c r="AB1104" i="8"/>
  <c r="AB1105" i="8" s="1"/>
  <c r="M1108" i="8"/>
  <c r="M1109" i="8" s="1"/>
  <c r="T1108" i="8"/>
  <c r="T1109" i="8" s="1"/>
  <c r="AE1104" i="8"/>
  <c r="AE1105" i="8" s="1"/>
  <c r="W1092" i="8"/>
  <c r="W1093" i="8" s="1"/>
  <c r="Q1092" i="8"/>
  <c r="Q1093" i="8" s="1"/>
  <c r="AA1096" i="8"/>
  <c r="AA1097" i="8" s="1"/>
  <c r="AD1088" i="8"/>
  <c r="AD1089" i="8" s="1"/>
  <c r="U1088" i="8"/>
  <c r="U1089" i="8" s="1"/>
  <c r="AA712" i="8"/>
  <c r="AA713" i="8" s="1"/>
  <c r="T708" i="8"/>
  <c r="T709" i="8" s="1"/>
  <c r="N716" i="8"/>
  <c r="N717" i="8" s="1"/>
  <c r="L1112" i="8"/>
  <c r="L1113" i="8" s="1"/>
  <c r="S1112" i="8"/>
  <c r="S1113" i="8" s="1"/>
  <c r="O696" i="8"/>
  <c r="O697" i="8" s="1"/>
  <c r="Y700" i="8"/>
  <c r="Y701" i="8" s="1"/>
  <c r="T700" i="8"/>
  <c r="T701" i="8" s="1"/>
  <c r="W692" i="8"/>
  <c r="W693" i="8" s="1"/>
  <c r="L692" i="8"/>
  <c r="L693" i="8" s="1"/>
  <c r="R696" i="8"/>
  <c r="R697" i="8" s="1"/>
  <c r="S1104" i="8"/>
  <c r="S1105" i="8" s="1"/>
  <c r="T1092" i="8"/>
  <c r="T1093" i="8" s="1"/>
  <c r="AC1092" i="8"/>
  <c r="AC1093" i="8" s="1"/>
  <c r="T1096" i="8"/>
  <c r="T1097" i="8" s="1"/>
  <c r="X1088" i="8"/>
  <c r="X1089" i="8" s="1"/>
  <c r="U712" i="8"/>
  <c r="U713" i="8" s="1"/>
  <c r="M708" i="8"/>
  <c r="M709" i="8" s="1"/>
  <c r="Y716" i="8"/>
  <c r="Y717" i="8" s="1"/>
  <c r="AD716" i="8"/>
  <c r="AD717" i="8" s="1"/>
  <c r="R1112" i="8"/>
  <c r="R1113" i="8" s="1"/>
  <c r="AA1112" i="8"/>
  <c r="AA1113" i="8" s="1"/>
  <c r="Q696" i="8"/>
  <c r="Q697" i="8" s="1"/>
  <c r="V696" i="8"/>
  <c r="V697" i="8" s="1"/>
  <c r="V692" i="8"/>
  <c r="V693" i="8" s="1"/>
  <c r="AC692" i="8"/>
  <c r="AC693" i="8" s="1"/>
  <c r="S1092" i="8"/>
  <c r="S1093" i="8" s="1"/>
  <c r="L1108" i="8"/>
  <c r="L1109" i="8" s="1"/>
  <c r="S1108" i="8"/>
  <c r="S1109" i="8" s="1"/>
  <c r="R1104" i="8"/>
  <c r="R1105" i="8" s="1"/>
  <c r="L1092" i="8"/>
  <c r="L1093" i="8" s="1"/>
  <c r="AA1092" i="8"/>
  <c r="AA1093" i="8" s="1"/>
  <c r="R1096" i="8"/>
  <c r="R1097" i="8" s="1"/>
  <c r="Z1096" i="8"/>
  <c r="Z1097" i="8" s="1"/>
  <c r="N1088" i="8"/>
  <c r="N1089" i="8" s="1"/>
  <c r="W712" i="8"/>
  <c r="W713" i="8" s="1"/>
  <c r="M712" i="8"/>
  <c r="M713" i="8" s="1"/>
  <c r="Y708" i="8"/>
  <c r="Y709" i="8" s="1"/>
  <c r="R708" i="8"/>
  <c r="R709" i="8" s="1"/>
  <c r="W716" i="8"/>
  <c r="W717" i="8" s="1"/>
  <c r="AC716" i="8"/>
  <c r="AC717" i="8" s="1"/>
  <c r="AD1112" i="8"/>
  <c r="AD1113" i="8" s="1"/>
  <c r="N696" i="8"/>
  <c r="N697" i="8" s="1"/>
  <c r="AB700" i="8"/>
  <c r="AB701" i="8" s="1"/>
  <c r="U692" i="8"/>
  <c r="U693" i="8" s="1"/>
  <c r="O692" i="8"/>
  <c r="O693" i="8" s="1"/>
  <c r="P700" i="8"/>
  <c r="P701" i="8" s="1"/>
  <c r="T692" i="8"/>
  <c r="T693" i="8" s="1"/>
  <c r="M864" i="8"/>
  <c r="M865" i="8" s="1"/>
  <c r="M386" i="2"/>
  <c r="M928" i="8" s="1"/>
  <c r="M929" i="8" s="1"/>
  <c r="M371" i="2"/>
  <c r="AD1104" i="8"/>
  <c r="AD1105" i="8" s="1"/>
  <c r="L716" i="8"/>
  <c r="L717" i="8" s="1"/>
  <c r="AB708" i="8"/>
  <c r="AB709" i="8" s="1"/>
  <c r="Z1104" i="8"/>
  <c r="Z1105" i="8" s="1"/>
  <c r="AC1104" i="8"/>
  <c r="AC1105" i="8" s="1"/>
  <c r="P1096" i="8"/>
  <c r="P1097" i="8" s="1"/>
  <c r="R1088" i="8"/>
  <c r="R1089" i="8" s="1"/>
  <c r="AD708" i="8"/>
  <c r="AD709" i="8" s="1"/>
  <c r="X716" i="8"/>
  <c r="X717" i="8" s="1"/>
  <c r="P716" i="8"/>
  <c r="P717" i="8" s="1"/>
  <c r="P1112" i="8"/>
  <c r="P1113" i="8" s="1"/>
  <c r="Q1112" i="8"/>
  <c r="Q1113" i="8" s="1"/>
  <c r="L696" i="8"/>
  <c r="L697" i="8" s="1"/>
  <c r="AE1108" i="8"/>
  <c r="AE1109" i="8" s="1"/>
  <c r="P1104" i="8"/>
  <c r="P1105" i="8" s="1"/>
  <c r="AB1092" i="8"/>
  <c r="AB1093" i="8" s="1"/>
  <c r="Y1096" i="8"/>
  <c r="Y1097" i="8" s="1"/>
  <c r="AB1088" i="8"/>
  <c r="AB1089" i="8" s="1"/>
  <c r="P1088" i="8"/>
  <c r="P1089" i="8" s="1"/>
  <c r="D4" i="8"/>
  <c r="F721" i="8"/>
  <c r="O712" i="8"/>
  <c r="O713" i="8" s="1"/>
  <c r="S712" i="8"/>
  <c r="S713" i="8" s="1"/>
  <c r="X708" i="8"/>
  <c r="X709" i="8" s="1"/>
  <c r="O716" i="8"/>
  <c r="O717" i="8" s="1"/>
  <c r="Y1112" i="8"/>
  <c r="Y1113" i="8" s="1"/>
  <c r="AE696" i="8"/>
  <c r="AE697" i="8" s="1"/>
  <c r="M696" i="8"/>
  <c r="M697" i="8" s="1"/>
  <c r="AE700" i="8"/>
  <c r="AE701" i="8" s="1"/>
  <c r="AA692" i="8"/>
  <c r="AA693" i="8" s="1"/>
  <c r="Z1108" i="8"/>
  <c r="Z1109" i="8" s="1"/>
  <c r="R716" i="8"/>
  <c r="R717" i="8" s="1"/>
  <c r="X692" i="8"/>
  <c r="X693" i="8" s="1"/>
  <c r="Y1108" i="8"/>
  <c r="Y1109" i="8" s="1"/>
  <c r="W1088" i="8"/>
  <c r="W1089" i="8" s="1"/>
  <c r="AC1108" i="8"/>
  <c r="AC1109" i="8" s="1"/>
  <c r="M1092" i="8"/>
  <c r="M1093" i="8" s="1"/>
  <c r="Q1096" i="8"/>
  <c r="Q1097" i="8" s="1"/>
  <c r="T1088" i="8"/>
  <c r="T1089" i="8" s="1"/>
  <c r="U696" i="8"/>
  <c r="U697" i="8" s="1"/>
  <c r="Q1108" i="8"/>
  <c r="Q1109" i="8" s="1"/>
  <c r="T1104" i="8"/>
  <c r="T1105" i="8" s="1"/>
  <c r="M1104" i="8"/>
  <c r="M1105" i="8" s="1"/>
  <c r="O1092" i="8"/>
  <c r="O1093" i="8" s="1"/>
  <c r="AD1096" i="8"/>
  <c r="AD1097" i="8" s="1"/>
  <c r="Q1088" i="8"/>
  <c r="Q1089" i="8" s="1"/>
  <c r="AE712" i="8"/>
  <c r="AE713" i="8" s="1"/>
  <c r="Z712" i="8"/>
  <c r="Z713" i="8" s="1"/>
  <c r="S708" i="8"/>
  <c r="S709" i="8" s="1"/>
  <c r="Q708" i="8"/>
  <c r="Q709" i="8" s="1"/>
  <c r="V716" i="8"/>
  <c r="V717" i="8" s="1"/>
  <c r="M716" i="8"/>
  <c r="M717" i="8" s="1"/>
  <c r="AC1112" i="8"/>
  <c r="AC1113" i="8" s="1"/>
  <c r="N1112" i="8"/>
  <c r="N1113" i="8" s="1"/>
  <c r="AD696" i="8"/>
  <c r="AD697" i="8" s="1"/>
  <c r="T696" i="8"/>
  <c r="T697" i="8" s="1"/>
  <c r="W700" i="8"/>
  <c r="W701" i="8" s="1"/>
  <c r="AC700" i="8"/>
  <c r="AC701" i="8" s="1"/>
  <c r="Y692" i="8"/>
  <c r="Y693" i="8" s="1"/>
  <c r="V624" i="8"/>
  <c r="V625" i="8" s="1"/>
  <c r="V337" i="2"/>
  <c r="V52" i="14" s="1"/>
  <c r="V348" i="2"/>
  <c r="W1020" i="8"/>
  <c r="W1021" i="8" s="1"/>
  <c r="W747" i="2"/>
  <c r="W736" i="2"/>
  <c r="W259" i="14" s="1"/>
  <c r="U608" i="8"/>
  <c r="U609" i="8" s="1"/>
  <c r="U344" i="2"/>
  <c r="U333" i="2"/>
  <c r="U48" i="14" s="1"/>
  <c r="U1004" i="8"/>
  <c r="U1005" i="8" s="1"/>
  <c r="U743" i="2"/>
  <c r="U732" i="2"/>
  <c r="U255" i="14" s="1"/>
  <c r="L38" i="18" l="1"/>
  <c r="K37" i="18"/>
  <c r="K38" i="18"/>
  <c r="N928" i="8"/>
  <c r="N929" i="8" s="1"/>
  <c r="F38" i="18"/>
  <c r="F41" i="18" s="1"/>
  <c r="L37" i="18"/>
  <c r="L64" i="17"/>
  <c r="V261" i="2"/>
  <c r="V21" i="15" s="1"/>
  <c r="V1843" i="8" s="1"/>
  <c r="V260" i="2"/>
  <c r="V20" i="15" s="1"/>
  <c r="AB261" i="2"/>
  <c r="AB21" i="15" s="1"/>
  <c r="AB1843" i="8" s="1"/>
  <c r="AB260" i="2"/>
  <c r="AB20" i="15" s="1"/>
  <c r="O261" i="2"/>
  <c r="O21" i="15" s="1"/>
  <c r="O1843" i="8" s="1"/>
  <c r="O260" i="2"/>
  <c r="O20" i="15" s="1"/>
  <c r="U260" i="2"/>
  <c r="U20" i="15" s="1"/>
  <c r="U261" i="2"/>
  <c r="U21" i="15" s="1"/>
  <c r="U1843" i="8" s="1"/>
  <c r="Q260" i="2"/>
  <c r="Q20" i="15" s="1"/>
  <c r="Q261" i="2"/>
  <c r="Q21" i="15" s="1"/>
  <c r="Q1843" i="8" s="1"/>
  <c r="R260" i="2"/>
  <c r="R20" i="15" s="1"/>
  <c r="R261" i="2"/>
  <c r="R21" i="15" s="1"/>
  <c r="R1843" i="8" s="1"/>
  <c r="Y261" i="2"/>
  <c r="Y21" i="15" s="1"/>
  <c r="Y1843" i="8" s="1"/>
  <c r="Y260" i="2"/>
  <c r="Y20" i="15" s="1"/>
  <c r="X261" i="2"/>
  <c r="X21" i="15" s="1"/>
  <c r="X1843" i="8" s="1"/>
  <c r="X260" i="2"/>
  <c r="X20" i="15" s="1"/>
  <c r="Z261" i="2"/>
  <c r="Z21" i="15" s="1"/>
  <c r="Z1843" i="8" s="1"/>
  <c r="Z260" i="2"/>
  <c r="Z20" i="15" s="1"/>
  <c r="AE260" i="2"/>
  <c r="AE20" i="15" s="1"/>
  <c r="AE261" i="2"/>
  <c r="AE21" i="15" s="1"/>
  <c r="AE1843" i="8" s="1"/>
  <c r="W261" i="2"/>
  <c r="W21" i="15" s="1"/>
  <c r="W1843" i="8" s="1"/>
  <c r="W260" i="2"/>
  <c r="W20" i="15" s="1"/>
  <c r="S260" i="2"/>
  <c r="S20" i="15" s="1"/>
  <c r="S261" i="2"/>
  <c r="S21" i="15" s="1"/>
  <c r="S1843" i="8" s="1"/>
  <c r="P260" i="2"/>
  <c r="P20" i="15" s="1"/>
  <c r="P261" i="2"/>
  <c r="P21" i="15" s="1"/>
  <c r="P1843" i="8" s="1"/>
  <c r="AA261" i="2"/>
  <c r="AA21" i="15" s="1"/>
  <c r="AA1843" i="8" s="1"/>
  <c r="AA260" i="2"/>
  <c r="AA20" i="15" s="1"/>
  <c r="T260" i="2"/>
  <c r="T20" i="15" s="1"/>
  <c r="T261" i="2"/>
  <c r="T21" i="15" s="1"/>
  <c r="T1843" i="8" s="1"/>
  <c r="AD260" i="2"/>
  <c r="AD20" i="15" s="1"/>
  <c r="AD261" i="2"/>
  <c r="AD21" i="15" s="1"/>
  <c r="AD1843" i="8" s="1"/>
  <c r="AC261" i="2"/>
  <c r="AC21" i="15" s="1"/>
  <c r="AC1843" i="8" s="1"/>
  <c r="AC260" i="2"/>
  <c r="AC20" i="15" s="1"/>
  <c r="U996" i="8"/>
  <c r="U997" i="8" s="1"/>
  <c r="P1144" i="8"/>
  <c r="P1145" i="8" s="1"/>
  <c r="O1164" i="8"/>
  <c r="O1165" i="8" s="1"/>
  <c r="P732" i="8"/>
  <c r="P733" i="8" s="1"/>
  <c r="T1180" i="8"/>
  <c r="T1181" i="8" s="1"/>
  <c r="S740" i="8"/>
  <c r="S741" i="8" s="1"/>
  <c r="M122" i="14"/>
  <c r="L75" i="17"/>
  <c r="Q364" i="2"/>
  <c r="Q868" i="8" s="1"/>
  <c r="Q869" i="8" s="1"/>
  <c r="Q92" i="14"/>
  <c r="Q110" i="14" s="1"/>
  <c r="Q84" i="14"/>
  <c r="Q102" i="14" s="1"/>
  <c r="AA368" i="2"/>
  <c r="AA96" i="14"/>
  <c r="AA114" i="14" s="1"/>
  <c r="AA88" i="14"/>
  <c r="AA106" i="14" s="1"/>
  <c r="T365" i="2"/>
  <c r="T872" i="8" s="1"/>
  <c r="T873" i="8" s="1"/>
  <c r="T93" i="14"/>
  <c r="T111" i="14" s="1"/>
  <c r="T85" i="14"/>
  <c r="T103" i="14" s="1"/>
  <c r="Y298" i="14"/>
  <c r="Y316" i="14" s="1"/>
  <c r="Y290" i="14"/>
  <c r="Y308" i="14" s="1"/>
  <c r="AA299" i="14"/>
  <c r="AA317" i="14" s="1"/>
  <c r="AA291" i="14"/>
  <c r="AA309" i="14" s="1"/>
  <c r="Z304" i="14"/>
  <c r="Z322" i="14" s="1"/>
  <c r="Z296" i="14"/>
  <c r="Z314" i="14" s="1"/>
  <c r="AE368" i="2"/>
  <c r="AE88" i="14"/>
  <c r="AE106" i="14" s="1"/>
  <c r="AE96" i="14"/>
  <c r="AE114" i="14" s="1"/>
  <c r="AC365" i="2"/>
  <c r="AC93" i="14"/>
  <c r="AC111" i="14" s="1"/>
  <c r="AC85" i="14"/>
  <c r="AC103" i="14" s="1"/>
  <c r="U369" i="2"/>
  <c r="U888" i="8" s="1"/>
  <c r="U889" i="8" s="1"/>
  <c r="U97" i="14"/>
  <c r="U115" i="14" s="1"/>
  <c r="U89" i="14"/>
  <c r="U107" i="14" s="1"/>
  <c r="AD292" i="14"/>
  <c r="AD310" i="14" s="1"/>
  <c r="AD300" i="14"/>
  <c r="AD318" i="14" s="1"/>
  <c r="S304" i="14"/>
  <c r="S322" i="14" s="1"/>
  <c r="S296" i="14"/>
  <c r="S314" i="14" s="1"/>
  <c r="AD364" i="2"/>
  <c r="AD92" i="14"/>
  <c r="AD110" i="14" s="1"/>
  <c r="AD84" i="14"/>
  <c r="AD102" i="14" s="1"/>
  <c r="Y295" i="14"/>
  <c r="Y313" i="14" s="1"/>
  <c r="Y303" i="14"/>
  <c r="Y321" i="14" s="1"/>
  <c r="O368" i="2"/>
  <c r="O884" i="8" s="1"/>
  <c r="O885" i="8" s="1"/>
  <c r="O96" i="14"/>
  <c r="O114" i="14" s="1"/>
  <c r="O88" i="14"/>
  <c r="O106" i="14" s="1"/>
  <c r="W369" i="2"/>
  <c r="W89" i="14"/>
  <c r="W107" i="14" s="1"/>
  <c r="W97" i="14"/>
  <c r="W115" i="14" s="1"/>
  <c r="O334" i="2"/>
  <c r="O49" i="14" s="1"/>
  <c r="O367" i="2"/>
  <c r="O880" i="8" s="1"/>
  <c r="O881" i="8" s="1"/>
  <c r="O95" i="14"/>
  <c r="O113" i="14" s="1"/>
  <c r="O87" i="14"/>
  <c r="O105" i="14" s="1"/>
  <c r="AC298" i="14"/>
  <c r="AC316" i="14" s="1"/>
  <c r="AC290" i="14"/>
  <c r="AC308" i="14" s="1"/>
  <c r="AE299" i="14"/>
  <c r="AE317" i="14" s="1"/>
  <c r="AE291" i="14"/>
  <c r="AE309" i="14" s="1"/>
  <c r="Y304" i="14"/>
  <c r="Y322" i="14" s="1"/>
  <c r="Y296" i="14"/>
  <c r="Y314" i="14" s="1"/>
  <c r="P364" i="2"/>
  <c r="P868" i="8" s="1"/>
  <c r="P869" i="8" s="1"/>
  <c r="P84" i="14"/>
  <c r="P102" i="14" s="1"/>
  <c r="P92" i="14"/>
  <c r="P110" i="14" s="1"/>
  <c r="AC303" i="14"/>
  <c r="AC321" i="14" s="1"/>
  <c r="AC295" i="14"/>
  <c r="AC313" i="14" s="1"/>
  <c r="X364" i="2"/>
  <c r="X84" i="14"/>
  <c r="X102" i="14" s="1"/>
  <c r="X92" i="14"/>
  <c r="X110" i="14" s="1"/>
  <c r="S303" i="14"/>
  <c r="S321" i="14" s="1"/>
  <c r="S295" i="14"/>
  <c r="S313" i="14" s="1"/>
  <c r="Y369" i="2"/>
  <c r="Y97" i="14"/>
  <c r="Y115" i="14" s="1"/>
  <c r="Y89" i="14"/>
  <c r="Y107" i="14" s="1"/>
  <c r="V1180" i="8"/>
  <c r="V1181" i="8" s="1"/>
  <c r="V259" i="14"/>
  <c r="AB368" i="2"/>
  <c r="AB96" i="14"/>
  <c r="AB114" i="14" s="1"/>
  <c r="AB88" i="14"/>
  <c r="AB106" i="14" s="1"/>
  <c r="M123" i="14"/>
  <c r="M124" i="14"/>
  <c r="AE290" i="14"/>
  <c r="AE308" i="14" s="1"/>
  <c r="AE298" i="14"/>
  <c r="AE316" i="14" s="1"/>
  <c r="AB304" i="14"/>
  <c r="AB322" i="14" s="1"/>
  <c r="AB296" i="14"/>
  <c r="AB314" i="14" s="1"/>
  <c r="Q368" i="2"/>
  <c r="Q884" i="8" s="1"/>
  <c r="Q885" i="8" s="1"/>
  <c r="Q96" i="14"/>
  <c r="Q114" i="14" s="1"/>
  <c r="Q88" i="14"/>
  <c r="Q106" i="14" s="1"/>
  <c r="U299" i="14"/>
  <c r="U317" i="14" s="1"/>
  <c r="U291" i="14"/>
  <c r="U309" i="14" s="1"/>
  <c r="AD303" i="14"/>
  <c r="AD321" i="14" s="1"/>
  <c r="AD295" i="14"/>
  <c r="AD313" i="14" s="1"/>
  <c r="U1180" i="8"/>
  <c r="U1181" i="8" s="1"/>
  <c r="U259" i="14"/>
  <c r="T364" i="2"/>
  <c r="T868" i="8" s="1"/>
  <c r="T869" i="8" s="1"/>
  <c r="T92" i="14"/>
  <c r="T110" i="14" s="1"/>
  <c r="T84" i="14"/>
  <c r="T102" i="14" s="1"/>
  <c r="AB303" i="14"/>
  <c r="AB321" i="14" s="1"/>
  <c r="AB295" i="14"/>
  <c r="AB313" i="14" s="1"/>
  <c r="S731" i="2"/>
  <c r="S254" i="14" s="1"/>
  <c r="S292" i="14"/>
  <c r="S310" i="14" s="1"/>
  <c r="S300" i="14"/>
  <c r="S318" i="14" s="1"/>
  <c r="O364" i="2"/>
  <c r="O868" i="8" s="1"/>
  <c r="O869" i="8" s="1"/>
  <c r="O92" i="14"/>
  <c r="O110" i="14" s="1"/>
  <c r="O84" i="14"/>
  <c r="O102" i="14" s="1"/>
  <c r="AC304" i="14"/>
  <c r="AC322" i="14" s="1"/>
  <c r="AC296" i="14"/>
  <c r="AC314" i="14" s="1"/>
  <c r="T363" i="2"/>
  <c r="T864" i="8" s="1"/>
  <c r="T865" i="8" s="1"/>
  <c r="T91" i="14"/>
  <c r="T109" i="14" s="1"/>
  <c r="T83" i="14"/>
  <c r="T101" i="14" s="1"/>
  <c r="Y364" i="2"/>
  <c r="Y92" i="14"/>
  <c r="Y110" i="14" s="1"/>
  <c r="Y84" i="14"/>
  <c r="Y102" i="14" s="1"/>
  <c r="U303" i="14"/>
  <c r="U321" i="14" s="1"/>
  <c r="U295" i="14"/>
  <c r="U313" i="14" s="1"/>
  <c r="Y368" i="2"/>
  <c r="Y96" i="14"/>
  <c r="Y114" i="14" s="1"/>
  <c r="Y88" i="14"/>
  <c r="Y106" i="14" s="1"/>
  <c r="AA365" i="2"/>
  <c r="AA93" i="14"/>
  <c r="AA111" i="14" s="1"/>
  <c r="AA85" i="14"/>
  <c r="AA103" i="14" s="1"/>
  <c r="AB300" i="14"/>
  <c r="AB318" i="14" s="1"/>
  <c r="AB292" i="14"/>
  <c r="AB310" i="14" s="1"/>
  <c r="R259" i="14"/>
  <c r="Q596" i="8"/>
  <c r="Q597" i="8" s="1"/>
  <c r="Q363" i="2"/>
  <c r="Q864" i="8" s="1"/>
  <c r="Q865" i="8" s="1"/>
  <c r="Q91" i="14"/>
  <c r="Q109" i="14" s="1"/>
  <c r="Q83" i="14"/>
  <c r="Q101" i="14" s="1"/>
  <c r="N123" i="14"/>
  <c r="N124" i="14"/>
  <c r="Z300" i="14"/>
  <c r="Z318" i="14" s="1"/>
  <c r="Z292" i="14"/>
  <c r="Z310" i="14" s="1"/>
  <c r="O359" i="2"/>
  <c r="O856" i="8" s="1"/>
  <c r="O857" i="8" s="1"/>
  <c r="O52" i="14"/>
  <c r="AC302" i="14"/>
  <c r="AC320" i="14" s="1"/>
  <c r="AC294" i="14"/>
  <c r="AC312" i="14" s="1"/>
  <c r="S299" i="14"/>
  <c r="S317" i="14" s="1"/>
  <c r="S291" i="14"/>
  <c r="S309" i="14" s="1"/>
  <c r="AC364" i="2"/>
  <c r="AC92" i="14"/>
  <c r="AC110" i="14" s="1"/>
  <c r="AC84" i="14"/>
  <c r="AC102" i="14" s="1"/>
  <c r="U729" i="2"/>
  <c r="U298" i="14"/>
  <c r="U316" i="14" s="1"/>
  <c r="U290" i="14"/>
  <c r="U308" i="14" s="1"/>
  <c r="AE363" i="2"/>
  <c r="AE83" i="14"/>
  <c r="AE101" i="14" s="1"/>
  <c r="AE91" i="14"/>
  <c r="AE109" i="14" s="1"/>
  <c r="P302" i="14"/>
  <c r="P320" i="14" s="1"/>
  <c r="P294" i="14"/>
  <c r="P312" i="14" s="1"/>
  <c r="R369" i="2"/>
  <c r="R888" i="8" s="1"/>
  <c r="R889" i="8" s="1"/>
  <c r="R97" i="14"/>
  <c r="R115" i="14" s="1"/>
  <c r="R89" i="14"/>
  <c r="R107" i="14" s="1"/>
  <c r="S343" i="2"/>
  <c r="S800" i="8" s="1"/>
  <c r="S801" i="8" s="1"/>
  <c r="S365" i="2"/>
  <c r="S872" i="8" s="1"/>
  <c r="S873" i="8" s="1"/>
  <c r="S93" i="14"/>
  <c r="S111" i="14" s="1"/>
  <c r="S85" i="14"/>
  <c r="S103" i="14" s="1"/>
  <c r="AD290" i="14"/>
  <c r="AD308" i="14" s="1"/>
  <c r="AD298" i="14"/>
  <c r="AD316" i="14" s="1"/>
  <c r="Y363" i="2"/>
  <c r="Y91" i="14"/>
  <c r="Y109" i="14" s="1"/>
  <c r="Y83" i="14"/>
  <c r="Y101" i="14" s="1"/>
  <c r="X302" i="14"/>
  <c r="X320" i="14" s="1"/>
  <c r="X294" i="14"/>
  <c r="X312" i="14" s="1"/>
  <c r="U784" i="8"/>
  <c r="U785" i="8" s="1"/>
  <c r="U52" i="14"/>
  <c r="Z368" i="2"/>
  <c r="Z96" i="14"/>
  <c r="Z114" i="14" s="1"/>
  <c r="Z88" i="14"/>
  <c r="Z106" i="14" s="1"/>
  <c r="AC300" i="14"/>
  <c r="AC318" i="14" s="1"/>
  <c r="AC292" i="14"/>
  <c r="AC310" i="14" s="1"/>
  <c r="O735" i="2"/>
  <c r="O258" i="14" s="1"/>
  <c r="O304" i="14"/>
  <c r="O322" i="14" s="1"/>
  <c r="O296" i="14"/>
  <c r="O314" i="14" s="1"/>
  <c r="AB364" i="2"/>
  <c r="AB92" i="14"/>
  <c r="AB110" i="14" s="1"/>
  <c r="AB84" i="14"/>
  <c r="AB102" i="14" s="1"/>
  <c r="W302" i="14"/>
  <c r="W320" i="14" s="1"/>
  <c r="W294" i="14"/>
  <c r="W312" i="14" s="1"/>
  <c r="S345" i="2"/>
  <c r="S808" i="8" s="1"/>
  <c r="S809" i="8" s="1"/>
  <c r="S367" i="2"/>
  <c r="S880" i="8" s="1"/>
  <c r="S881" i="8" s="1"/>
  <c r="S95" i="14"/>
  <c r="S113" i="14" s="1"/>
  <c r="S87" i="14"/>
  <c r="S105" i="14" s="1"/>
  <c r="W298" i="14"/>
  <c r="W316" i="14" s="1"/>
  <c r="W290" i="14"/>
  <c r="W308" i="14" s="1"/>
  <c r="X304" i="14"/>
  <c r="X322" i="14" s="1"/>
  <c r="X296" i="14"/>
  <c r="X314" i="14" s="1"/>
  <c r="AD363" i="2"/>
  <c r="AD83" i="14"/>
  <c r="AD101" i="14" s="1"/>
  <c r="AD91" i="14"/>
  <c r="AD109" i="14" s="1"/>
  <c r="N330" i="14"/>
  <c r="N331" i="14"/>
  <c r="R740" i="2"/>
  <c r="R1188" i="8" s="1"/>
  <c r="R1189" i="8" s="1"/>
  <c r="R290" i="14"/>
  <c r="R308" i="14" s="1"/>
  <c r="R298" i="14"/>
  <c r="R316" i="14" s="1"/>
  <c r="Y299" i="14"/>
  <c r="Y317" i="14" s="1"/>
  <c r="Y291" i="14"/>
  <c r="Y309" i="14" s="1"/>
  <c r="Q304" i="14"/>
  <c r="Q322" i="14" s="1"/>
  <c r="Q296" i="14"/>
  <c r="Q314" i="14" s="1"/>
  <c r="R744" i="2"/>
  <c r="R1204" i="8" s="1"/>
  <c r="R1205" i="8" s="1"/>
  <c r="R302" i="14"/>
  <c r="R320" i="14" s="1"/>
  <c r="R294" i="14"/>
  <c r="R312" i="14" s="1"/>
  <c r="Q290" i="14"/>
  <c r="Q308" i="14" s="1"/>
  <c r="Q298" i="14"/>
  <c r="Q316" i="14" s="1"/>
  <c r="T1164" i="8"/>
  <c r="T1165" i="8" s="1"/>
  <c r="T255" i="14"/>
  <c r="L330" i="14"/>
  <c r="L331" i="14"/>
  <c r="S369" i="2"/>
  <c r="S888" i="8" s="1"/>
  <c r="S889" i="8" s="1"/>
  <c r="S97" i="14"/>
  <c r="S115" i="14" s="1"/>
  <c r="S89" i="14"/>
  <c r="S107" i="14" s="1"/>
  <c r="AB369" i="2"/>
  <c r="AB97" i="14"/>
  <c r="AB115" i="14" s="1"/>
  <c r="AB89" i="14"/>
  <c r="AB107" i="14" s="1"/>
  <c r="O303" i="14"/>
  <c r="O321" i="14" s="1"/>
  <c r="O295" i="14"/>
  <c r="O313" i="14" s="1"/>
  <c r="O992" i="8"/>
  <c r="O993" i="8" s="1"/>
  <c r="O298" i="14"/>
  <c r="O316" i="14" s="1"/>
  <c r="O290" i="14"/>
  <c r="O308" i="14" s="1"/>
  <c r="R784" i="8"/>
  <c r="R785" i="8" s="1"/>
  <c r="R52" i="14"/>
  <c r="U365" i="2"/>
  <c r="U872" i="8" s="1"/>
  <c r="U873" i="8" s="1"/>
  <c r="U93" i="14"/>
  <c r="U111" i="14" s="1"/>
  <c r="U85" i="14"/>
  <c r="U103" i="14" s="1"/>
  <c r="Z367" i="2"/>
  <c r="Z87" i="14"/>
  <c r="Z105" i="14" s="1"/>
  <c r="Z95" i="14"/>
  <c r="Z113" i="14" s="1"/>
  <c r="S363" i="2"/>
  <c r="S864" i="8" s="1"/>
  <c r="S865" i="8" s="1"/>
  <c r="S91" i="14"/>
  <c r="S109" i="14" s="1"/>
  <c r="S83" i="14"/>
  <c r="S101" i="14" s="1"/>
  <c r="P369" i="2"/>
  <c r="P888" i="8" s="1"/>
  <c r="P889" i="8" s="1"/>
  <c r="P89" i="14"/>
  <c r="P107" i="14" s="1"/>
  <c r="P97" i="14"/>
  <c r="P115" i="14" s="1"/>
  <c r="P784" i="8"/>
  <c r="P785" i="8" s="1"/>
  <c r="P52" i="14"/>
  <c r="AA292" i="14"/>
  <c r="AA310" i="14" s="1"/>
  <c r="AA300" i="14"/>
  <c r="AA318" i="14" s="1"/>
  <c r="P746" i="2"/>
  <c r="P1212" i="8" s="1"/>
  <c r="P1213" i="8" s="1"/>
  <c r="P304" i="14"/>
  <c r="P322" i="14" s="1"/>
  <c r="P296" i="14"/>
  <c r="P314" i="14" s="1"/>
  <c r="AA303" i="14"/>
  <c r="AA321" i="14" s="1"/>
  <c r="AA295" i="14"/>
  <c r="AA313" i="14" s="1"/>
  <c r="P363" i="2"/>
  <c r="P864" i="8" s="1"/>
  <c r="P865" i="8" s="1"/>
  <c r="P91" i="14"/>
  <c r="P109" i="14" s="1"/>
  <c r="P83" i="14"/>
  <c r="P101" i="14" s="1"/>
  <c r="AE292" i="14"/>
  <c r="AE310" i="14" s="1"/>
  <c r="AE300" i="14"/>
  <c r="AE318" i="14" s="1"/>
  <c r="W291" i="14"/>
  <c r="W309" i="14" s="1"/>
  <c r="W299" i="14"/>
  <c r="W317" i="14" s="1"/>
  <c r="Z298" i="14"/>
  <c r="Z316" i="14" s="1"/>
  <c r="Z290" i="14"/>
  <c r="Z308" i="14" s="1"/>
  <c r="W363" i="2"/>
  <c r="W91" i="14"/>
  <c r="W109" i="14" s="1"/>
  <c r="W83" i="14"/>
  <c r="W101" i="14" s="1"/>
  <c r="Z299" i="14"/>
  <c r="Z317" i="14" s="1"/>
  <c r="Z291" i="14"/>
  <c r="Z309" i="14" s="1"/>
  <c r="O299" i="14"/>
  <c r="O317" i="14" s="1"/>
  <c r="O291" i="14"/>
  <c r="O309" i="14" s="1"/>
  <c r="R304" i="14"/>
  <c r="R322" i="14" s="1"/>
  <c r="R296" i="14"/>
  <c r="R314" i="14" s="1"/>
  <c r="X363" i="2"/>
  <c r="X91" i="14"/>
  <c r="X109" i="14" s="1"/>
  <c r="X83" i="14"/>
  <c r="X101" i="14" s="1"/>
  <c r="AA302" i="14"/>
  <c r="AA320" i="14" s="1"/>
  <c r="AA294" i="14"/>
  <c r="AA312" i="14" s="1"/>
  <c r="X300" i="14"/>
  <c r="X318" i="14" s="1"/>
  <c r="X292" i="14"/>
  <c r="X310" i="14" s="1"/>
  <c r="N75" i="17"/>
  <c r="AB367" i="2"/>
  <c r="AB95" i="14"/>
  <c r="AB113" i="14" s="1"/>
  <c r="AB87" i="14"/>
  <c r="AB105" i="14" s="1"/>
  <c r="O302" i="14"/>
  <c r="O320" i="14" s="1"/>
  <c r="O294" i="14"/>
  <c r="O312" i="14" s="1"/>
  <c r="P734" i="2"/>
  <c r="P257" i="14" s="1"/>
  <c r="P303" i="14"/>
  <c r="P321" i="14" s="1"/>
  <c r="P295" i="14"/>
  <c r="P313" i="14" s="1"/>
  <c r="Y300" i="14"/>
  <c r="Y318" i="14" s="1"/>
  <c r="Y292" i="14"/>
  <c r="Y310" i="14" s="1"/>
  <c r="X369" i="2"/>
  <c r="X89" i="14"/>
  <c r="X107" i="14" s="1"/>
  <c r="X97" i="14"/>
  <c r="X115" i="14" s="1"/>
  <c r="V302" i="14"/>
  <c r="V320" i="14" s="1"/>
  <c r="V294" i="14"/>
  <c r="V312" i="14" s="1"/>
  <c r="AD294" i="14"/>
  <c r="AD312" i="14" s="1"/>
  <c r="AD302" i="14"/>
  <c r="AD320" i="14" s="1"/>
  <c r="R363" i="2"/>
  <c r="R864" i="8" s="1"/>
  <c r="R865" i="8" s="1"/>
  <c r="R91" i="14"/>
  <c r="R109" i="14" s="1"/>
  <c r="R83" i="14"/>
  <c r="R101" i="14" s="1"/>
  <c r="V299" i="14"/>
  <c r="V317" i="14" s="1"/>
  <c r="V291" i="14"/>
  <c r="V309" i="14" s="1"/>
  <c r="T355" i="2"/>
  <c r="T840" i="8" s="1"/>
  <c r="T841" i="8" s="1"/>
  <c r="T48" i="14"/>
  <c r="U600" i="8"/>
  <c r="U601" i="8" s="1"/>
  <c r="U364" i="2"/>
  <c r="U868" i="8" s="1"/>
  <c r="U869" i="8" s="1"/>
  <c r="U92" i="14"/>
  <c r="U110" i="14" s="1"/>
  <c r="U84" i="14"/>
  <c r="U102" i="14" s="1"/>
  <c r="AE303" i="14"/>
  <c r="AE321" i="14" s="1"/>
  <c r="AE295" i="14"/>
  <c r="AE313" i="14" s="1"/>
  <c r="AA369" i="2"/>
  <c r="AA97" i="14"/>
  <c r="AA115" i="14" s="1"/>
  <c r="AA89" i="14"/>
  <c r="AA107" i="14" s="1"/>
  <c r="V365" i="2"/>
  <c r="V872" i="8" s="1"/>
  <c r="V873" i="8" s="1"/>
  <c r="V93" i="14"/>
  <c r="V111" i="14" s="1"/>
  <c r="V85" i="14"/>
  <c r="V103" i="14" s="1"/>
  <c r="U300" i="14"/>
  <c r="U318" i="14" s="1"/>
  <c r="U292" i="14"/>
  <c r="U310" i="14" s="1"/>
  <c r="V364" i="2"/>
  <c r="V868" i="8" s="1"/>
  <c r="V869" i="8" s="1"/>
  <c r="V92" i="14"/>
  <c r="V110" i="14" s="1"/>
  <c r="V84" i="14"/>
  <c r="V102" i="14" s="1"/>
  <c r="T295" i="14"/>
  <c r="T313" i="14" s="1"/>
  <c r="T303" i="14"/>
  <c r="T321" i="14" s="1"/>
  <c r="U616" i="8"/>
  <c r="U617" i="8" s="1"/>
  <c r="U368" i="2"/>
  <c r="U884" i="8" s="1"/>
  <c r="U885" i="8" s="1"/>
  <c r="U88" i="14"/>
  <c r="U106" i="14" s="1"/>
  <c r="U96" i="14"/>
  <c r="U114" i="14" s="1"/>
  <c r="X299" i="14"/>
  <c r="X317" i="14" s="1"/>
  <c r="X291" i="14"/>
  <c r="X309" i="14" s="1"/>
  <c r="O300" i="14"/>
  <c r="O318" i="14" s="1"/>
  <c r="O292" i="14"/>
  <c r="O310" i="14" s="1"/>
  <c r="X295" i="14"/>
  <c r="X313" i="14" s="1"/>
  <c r="X303" i="14"/>
  <c r="X321" i="14" s="1"/>
  <c r="R604" i="8"/>
  <c r="R605" i="8" s="1"/>
  <c r="R365" i="2"/>
  <c r="R872" i="8" s="1"/>
  <c r="R873" i="8" s="1"/>
  <c r="R93" i="14"/>
  <c r="R111" i="14" s="1"/>
  <c r="R85" i="14"/>
  <c r="R103" i="14" s="1"/>
  <c r="AA363" i="2"/>
  <c r="AA91" i="14"/>
  <c r="AA109" i="14" s="1"/>
  <c r="AA83" i="14"/>
  <c r="AA101" i="14" s="1"/>
  <c r="V369" i="2"/>
  <c r="V97" i="14"/>
  <c r="V115" i="14" s="1"/>
  <c r="V89" i="14"/>
  <c r="V107" i="14" s="1"/>
  <c r="AE365" i="2"/>
  <c r="AE85" i="14"/>
  <c r="AE103" i="14" s="1"/>
  <c r="AE93" i="14"/>
  <c r="AE111" i="14" s="1"/>
  <c r="S368" i="2"/>
  <c r="S884" i="8" s="1"/>
  <c r="S885" i="8" s="1"/>
  <c r="S88" i="14"/>
  <c r="S106" i="14" s="1"/>
  <c r="S96" i="14"/>
  <c r="S114" i="14" s="1"/>
  <c r="AE367" i="2"/>
  <c r="AE95" i="14"/>
  <c r="AE113" i="14" s="1"/>
  <c r="AE87" i="14"/>
  <c r="AE105" i="14" s="1"/>
  <c r="S992" i="8"/>
  <c r="S993" i="8" s="1"/>
  <c r="S290" i="14"/>
  <c r="S308" i="14" s="1"/>
  <c r="S298" i="14"/>
  <c r="S316" i="14" s="1"/>
  <c r="T345" i="2"/>
  <c r="T808" i="8" s="1"/>
  <c r="T809" i="8" s="1"/>
  <c r="T367" i="2"/>
  <c r="T880" i="8" s="1"/>
  <c r="T881" i="8" s="1"/>
  <c r="T95" i="14"/>
  <c r="T113" i="14" s="1"/>
  <c r="T87" i="14"/>
  <c r="T105" i="14" s="1"/>
  <c r="S355" i="2"/>
  <c r="S840" i="8" s="1"/>
  <c r="S841" i="8" s="1"/>
  <c r="S48" i="14"/>
  <c r="L123" i="14"/>
  <c r="L124" i="14"/>
  <c r="S364" i="2"/>
  <c r="S868" i="8" s="1"/>
  <c r="S869" i="8" s="1"/>
  <c r="S92" i="14"/>
  <c r="S110" i="14" s="1"/>
  <c r="S84" i="14"/>
  <c r="S102" i="14" s="1"/>
  <c r="O332" i="2"/>
  <c r="O47" i="14" s="1"/>
  <c r="O365" i="2"/>
  <c r="O872" i="8" s="1"/>
  <c r="O873" i="8" s="1"/>
  <c r="O93" i="14"/>
  <c r="O111" i="14" s="1"/>
  <c r="O85" i="14"/>
  <c r="O103" i="14" s="1"/>
  <c r="P343" i="2"/>
  <c r="P800" i="8" s="1"/>
  <c r="P801" i="8" s="1"/>
  <c r="P365" i="2"/>
  <c r="P872" i="8" s="1"/>
  <c r="P873" i="8" s="1"/>
  <c r="P85" i="14"/>
  <c r="P103" i="14" s="1"/>
  <c r="P93" i="14"/>
  <c r="P111" i="14" s="1"/>
  <c r="P299" i="14"/>
  <c r="P317" i="14" s="1"/>
  <c r="P291" i="14"/>
  <c r="P309" i="14" s="1"/>
  <c r="AA290" i="14"/>
  <c r="AA308" i="14" s="1"/>
  <c r="AA298" i="14"/>
  <c r="AA316" i="14" s="1"/>
  <c r="R367" i="2"/>
  <c r="R880" i="8" s="1"/>
  <c r="R881" i="8" s="1"/>
  <c r="R95" i="14"/>
  <c r="R113" i="14" s="1"/>
  <c r="R87" i="14"/>
  <c r="R105" i="14" s="1"/>
  <c r="AE369" i="2"/>
  <c r="AE97" i="14"/>
  <c r="AE115" i="14" s="1"/>
  <c r="AE89" i="14"/>
  <c r="AE107" i="14" s="1"/>
  <c r="U367" i="2"/>
  <c r="U880" i="8" s="1"/>
  <c r="U881" i="8" s="1"/>
  <c r="U95" i="14"/>
  <c r="U113" i="14" s="1"/>
  <c r="U87" i="14"/>
  <c r="U105" i="14" s="1"/>
  <c r="T304" i="14"/>
  <c r="T322" i="14" s="1"/>
  <c r="T296" i="14"/>
  <c r="T314" i="14" s="1"/>
  <c r="R600" i="8"/>
  <c r="R601" i="8" s="1"/>
  <c r="R364" i="2"/>
  <c r="R868" i="8" s="1"/>
  <c r="R869" i="8" s="1"/>
  <c r="R92" i="14"/>
  <c r="R110" i="14" s="1"/>
  <c r="R84" i="14"/>
  <c r="R102" i="14" s="1"/>
  <c r="Q303" i="14"/>
  <c r="Q321" i="14" s="1"/>
  <c r="Q295" i="14"/>
  <c r="Q313" i="14" s="1"/>
  <c r="AD369" i="2"/>
  <c r="AD97" i="14"/>
  <c r="AD115" i="14" s="1"/>
  <c r="AD89" i="14"/>
  <c r="AD107" i="14" s="1"/>
  <c r="L122" i="14"/>
  <c r="W364" i="2"/>
  <c r="W868" i="8" s="1"/>
  <c r="W869" i="8" s="1"/>
  <c r="W84" i="14"/>
  <c r="W102" i="14" s="1"/>
  <c r="W92" i="14"/>
  <c r="W110" i="14" s="1"/>
  <c r="X367" i="2"/>
  <c r="X87" i="14"/>
  <c r="X105" i="14" s="1"/>
  <c r="X95" i="14"/>
  <c r="X113" i="14" s="1"/>
  <c r="Q259" i="14"/>
  <c r="Z363" i="2"/>
  <c r="Z91" i="14"/>
  <c r="Z109" i="14" s="1"/>
  <c r="Z83" i="14"/>
  <c r="Z101" i="14" s="1"/>
  <c r="W367" i="2"/>
  <c r="W87" i="14"/>
  <c r="W105" i="14" s="1"/>
  <c r="W95" i="14"/>
  <c r="W113" i="14" s="1"/>
  <c r="T620" i="8"/>
  <c r="T621" i="8" s="1"/>
  <c r="T369" i="2"/>
  <c r="T888" i="8" s="1"/>
  <c r="T889" i="8" s="1"/>
  <c r="T97" i="14"/>
  <c r="T115" i="14" s="1"/>
  <c r="T89" i="14"/>
  <c r="T107" i="14" s="1"/>
  <c r="AA304" i="14"/>
  <c r="AA322" i="14" s="1"/>
  <c r="AA296" i="14"/>
  <c r="AA314" i="14" s="1"/>
  <c r="W304" i="14"/>
  <c r="W322" i="14" s="1"/>
  <c r="W296" i="14"/>
  <c r="W314" i="14" s="1"/>
  <c r="X365" i="2"/>
  <c r="X85" i="14"/>
  <c r="X103" i="14" s="1"/>
  <c r="X93" i="14"/>
  <c r="X111" i="14" s="1"/>
  <c r="AC369" i="2"/>
  <c r="AC89" i="14"/>
  <c r="AC107" i="14" s="1"/>
  <c r="AC97" i="14"/>
  <c r="AC115" i="14" s="1"/>
  <c r="AB365" i="2"/>
  <c r="AB93" i="14"/>
  <c r="AB111" i="14" s="1"/>
  <c r="AB85" i="14"/>
  <c r="AB103" i="14" s="1"/>
  <c r="AE364" i="2"/>
  <c r="AE84" i="14"/>
  <c r="AE102" i="14" s="1"/>
  <c r="AE92" i="14"/>
  <c r="AE110" i="14" s="1"/>
  <c r="Z295" i="14"/>
  <c r="Z313" i="14" s="1"/>
  <c r="Z303" i="14"/>
  <c r="Z321" i="14" s="1"/>
  <c r="W368" i="2"/>
  <c r="W884" i="8" s="1"/>
  <c r="W885" i="8" s="1"/>
  <c r="W88" i="14"/>
  <c r="W106" i="14" s="1"/>
  <c r="W96" i="14"/>
  <c r="W114" i="14" s="1"/>
  <c r="AE294" i="14"/>
  <c r="AE312" i="14" s="1"/>
  <c r="AE302" i="14"/>
  <c r="AE320" i="14" s="1"/>
  <c r="AD365" i="2"/>
  <c r="AD93" i="14"/>
  <c r="AD111" i="14" s="1"/>
  <c r="AD85" i="14"/>
  <c r="AD103" i="14" s="1"/>
  <c r="Q300" i="14"/>
  <c r="Q318" i="14" s="1"/>
  <c r="Q292" i="14"/>
  <c r="Q310" i="14" s="1"/>
  <c r="S359" i="2"/>
  <c r="S856" i="8" s="1"/>
  <c r="S857" i="8" s="1"/>
  <c r="S52" i="14"/>
  <c r="Q367" i="2"/>
  <c r="Q880" i="8" s="1"/>
  <c r="Q881" i="8" s="1"/>
  <c r="Q87" i="14"/>
  <c r="Q105" i="14" s="1"/>
  <c r="Q95" i="14"/>
  <c r="Q113" i="14" s="1"/>
  <c r="X298" i="14"/>
  <c r="X316" i="14" s="1"/>
  <c r="X290" i="14"/>
  <c r="X308" i="14" s="1"/>
  <c r="R303" i="14"/>
  <c r="R321" i="14" s="1"/>
  <c r="R295" i="14"/>
  <c r="R313" i="14" s="1"/>
  <c r="R255" i="14"/>
  <c r="T784" i="8"/>
  <c r="T785" i="8" s="1"/>
  <c r="T52" i="14"/>
  <c r="M75" i="17"/>
  <c r="P367" i="2"/>
  <c r="P880" i="8" s="1"/>
  <c r="P881" i="8" s="1"/>
  <c r="P95" i="14"/>
  <c r="P113" i="14" s="1"/>
  <c r="P87" i="14"/>
  <c r="P105" i="14" s="1"/>
  <c r="Q299" i="14"/>
  <c r="Q317" i="14" s="1"/>
  <c r="Q291" i="14"/>
  <c r="Q309" i="14" s="1"/>
  <c r="S259" i="14"/>
  <c r="Z302" i="14"/>
  <c r="Z320" i="14" s="1"/>
  <c r="Z294" i="14"/>
  <c r="Z312" i="14" s="1"/>
  <c r="T744" i="2"/>
  <c r="T1204" i="8" s="1"/>
  <c r="T1205" i="8" s="1"/>
  <c r="T302" i="14"/>
  <c r="T320" i="14" s="1"/>
  <c r="T294" i="14"/>
  <c r="T312" i="14" s="1"/>
  <c r="V304" i="14"/>
  <c r="V322" i="14" s="1"/>
  <c r="V296" i="14"/>
  <c r="V314" i="14" s="1"/>
  <c r="O768" i="8"/>
  <c r="O769" i="8" s="1"/>
  <c r="O48" i="14"/>
  <c r="AB299" i="14"/>
  <c r="AB317" i="14" s="1"/>
  <c r="AB291" i="14"/>
  <c r="AB309" i="14" s="1"/>
  <c r="AC363" i="2"/>
  <c r="AC83" i="14"/>
  <c r="AC101" i="14" s="1"/>
  <c r="AC91" i="14"/>
  <c r="AC109" i="14" s="1"/>
  <c r="R299" i="14"/>
  <c r="R317" i="14" s="1"/>
  <c r="R291" i="14"/>
  <c r="R309" i="14" s="1"/>
  <c r="AC367" i="2"/>
  <c r="AC87" i="14"/>
  <c r="AC105" i="14" s="1"/>
  <c r="AC95" i="14"/>
  <c r="AC113" i="14" s="1"/>
  <c r="O259" i="14"/>
  <c r="AA367" i="2"/>
  <c r="AA95" i="14"/>
  <c r="AA113" i="14" s="1"/>
  <c r="AA87" i="14"/>
  <c r="AA105" i="14" s="1"/>
  <c r="T298" i="14"/>
  <c r="T316" i="14" s="1"/>
  <c r="T290" i="14"/>
  <c r="T308" i="14" s="1"/>
  <c r="AD367" i="2"/>
  <c r="AD95" i="14"/>
  <c r="AD113" i="14" s="1"/>
  <c r="AD87" i="14"/>
  <c r="AD105" i="14" s="1"/>
  <c r="R368" i="2"/>
  <c r="R884" i="8" s="1"/>
  <c r="R885" i="8" s="1"/>
  <c r="R96" i="14"/>
  <c r="R114" i="14" s="1"/>
  <c r="R88" i="14"/>
  <c r="R106" i="14" s="1"/>
  <c r="AB298" i="14"/>
  <c r="AB316" i="14" s="1"/>
  <c r="AB290" i="14"/>
  <c r="AB308" i="14" s="1"/>
  <c r="Y367" i="2"/>
  <c r="Y95" i="14"/>
  <c r="Y113" i="14" s="1"/>
  <c r="Y87" i="14"/>
  <c r="Y105" i="14" s="1"/>
  <c r="P992" i="8"/>
  <c r="P993" i="8" s="1"/>
  <c r="P298" i="14"/>
  <c r="P316" i="14" s="1"/>
  <c r="P290" i="14"/>
  <c r="P308" i="14" s="1"/>
  <c r="Z364" i="2"/>
  <c r="Z92" i="14"/>
  <c r="Z110" i="14" s="1"/>
  <c r="Z84" i="14"/>
  <c r="Z102" i="14" s="1"/>
  <c r="V303" i="14"/>
  <c r="V321" i="14" s="1"/>
  <c r="V295" i="14"/>
  <c r="V313" i="14" s="1"/>
  <c r="M330" i="14"/>
  <c r="M331" i="14"/>
  <c r="Q733" i="2"/>
  <c r="Q256" i="14" s="1"/>
  <c r="Q302" i="14"/>
  <c r="Q320" i="14" s="1"/>
  <c r="Q294" i="14"/>
  <c r="Q312" i="14" s="1"/>
  <c r="U341" i="2"/>
  <c r="U363" i="2"/>
  <c r="U864" i="8" s="1"/>
  <c r="U865" i="8" s="1"/>
  <c r="U91" i="14"/>
  <c r="U109" i="14" s="1"/>
  <c r="U83" i="14"/>
  <c r="U101" i="14" s="1"/>
  <c r="P368" i="2"/>
  <c r="P884" i="8" s="1"/>
  <c r="P885" i="8" s="1"/>
  <c r="P96" i="14"/>
  <c r="P114" i="14" s="1"/>
  <c r="P88" i="14"/>
  <c r="P106" i="14" s="1"/>
  <c r="N120" i="14"/>
  <c r="N121" i="14" s="1"/>
  <c r="AD299" i="14"/>
  <c r="AD317" i="14" s="1"/>
  <c r="AD291" i="14"/>
  <c r="AD309" i="14" s="1"/>
  <c r="AA364" i="2"/>
  <c r="AA92" i="14"/>
  <c r="AA110" i="14" s="1"/>
  <c r="AA84" i="14"/>
  <c r="AA102" i="14" s="1"/>
  <c r="Z369" i="2"/>
  <c r="Z89" i="14"/>
  <c r="Z107" i="14" s="1"/>
  <c r="Z97" i="14"/>
  <c r="Z115" i="14" s="1"/>
  <c r="AD368" i="2"/>
  <c r="AD88" i="14"/>
  <c r="AD106" i="14" s="1"/>
  <c r="AD96" i="14"/>
  <c r="AD114" i="14" s="1"/>
  <c r="V992" i="8"/>
  <c r="V993" i="8" s="1"/>
  <c r="V298" i="14"/>
  <c r="V316" i="14" s="1"/>
  <c r="V290" i="14"/>
  <c r="V308" i="14" s="1"/>
  <c r="V367" i="2"/>
  <c r="V95" i="14"/>
  <c r="V113" i="14" s="1"/>
  <c r="V87" i="14"/>
  <c r="V105" i="14" s="1"/>
  <c r="AB363" i="2"/>
  <c r="AB91" i="14"/>
  <c r="AB109" i="14" s="1"/>
  <c r="AB83" i="14"/>
  <c r="AB101" i="14" s="1"/>
  <c r="T291" i="14"/>
  <c r="T309" i="14" s="1"/>
  <c r="T299" i="14"/>
  <c r="T317" i="14" s="1"/>
  <c r="AE304" i="14"/>
  <c r="AE322" i="14" s="1"/>
  <c r="AE296" i="14"/>
  <c r="AE314" i="14" s="1"/>
  <c r="O363" i="2"/>
  <c r="O864" i="8" s="1"/>
  <c r="O865" i="8" s="1"/>
  <c r="O83" i="14"/>
  <c r="O101" i="14" s="1"/>
  <c r="O91" i="14"/>
  <c r="O109" i="14" s="1"/>
  <c r="U302" i="14"/>
  <c r="U320" i="14" s="1"/>
  <c r="U294" i="14"/>
  <c r="U312" i="14" s="1"/>
  <c r="V330" i="2"/>
  <c r="V363" i="2"/>
  <c r="V91" i="14"/>
  <c r="V109" i="14" s="1"/>
  <c r="V83" i="14"/>
  <c r="V101" i="14" s="1"/>
  <c r="AB302" i="14"/>
  <c r="AB320" i="14" s="1"/>
  <c r="AB294" i="14"/>
  <c r="AB312" i="14" s="1"/>
  <c r="V300" i="14"/>
  <c r="V318" i="14" s="1"/>
  <c r="V292" i="14"/>
  <c r="V310" i="14" s="1"/>
  <c r="AC368" i="2"/>
  <c r="AC96" i="14"/>
  <c r="AC114" i="14" s="1"/>
  <c r="AC88" i="14"/>
  <c r="AC106" i="14" s="1"/>
  <c r="Z365" i="2"/>
  <c r="Z93" i="14"/>
  <c r="Z111" i="14" s="1"/>
  <c r="Z85" i="14"/>
  <c r="Z103" i="14" s="1"/>
  <c r="W300" i="14"/>
  <c r="W318" i="14" s="1"/>
  <c r="W292" i="14"/>
  <c r="W310" i="14" s="1"/>
  <c r="T1000" i="8"/>
  <c r="T1001" i="8" s="1"/>
  <c r="T300" i="14"/>
  <c r="T318" i="14" s="1"/>
  <c r="T292" i="14"/>
  <c r="T310" i="14" s="1"/>
  <c r="Q1164" i="8"/>
  <c r="Q1165" i="8" s="1"/>
  <c r="Q255" i="14"/>
  <c r="Q768" i="8"/>
  <c r="Q769" i="8" s="1"/>
  <c r="Q48" i="14"/>
  <c r="Q369" i="2"/>
  <c r="Q888" i="8" s="1"/>
  <c r="Q889" i="8" s="1"/>
  <c r="Q89" i="14"/>
  <c r="Q107" i="14" s="1"/>
  <c r="Q97" i="14"/>
  <c r="Q115" i="14" s="1"/>
  <c r="S733" i="2"/>
  <c r="S256" i="14" s="1"/>
  <c r="S302" i="14"/>
  <c r="S320" i="14" s="1"/>
  <c r="S294" i="14"/>
  <c r="S312" i="14" s="1"/>
  <c r="R355" i="2"/>
  <c r="R840" i="8" s="1"/>
  <c r="R841" i="8" s="1"/>
  <c r="R48" i="14"/>
  <c r="AD304" i="14"/>
  <c r="AD322" i="14" s="1"/>
  <c r="AD296" i="14"/>
  <c r="AD314" i="14" s="1"/>
  <c r="W295" i="14"/>
  <c r="W313" i="14" s="1"/>
  <c r="W303" i="14"/>
  <c r="W321" i="14" s="1"/>
  <c r="O369" i="2"/>
  <c r="O888" i="8" s="1"/>
  <c r="O889" i="8" s="1"/>
  <c r="O89" i="14"/>
  <c r="O107" i="14" s="1"/>
  <c r="O97" i="14"/>
  <c r="O115" i="14" s="1"/>
  <c r="V368" i="2"/>
  <c r="V884" i="8" s="1"/>
  <c r="V885" i="8" s="1"/>
  <c r="V88" i="14"/>
  <c r="V106" i="14" s="1"/>
  <c r="V96" i="14"/>
  <c r="V114" i="14" s="1"/>
  <c r="P731" i="2"/>
  <c r="P254" i="14" s="1"/>
  <c r="P300" i="14"/>
  <c r="P318" i="14" s="1"/>
  <c r="P292" i="14"/>
  <c r="P310" i="14" s="1"/>
  <c r="Y302" i="14"/>
  <c r="Y320" i="14" s="1"/>
  <c r="Y294" i="14"/>
  <c r="Y312" i="14" s="1"/>
  <c r="Q784" i="8"/>
  <c r="Q785" i="8" s="1"/>
  <c r="Q52" i="14"/>
  <c r="P768" i="8"/>
  <c r="P769" i="8" s="1"/>
  <c r="P48" i="14"/>
  <c r="X368" i="2"/>
  <c r="X884" i="8" s="1"/>
  <c r="X885" i="8" s="1"/>
  <c r="X96" i="14"/>
  <c r="X114" i="14" s="1"/>
  <c r="X88" i="14"/>
  <c r="X106" i="14" s="1"/>
  <c r="Q332" i="2"/>
  <c r="Q47" i="14" s="1"/>
  <c r="Q365" i="2"/>
  <c r="Q872" i="8" s="1"/>
  <c r="Q873" i="8" s="1"/>
  <c r="Q85" i="14"/>
  <c r="Q103" i="14" s="1"/>
  <c r="Q93" i="14"/>
  <c r="Q111" i="14" s="1"/>
  <c r="Y365" i="2"/>
  <c r="Y93" i="14"/>
  <c r="Y111" i="14" s="1"/>
  <c r="Y85" i="14"/>
  <c r="Y103" i="14" s="1"/>
  <c r="T335" i="2"/>
  <c r="T50" i="14" s="1"/>
  <c r="T368" i="2"/>
  <c r="T884" i="8" s="1"/>
  <c r="T885" i="8" s="1"/>
  <c r="T88" i="14"/>
  <c r="T106" i="14" s="1"/>
  <c r="T96" i="14"/>
  <c r="T114" i="14" s="1"/>
  <c r="W365" i="2"/>
  <c r="W85" i="14"/>
  <c r="W103" i="14" s="1"/>
  <c r="W93" i="14"/>
  <c r="W111" i="14" s="1"/>
  <c r="R300" i="14"/>
  <c r="R318" i="14" s="1"/>
  <c r="R292" i="14"/>
  <c r="R310" i="14" s="1"/>
  <c r="AC299" i="14"/>
  <c r="AC317" i="14" s="1"/>
  <c r="AC291" i="14"/>
  <c r="AC309" i="14" s="1"/>
  <c r="U304" i="14"/>
  <c r="U322" i="14" s="1"/>
  <c r="U296" i="14"/>
  <c r="U314" i="14" s="1"/>
  <c r="S1140" i="8"/>
  <c r="S1141" i="8" s="1"/>
  <c r="AC1140" i="8"/>
  <c r="AC1141" i="8" s="1"/>
  <c r="S1012" i="8"/>
  <c r="S1013" i="8" s="1"/>
  <c r="O1016" i="8"/>
  <c r="O1017" i="8" s="1"/>
  <c r="W1120" i="8"/>
  <c r="W1121" i="8" s="1"/>
  <c r="R1144" i="8"/>
  <c r="R1145" i="8" s="1"/>
  <c r="O784" i="8"/>
  <c r="O785" i="8" s="1"/>
  <c r="S334" i="2"/>
  <c r="S49" i="14" s="1"/>
  <c r="P1136" i="8"/>
  <c r="P1137" i="8" s="1"/>
  <c r="AE724" i="8"/>
  <c r="AE725" i="8" s="1"/>
  <c r="O730" i="2"/>
  <c r="O1156" i="8" s="1"/>
  <c r="O1157" i="8" s="1"/>
  <c r="S732" i="8"/>
  <c r="S733" i="8" s="1"/>
  <c r="R724" i="8"/>
  <c r="R725" i="8" s="1"/>
  <c r="R389" i="2"/>
  <c r="R940" i="8" s="1"/>
  <c r="R941" i="8" s="1"/>
  <c r="P389" i="2"/>
  <c r="P940" i="8" s="1"/>
  <c r="P941" i="8" s="1"/>
  <c r="AE1128" i="8"/>
  <c r="AE1129" i="8" s="1"/>
  <c r="S1180" i="8"/>
  <c r="S1181" i="8" s="1"/>
  <c r="Y740" i="8"/>
  <c r="Y741" i="8" s="1"/>
  <c r="V1012" i="8"/>
  <c r="V1013" i="8" s="1"/>
  <c r="Q1140" i="8"/>
  <c r="Q1141" i="8" s="1"/>
  <c r="Z728" i="8"/>
  <c r="Z729" i="8" s="1"/>
  <c r="U742" i="2"/>
  <c r="U1196" i="8" s="1"/>
  <c r="U1197" i="8" s="1"/>
  <c r="AE732" i="8"/>
  <c r="AE733" i="8" s="1"/>
  <c r="P604" i="8"/>
  <c r="P605" i="8" s="1"/>
  <c r="U732" i="8"/>
  <c r="U733" i="8" s="1"/>
  <c r="R1164" i="8"/>
  <c r="R1165" i="8" s="1"/>
  <c r="S196" i="13"/>
  <c r="S206" i="13" s="1"/>
  <c r="S729" i="2"/>
  <c r="V332" i="2"/>
  <c r="V343" i="2"/>
  <c r="V800" i="8" s="1"/>
  <c r="V801" i="8" s="1"/>
  <c r="S341" i="2"/>
  <c r="T359" i="2"/>
  <c r="T399" i="2" s="1"/>
  <c r="T976" i="8" s="1"/>
  <c r="T977" i="8" s="1"/>
  <c r="V604" i="8"/>
  <c r="V605" i="8" s="1"/>
  <c r="O724" i="8"/>
  <c r="O725" i="8" s="1"/>
  <c r="S768" i="8"/>
  <c r="S769" i="8" s="1"/>
  <c r="U612" i="8"/>
  <c r="U613" i="8" s="1"/>
  <c r="V196" i="13"/>
  <c r="V206" i="13" s="1"/>
  <c r="S784" i="8"/>
  <c r="S785" i="8" s="1"/>
  <c r="U345" i="2"/>
  <c r="U808" i="8" s="1"/>
  <c r="U809" i="8" s="1"/>
  <c r="T1144" i="8"/>
  <c r="T1145" i="8" s="1"/>
  <c r="U1000" i="8"/>
  <c r="U1001" i="8" s="1"/>
  <c r="Q731" i="2"/>
  <c r="U604" i="8"/>
  <c r="U605" i="8" s="1"/>
  <c r="O387" i="2"/>
  <c r="O932" i="8" s="1"/>
  <c r="O933" i="8" s="1"/>
  <c r="U731" i="2"/>
  <c r="X732" i="8"/>
  <c r="X733" i="8" s="1"/>
  <c r="V1124" i="8"/>
  <c r="V1125" i="8" s="1"/>
  <c r="Q744" i="8"/>
  <c r="Q745" i="8" s="1"/>
  <c r="V732" i="8"/>
  <c r="V733" i="8" s="1"/>
  <c r="R1180" i="8"/>
  <c r="R1181" i="8" s="1"/>
  <c r="U343" i="2"/>
  <c r="U800" i="8" s="1"/>
  <c r="U801" i="8" s="1"/>
  <c r="T387" i="2"/>
  <c r="AA1136" i="8"/>
  <c r="AA1137" i="8" s="1"/>
  <c r="T740" i="8"/>
  <c r="T741" i="8" s="1"/>
  <c r="P724" i="8"/>
  <c r="P725" i="8" s="1"/>
  <c r="AA1120" i="8"/>
  <c r="AA1121" i="8" s="1"/>
  <c r="U1128" i="8"/>
  <c r="U1129" i="8" s="1"/>
  <c r="O389" i="2"/>
  <c r="O940" i="8" s="1"/>
  <c r="O941" i="8" s="1"/>
  <c r="X724" i="8"/>
  <c r="X725" i="8" s="1"/>
  <c r="U1120" i="8"/>
  <c r="U1121" i="8" s="1"/>
  <c r="AD724" i="8"/>
  <c r="AD725" i="8" s="1"/>
  <c r="U740" i="8"/>
  <c r="U741" i="8" s="1"/>
  <c r="R387" i="2"/>
  <c r="R932" i="8" s="1"/>
  <c r="R933" i="8" s="1"/>
  <c r="S740" i="2"/>
  <c r="T604" i="8"/>
  <c r="T605" i="8" s="1"/>
  <c r="R748" i="8"/>
  <c r="R749" i="8" s="1"/>
  <c r="AB728" i="8"/>
  <c r="AB729" i="8" s="1"/>
  <c r="P744" i="2"/>
  <c r="P1204" i="8" s="1"/>
  <c r="P1205" i="8" s="1"/>
  <c r="S744" i="2"/>
  <c r="S1204" i="8" s="1"/>
  <c r="S1205" i="8" s="1"/>
  <c r="R728" i="8"/>
  <c r="R729" i="8" s="1"/>
  <c r="R331" i="2"/>
  <c r="S332" i="2"/>
  <c r="O745" i="2"/>
  <c r="O1208" i="8" s="1"/>
  <c r="O1209" i="8" s="1"/>
  <c r="T742" i="2"/>
  <c r="T1196" i="8" s="1"/>
  <c r="T1197" i="8" s="1"/>
  <c r="P744" i="8"/>
  <c r="P745" i="8" s="1"/>
  <c r="T1120" i="8"/>
  <c r="T1121" i="8" s="1"/>
  <c r="W331" i="2"/>
  <c r="W760" i="8" s="1"/>
  <c r="W761" i="8" s="1"/>
  <c r="W732" i="8"/>
  <c r="W733" i="8" s="1"/>
  <c r="AE744" i="8"/>
  <c r="AE745" i="8" s="1"/>
  <c r="AC1136" i="8"/>
  <c r="AC1137" i="8" s="1"/>
  <c r="P1140" i="8"/>
  <c r="P1141" i="8" s="1"/>
  <c r="O734" i="2"/>
  <c r="S192" i="13"/>
  <c r="S202" i="13" s="1"/>
  <c r="W342" i="2"/>
  <c r="W796" i="8" s="1"/>
  <c r="W797" i="8" s="1"/>
  <c r="R335" i="2"/>
  <c r="P1016" i="8"/>
  <c r="P1017" i="8" s="1"/>
  <c r="O1012" i="8"/>
  <c r="O1013" i="8" s="1"/>
  <c r="P1012" i="8"/>
  <c r="P1013" i="8" s="1"/>
  <c r="W600" i="8"/>
  <c r="W601" i="8" s="1"/>
  <c r="Q1008" i="8"/>
  <c r="Q1009" i="8" s="1"/>
  <c r="T728" i="8"/>
  <c r="T729" i="8" s="1"/>
  <c r="S1144" i="8"/>
  <c r="S1145" i="8" s="1"/>
  <c r="Q732" i="8"/>
  <c r="Q733" i="8" s="1"/>
  <c r="S1008" i="8"/>
  <c r="S1009" i="8" s="1"/>
  <c r="Z1128" i="8"/>
  <c r="Z1129" i="8" s="1"/>
  <c r="P335" i="2"/>
  <c r="P332" i="2"/>
  <c r="U992" i="8"/>
  <c r="U993" i="8" s="1"/>
  <c r="AB1140" i="8"/>
  <c r="AB1141" i="8" s="1"/>
  <c r="S596" i="8"/>
  <c r="S597" i="8" s="1"/>
  <c r="P620" i="8"/>
  <c r="P621" i="8" s="1"/>
  <c r="Q600" i="8"/>
  <c r="Q601" i="8" s="1"/>
  <c r="Q331" i="2"/>
  <c r="Q728" i="8"/>
  <c r="Q729" i="8" s="1"/>
  <c r="V596" i="8"/>
  <c r="V597" i="8" s="1"/>
  <c r="AA1124" i="8"/>
  <c r="AA1125" i="8" s="1"/>
  <c r="S1136" i="8"/>
  <c r="S1137" i="8" s="1"/>
  <c r="AA744" i="8"/>
  <c r="AA745" i="8" s="1"/>
  <c r="AB724" i="8"/>
  <c r="AB725" i="8" s="1"/>
  <c r="S330" i="2"/>
  <c r="O744" i="8"/>
  <c r="O745" i="8" s="1"/>
  <c r="P730" i="2"/>
  <c r="Q355" i="2"/>
  <c r="Q840" i="8" s="1"/>
  <c r="Q841" i="8" s="1"/>
  <c r="AB1136" i="8"/>
  <c r="AB1137" i="8" s="1"/>
  <c r="W748" i="8"/>
  <c r="W749" i="8" s="1"/>
  <c r="T331" i="2"/>
  <c r="T1008" i="8"/>
  <c r="T1009" i="8" s="1"/>
  <c r="R236" i="13"/>
  <c r="R244" i="13" s="1"/>
  <c r="U347" i="2"/>
  <c r="U816" i="8" s="1"/>
  <c r="U817" i="8" s="1"/>
  <c r="AB744" i="8"/>
  <c r="AB745" i="8" s="1"/>
  <c r="T600" i="8"/>
  <c r="T601" i="8" s="1"/>
  <c r="Q604" i="8"/>
  <c r="Q605" i="8" s="1"/>
  <c r="AE250" i="13"/>
  <c r="AE1598" i="8" s="1"/>
  <c r="U336" i="2"/>
  <c r="Q389" i="2"/>
  <c r="Q940" i="8" s="1"/>
  <c r="Q941" i="8" s="1"/>
  <c r="R733" i="2"/>
  <c r="T342" i="2"/>
  <c r="T796" i="8" s="1"/>
  <c r="T797" i="8" s="1"/>
  <c r="P359" i="2"/>
  <c r="P856" i="8" s="1"/>
  <c r="P857" i="8" s="1"/>
  <c r="AD1128" i="8"/>
  <c r="AD1129" i="8" s="1"/>
  <c r="T616" i="8"/>
  <c r="T617" i="8" s="1"/>
  <c r="S735" i="2"/>
  <c r="AC732" i="8"/>
  <c r="AC733" i="8" s="1"/>
  <c r="P748" i="8"/>
  <c r="P749" i="8" s="1"/>
  <c r="R1136" i="8"/>
  <c r="R1137" i="8" s="1"/>
  <c r="Y748" i="8"/>
  <c r="Y749" i="8" s="1"/>
  <c r="V1144" i="8"/>
  <c r="V1145" i="8" s="1"/>
  <c r="U748" i="8"/>
  <c r="U749" i="8" s="1"/>
  <c r="Q1180" i="8"/>
  <c r="Q1181" i="8" s="1"/>
  <c r="S1016" i="8"/>
  <c r="S1017" i="8" s="1"/>
  <c r="R1008" i="8"/>
  <c r="R1009" i="8" s="1"/>
  <c r="T343" i="2"/>
  <c r="T800" i="8" s="1"/>
  <c r="T801" i="8" s="1"/>
  <c r="O1124" i="8"/>
  <c r="O1125" i="8" s="1"/>
  <c r="Y744" i="8"/>
  <c r="Y745" i="8" s="1"/>
  <c r="AA732" i="8"/>
  <c r="AA733" i="8" s="1"/>
  <c r="Q744" i="2"/>
  <c r="Q1204" i="8" s="1"/>
  <c r="Q1205" i="8" s="1"/>
  <c r="O996" i="8"/>
  <c r="O997" i="8" s="1"/>
  <c r="O355" i="2"/>
  <c r="O840" i="8" s="1"/>
  <c r="O841" i="8" s="1"/>
  <c r="Q742" i="2"/>
  <c r="Q1196" i="8" s="1"/>
  <c r="Q1197" i="8" s="1"/>
  <c r="W616" i="8"/>
  <c r="W617" i="8" s="1"/>
  <c r="T741" i="2"/>
  <c r="T1192" i="8" s="1"/>
  <c r="T1193" i="8" s="1"/>
  <c r="O748" i="8"/>
  <c r="O749" i="8" s="1"/>
  <c r="AD748" i="8"/>
  <c r="AD749" i="8" s="1"/>
  <c r="R732" i="8"/>
  <c r="R733" i="8" s="1"/>
  <c r="R616" i="8"/>
  <c r="R617" i="8" s="1"/>
  <c r="Q1000" i="8"/>
  <c r="Q1001" i="8" s="1"/>
  <c r="T730" i="2"/>
  <c r="AC724" i="8"/>
  <c r="AC725" i="8" s="1"/>
  <c r="AE1144" i="8"/>
  <c r="AE1145" i="8" s="1"/>
  <c r="O742" i="2"/>
  <c r="O1196" i="8" s="1"/>
  <c r="O1197" i="8" s="1"/>
  <c r="T334" i="2"/>
  <c r="AD57" i="13"/>
  <c r="AD67" i="13" s="1"/>
  <c r="V740" i="2"/>
  <c r="V729" i="2"/>
  <c r="AB740" i="8"/>
  <c r="AB741" i="8" s="1"/>
  <c r="U744" i="8"/>
  <c r="U745" i="8" s="1"/>
  <c r="O1000" i="8"/>
  <c r="O1001" i="8" s="1"/>
  <c r="O604" i="8"/>
  <c r="O605" i="8" s="1"/>
  <c r="T347" i="2"/>
  <c r="T816" i="8" s="1"/>
  <c r="T817" i="8" s="1"/>
  <c r="AB1128" i="8"/>
  <c r="AB1129" i="8" s="1"/>
  <c r="V734" i="2"/>
  <c r="S389" i="2"/>
  <c r="S940" i="8" s="1"/>
  <c r="S941" i="8" s="1"/>
  <c r="Q1128" i="8"/>
  <c r="Q1129" i="8" s="1"/>
  <c r="AA740" i="8"/>
  <c r="AA741" i="8" s="1"/>
  <c r="V1140" i="8"/>
  <c r="V1141" i="8" s="1"/>
  <c r="R620" i="8"/>
  <c r="R621" i="8" s="1"/>
  <c r="Q734" i="2"/>
  <c r="S346" i="2"/>
  <c r="S812" i="8" s="1"/>
  <c r="S813" i="8" s="1"/>
  <c r="P735" i="2"/>
  <c r="P258" i="14" s="1"/>
  <c r="P355" i="2"/>
  <c r="P840" i="8" s="1"/>
  <c r="P841" i="8" s="1"/>
  <c r="O343" i="2"/>
  <c r="O800" i="8" s="1"/>
  <c r="O801" i="8" s="1"/>
  <c r="P740" i="2"/>
  <c r="T735" i="2"/>
  <c r="L57" i="13"/>
  <c r="L67" i="13" s="1"/>
  <c r="V53" i="13"/>
  <c r="V63" i="13" s="1"/>
  <c r="T734" i="2"/>
  <c r="T768" i="8"/>
  <c r="T769" i="8" s="1"/>
  <c r="S744" i="8"/>
  <c r="S745" i="8" s="1"/>
  <c r="R343" i="2"/>
  <c r="R800" i="8" s="1"/>
  <c r="R801" i="8" s="1"/>
  <c r="AE740" i="8"/>
  <c r="AE741" i="8" s="1"/>
  <c r="T748" i="8"/>
  <c r="T749" i="8" s="1"/>
  <c r="P1000" i="8"/>
  <c r="P1001" i="8" s="1"/>
  <c r="Y1120" i="8"/>
  <c r="Y1121" i="8" s="1"/>
  <c r="T346" i="2"/>
  <c r="T812" i="8" s="1"/>
  <c r="T813" i="8" s="1"/>
  <c r="T336" i="2"/>
  <c r="Z1140" i="8"/>
  <c r="Z1141" i="8" s="1"/>
  <c r="Q1144" i="8"/>
  <c r="Q1145" i="8" s="1"/>
  <c r="R1128" i="8"/>
  <c r="R1129" i="8" s="1"/>
  <c r="AA1128" i="8"/>
  <c r="AA1129" i="8" s="1"/>
  <c r="V745" i="2"/>
  <c r="V1208" i="8" s="1"/>
  <c r="V1209" i="8" s="1"/>
  <c r="U334" i="2"/>
  <c r="V728" i="8"/>
  <c r="V729" i="8" s="1"/>
  <c r="W728" i="8"/>
  <c r="W729" i="8" s="1"/>
  <c r="S1120" i="8"/>
  <c r="S1121" i="8" s="1"/>
  <c r="V1120" i="8"/>
  <c r="V1121" i="8" s="1"/>
  <c r="O1128" i="8"/>
  <c r="O1129" i="8" s="1"/>
  <c r="Z1144" i="8"/>
  <c r="Z1145" i="8" s="1"/>
  <c r="Q1012" i="8"/>
  <c r="Q1013" i="8" s="1"/>
  <c r="Q343" i="2"/>
  <c r="Q800" i="8" s="1"/>
  <c r="Q801" i="8" s="1"/>
  <c r="R330" i="2"/>
  <c r="U332" i="2"/>
  <c r="T1012" i="8"/>
  <c r="T1013" i="8" s="1"/>
  <c r="W1124" i="8"/>
  <c r="W1125" i="8" s="1"/>
  <c r="AD1140" i="8"/>
  <c r="AD1141" i="8" s="1"/>
  <c r="P1120" i="8"/>
  <c r="P1121" i="8" s="1"/>
  <c r="Z1120" i="8"/>
  <c r="Z1121" i="8" s="1"/>
  <c r="O1140" i="8"/>
  <c r="O1141" i="8" s="1"/>
  <c r="Q1016" i="8"/>
  <c r="Q1017" i="8" s="1"/>
  <c r="O336" i="2"/>
  <c r="R735" i="2"/>
  <c r="R731" i="2"/>
  <c r="T992" i="8"/>
  <c r="T993" i="8" s="1"/>
  <c r="S612" i="8"/>
  <c r="S613" i="8" s="1"/>
  <c r="P387" i="2"/>
  <c r="P932" i="8" s="1"/>
  <c r="P933" i="8" s="1"/>
  <c r="T1016" i="8"/>
  <c r="T1017" i="8" s="1"/>
  <c r="V740" i="8"/>
  <c r="V741" i="8" s="1"/>
  <c r="Q746" i="2"/>
  <c r="Q1212" i="8" s="1"/>
  <c r="Q1213" i="8" s="1"/>
  <c r="V744" i="2"/>
  <c r="V1204" i="8" s="1"/>
  <c r="V1205" i="8" s="1"/>
  <c r="T1124" i="8"/>
  <c r="T1125" i="8" s="1"/>
  <c r="O732" i="8"/>
  <c r="O733" i="8" s="1"/>
  <c r="T744" i="8"/>
  <c r="T745" i="8" s="1"/>
  <c r="S724" i="8"/>
  <c r="S725" i="8" s="1"/>
  <c r="Q735" i="2"/>
  <c r="O620" i="8"/>
  <c r="O621" i="8" s="1"/>
  <c r="R746" i="2"/>
  <c r="R1212" i="8" s="1"/>
  <c r="R1213" i="8" s="1"/>
  <c r="T612" i="8"/>
  <c r="T613" i="8" s="1"/>
  <c r="O741" i="2"/>
  <c r="O1192" i="8" s="1"/>
  <c r="O1193" i="8" s="1"/>
  <c r="T740" i="2"/>
  <c r="T996" i="8"/>
  <c r="T997" i="8" s="1"/>
  <c r="T259" i="2"/>
  <c r="L318" i="2"/>
  <c r="L307" i="2" s="1"/>
  <c r="AC748" i="8"/>
  <c r="AC749" i="8" s="1"/>
  <c r="P733" i="2"/>
  <c r="S335" i="2"/>
  <c r="S742" i="2"/>
  <c r="S1196" i="8" s="1"/>
  <c r="S1197" i="8" s="1"/>
  <c r="P729" i="2"/>
  <c r="T746" i="2"/>
  <c r="T1212" i="8" s="1"/>
  <c r="T1213" i="8" s="1"/>
  <c r="R250" i="13"/>
  <c r="R259" i="13" s="1"/>
  <c r="Y1136" i="8"/>
  <c r="Y1137" i="8" s="1"/>
  <c r="AB57" i="13"/>
  <c r="AB67" i="13" s="1"/>
  <c r="AB192" i="13"/>
  <c r="AB202" i="13" s="1"/>
  <c r="Y1128" i="8"/>
  <c r="Y1129" i="8" s="1"/>
  <c r="O728" i="8"/>
  <c r="O729" i="8" s="1"/>
  <c r="V744" i="8"/>
  <c r="V745" i="8" s="1"/>
  <c r="X728" i="8"/>
  <c r="X729" i="8" s="1"/>
  <c r="O1120" i="8"/>
  <c r="O1121" i="8" s="1"/>
  <c r="S745" i="2"/>
  <c r="S1208" i="8" s="1"/>
  <c r="S1209" i="8" s="1"/>
  <c r="P347" i="2"/>
  <c r="P816" i="8" s="1"/>
  <c r="P817" i="8" s="1"/>
  <c r="S616" i="8"/>
  <c r="S617" i="8" s="1"/>
  <c r="Q346" i="2"/>
  <c r="Q812" i="8" s="1"/>
  <c r="Q813" i="8" s="1"/>
  <c r="M717" i="2"/>
  <c r="M706" i="2" s="1"/>
  <c r="M90" i="17" s="1"/>
  <c r="W1140" i="8"/>
  <c r="W1141" i="8" s="1"/>
  <c r="R196" i="13"/>
  <c r="R206" i="13" s="1"/>
  <c r="T724" i="8"/>
  <c r="T725" i="8" s="1"/>
  <c r="O731" i="2"/>
  <c r="S734" i="2"/>
  <c r="P336" i="2"/>
  <c r="O342" i="2"/>
  <c r="O796" i="8" s="1"/>
  <c r="O797" i="8" s="1"/>
  <c r="T596" i="8"/>
  <c r="T597" i="8" s="1"/>
  <c r="Q616" i="8"/>
  <c r="Q617" i="8" s="1"/>
  <c r="M57" i="13"/>
  <c r="M67" i="13" s="1"/>
  <c r="O331" i="2"/>
  <c r="O259" i="2"/>
  <c r="T330" i="2"/>
  <c r="L717" i="2"/>
  <c r="L706" i="2" s="1"/>
  <c r="L90" i="17" s="1"/>
  <c r="R992" i="8"/>
  <c r="R993" i="8" s="1"/>
  <c r="O600" i="8"/>
  <c r="O601" i="8" s="1"/>
  <c r="O1180" i="8"/>
  <c r="O1181" i="8" s="1"/>
  <c r="P258" i="2"/>
  <c r="T341" i="2"/>
  <c r="R341" i="2"/>
  <c r="O53" i="13"/>
  <c r="O63" i="13" s="1"/>
  <c r="R729" i="2"/>
  <c r="P612" i="8"/>
  <c r="P613" i="8" s="1"/>
  <c r="T258" i="2"/>
  <c r="P259" i="2"/>
  <c r="R596" i="8"/>
  <c r="R597" i="8" s="1"/>
  <c r="W192" i="13"/>
  <c r="W202" i="13" s="1"/>
  <c r="Y57" i="13"/>
  <c r="Y67" i="13" s="1"/>
  <c r="V250" i="13"/>
  <c r="V252" i="13" s="1"/>
  <c r="R259" i="2"/>
  <c r="AC740" i="8"/>
  <c r="AC741" i="8" s="1"/>
  <c r="AA728" i="8"/>
  <c r="AA729" i="8" s="1"/>
  <c r="W740" i="8"/>
  <c r="W741" i="8" s="1"/>
  <c r="P334" i="2"/>
  <c r="T745" i="2"/>
  <c r="T1208" i="8" s="1"/>
  <c r="T1209" i="8" s="1"/>
  <c r="P341" i="2"/>
  <c r="U740" i="2"/>
  <c r="W236" i="13"/>
  <c r="W242" i="13" s="1"/>
  <c r="P1128" i="8"/>
  <c r="P1129" i="8" s="1"/>
  <c r="AA724" i="8"/>
  <c r="AA725" i="8" s="1"/>
  <c r="Z1124" i="8"/>
  <c r="Z1125" i="8" s="1"/>
  <c r="S746" i="2"/>
  <c r="S1212" i="8" s="1"/>
  <c r="S1213" i="8" s="1"/>
  <c r="O346" i="2"/>
  <c r="O812" i="8" s="1"/>
  <c r="O813" i="8" s="1"/>
  <c r="V346" i="2"/>
  <c r="V812" i="8" s="1"/>
  <c r="V813" i="8" s="1"/>
  <c r="O892" i="8"/>
  <c r="O893" i="8" s="1"/>
  <c r="X57" i="13"/>
  <c r="X67" i="13" s="1"/>
  <c r="R57" i="13"/>
  <c r="R67" i="13" s="1"/>
  <c r="M318" i="2"/>
  <c r="M307" i="2" s="1"/>
  <c r="V335" i="2"/>
  <c r="P742" i="2"/>
  <c r="P1196" i="8" s="1"/>
  <c r="P1197" i="8" s="1"/>
  <c r="AC1144" i="8"/>
  <c r="AC1145" i="8" s="1"/>
  <c r="AB732" i="8"/>
  <c r="AB733" i="8" s="1"/>
  <c r="V616" i="8"/>
  <c r="V617" i="8" s="1"/>
  <c r="T729" i="2"/>
  <c r="R192" i="13"/>
  <c r="R202" i="13" s="1"/>
  <c r="R1012" i="8"/>
  <c r="R1013" i="8" s="1"/>
  <c r="O330" i="2"/>
  <c r="AB196" i="13"/>
  <c r="AB206" i="13" s="1"/>
  <c r="Q740" i="8"/>
  <c r="Q741" i="8" s="1"/>
  <c r="R740" i="8"/>
  <c r="R741" i="8" s="1"/>
  <c r="O612" i="8"/>
  <c r="O613" i="8" s="1"/>
  <c r="P331" i="2"/>
  <c r="S620" i="8"/>
  <c r="S621" i="8" s="1"/>
  <c r="O345" i="2"/>
  <c r="O808" i="8" s="1"/>
  <c r="O809" i="8" s="1"/>
  <c r="R612" i="8"/>
  <c r="R613" i="8" s="1"/>
  <c r="P330" i="2"/>
  <c r="Z53" i="13"/>
  <c r="Z63" i="13" s="1"/>
  <c r="U620" i="8"/>
  <c r="U621" i="8" s="1"/>
  <c r="U741" i="2"/>
  <c r="Z744" i="8"/>
  <c r="Z745" i="8" s="1"/>
  <c r="T1136" i="8"/>
  <c r="T1137" i="8" s="1"/>
  <c r="AE728" i="8"/>
  <c r="AE729" i="8" s="1"/>
  <c r="T1128" i="8"/>
  <c r="T1129" i="8" s="1"/>
  <c r="T732" i="8"/>
  <c r="T733" i="8" s="1"/>
  <c r="U1124" i="8"/>
  <c r="U1125" i="8" s="1"/>
  <c r="X1128" i="8"/>
  <c r="X1129" i="8" s="1"/>
  <c r="X1140" i="8"/>
  <c r="X1141" i="8" s="1"/>
  <c r="P996" i="8"/>
  <c r="P997" i="8" s="1"/>
  <c r="R336" i="2"/>
  <c r="Q992" i="8"/>
  <c r="Q993" i="8" s="1"/>
  <c r="R1016" i="8"/>
  <c r="R1017" i="8" s="1"/>
  <c r="O341" i="2"/>
  <c r="R1000" i="8"/>
  <c r="R1001" i="8" s="1"/>
  <c r="P342" i="2"/>
  <c r="P796" i="8" s="1"/>
  <c r="P797" i="8" s="1"/>
  <c r="S387" i="2"/>
  <c r="S932" i="8" s="1"/>
  <c r="S933" i="8" s="1"/>
  <c r="P596" i="8"/>
  <c r="P597" i="8" s="1"/>
  <c r="P745" i="2"/>
  <c r="P1208" i="8" s="1"/>
  <c r="P1209" i="8" s="1"/>
  <c r="X236" i="13"/>
  <c r="X238" i="13" s="1"/>
  <c r="AB250" i="13"/>
  <c r="AB256" i="13" s="1"/>
  <c r="Q192" i="13"/>
  <c r="Q202" i="13" s="1"/>
  <c r="O196" i="13"/>
  <c r="O206" i="13" s="1"/>
  <c r="O616" i="8"/>
  <c r="O617" i="8" s="1"/>
  <c r="F1133" i="8"/>
  <c r="X1120" i="8"/>
  <c r="X1121" i="8" s="1"/>
  <c r="O258" i="2"/>
  <c r="S347" i="2"/>
  <c r="S816" i="8" s="1"/>
  <c r="S817" i="8" s="1"/>
  <c r="R345" i="2"/>
  <c r="R808" i="8" s="1"/>
  <c r="R809" i="8" s="1"/>
  <c r="T196" i="13"/>
  <c r="T206" i="13" s="1"/>
  <c r="O57" i="13"/>
  <c r="O67" i="13" s="1"/>
  <c r="AA192" i="13"/>
  <c r="AA202" i="13" s="1"/>
  <c r="V1008" i="8"/>
  <c r="V1009" i="8" s="1"/>
  <c r="U724" i="8"/>
  <c r="U725" i="8" s="1"/>
  <c r="AB1144" i="8"/>
  <c r="AB1145" i="8" s="1"/>
  <c r="AC744" i="8"/>
  <c r="AC745" i="8" s="1"/>
  <c r="R346" i="2"/>
  <c r="R812" i="8" s="1"/>
  <c r="R813" i="8" s="1"/>
  <c r="T250" i="13"/>
  <c r="T255" i="13" s="1"/>
  <c r="AE57" i="13"/>
  <c r="AE67" i="13" s="1"/>
  <c r="AE53" i="13"/>
  <c r="AE63" i="13" s="1"/>
  <c r="AD728" i="8"/>
  <c r="AD729" i="8" s="1"/>
  <c r="AD1120" i="8"/>
  <c r="AD1121" i="8" s="1"/>
  <c r="S1128" i="8"/>
  <c r="S1129" i="8" s="1"/>
  <c r="AD1124" i="8"/>
  <c r="AD1125" i="8" s="1"/>
  <c r="U1136" i="8"/>
  <c r="U1137" i="8" s="1"/>
  <c r="P741" i="2"/>
  <c r="P1192" i="8" s="1"/>
  <c r="P1193" i="8" s="1"/>
  <c r="R347" i="2"/>
  <c r="R816" i="8" s="1"/>
  <c r="R817" i="8" s="1"/>
  <c r="Q729" i="2"/>
  <c r="S1000" i="8"/>
  <c r="S1001" i="8" s="1"/>
  <c r="O596" i="8"/>
  <c r="O597" i="8" s="1"/>
  <c r="R742" i="2"/>
  <c r="R1196" i="8" s="1"/>
  <c r="R1197" i="8" s="1"/>
  <c r="P600" i="8"/>
  <c r="P601" i="8" s="1"/>
  <c r="W335" i="2"/>
  <c r="S604" i="8"/>
  <c r="S605" i="8" s="1"/>
  <c r="T733" i="2"/>
  <c r="F1496" i="8"/>
  <c r="W724" i="8"/>
  <c r="W725" i="8" s="1"/>
  <c r="U359" i="2"/>
  <c r="U399" i="2" s="1"/>
  <c r="U976" i="8" s="1"/>
  <c r="U977" i="8" s="1"/>
  <c r="R745" i="2"/>
  <c r="R1208" i="8" s="1"/>
  <c r="R1209" i="8" s="1"/>
  <c r="S57" i="13"/>
  <c r="S67" i="13" s="1"/>
  <c r="R1140" i="8"/>
  <c r="R1141" i="8" s="1"/>
  <c r="Y1124" i="8"/>
  <c r="Y1125" i="8" s="1"/>
  <c r="Q334" i="2"/>
  <c r="Q996" i="8"/>
  <c r="Q997" i="8" s="1"/>
  <c r="R768" i="8"/>
  <c r="R769" i="8" s="1"/>
  <c r="AC728" i="8"/>
  <c r="AC729" i="8" s="1"/>
  <c r="M1128" i="8"/>
  <c r="M1129" i="8" s="1"/>
  <c r="O1144" i="8"/>
  <c r="O1145" i="8" s="1"/>
  <c r="Q345" i="2"/>
  <c r="Q808" i="8" s="1"/>
  <c r="Q809" i="8" s="1"/>
  <c r="Q741" i="2"/>
  <c r="Q1192" i="8" s="1"/>
  <c r="Q1193" i="8" s="1"/>
  <c r="R342" i="2"/>
  <c r="R796" i="8" s="1"/>
  <c r="R797" i="8" s="1"/>
  <c r="T332" i="2"/>
  <c r="Q335" i="2"/>
  <c r="O729" i="2"/>
  <c r="AE236" i="13"/>
  <c r="AE238" i="13" s="1"/>
  <c r="N717" i="2"/>
  <c r="N706" i="2" s="1"/>
  <c r="N90" i="17" s="1"/>
  <c r="Q730" i="2"/>
  <c r="W346" i="2"/>
  <c r="W812" i="8" s="1"/>
  <c r="W813" i="8" s="1"/>
  <c r="Q359" i="2"/>
  <c r="Q856" i="8" s="1"/>
  <c r="Q857" i="8" s="1"/>
  <c r="O740" i="2"/>
  <c r="U744" i="2"/>
  <c r="U1204" i="8" s="1"/>
  <c r="U1205" i="8" s="1"/>
  <c r="R334" i="2"/>
  <c r="R734" i="2"/>
  <c r="X196" i="13"/>
  <c r="X206" i="13" s="1"/>
  <c r="Q1120" i="8"/>
  <c r="Q1121" i="8" s="1"/>
  <c r="AC1120" i="8"/>
  <c r="AC1121" i="8" s="1"/>
  <c r="Q1124" i="8"/>
  <c r="Q1125" i="8" s="1"/>
  <c r="R744" i="8"/>
  <c r="R745" i="8" s="1"/>
  <c r="P740" i="8"/>
  <c r="P741" i="8" s="1"/>
  <c r="R258" i="2"/>
  <c r="V600" i="8"/>
  <c r="V601" i="8" s="1"/>
  <c r="P192" i="13"/>
  <c r="P202" i="13" s="1"/>
  <c r="AE1136" i="8"/>
  <c r="AE1137" i="8" s="1"/>
  <c r="Q740" i="2"/>
  <c r="W744" i="8"/>
  <c r="W745" i="8" s="1"/>
  <c r="Z748" i="8"/>
  <c r="Z749" i="8" s="1"/>
  <c r="V1136" i="8"/>
  <c r="V1137" i="8" s="1"/>
  <c r="S730" i="2"/>
  <c r="S253" i="14" s="1"/>
  <c r="AD1144" i="8"/>
  <c r="AD1145" i="8" s="1"/>
  <c r="S1124" i="8"/>
  <c r="S1125" i="8" s="1"/>
  <c r="U1140" i="8"/>
  <c r="U1141" i="8" s="1"/>
  <c r="Y728" i="8"/>
  <c r="Y729" i="8" s="1"/>
  <c r="AE748" i="8"/>
  <c r="AE749" i="8" s="1"/>
  <c r="W1128" i="8"/>
  <c r="W1129" i="8" s="1"/>
  <c r="AD732" i="8"/>
  <c r="AD733" i="8" s="1"/>
  <c r="X1136" i="8"/>
  <c r="X1137" i="8" s="1"/>
  <c r="AD744" i="8"/>
  <c r="AD745" i="8" s="1"/>
  <c r="P1008" i="8"/>
  <c r="P1009" i="8" s="1"/>
  <c r="S996" i="8"/>
  <c r="S997" i="8" s="1"/>
  <c r="O347" i="2"/>
  <c r="O816" i="8" s="1"/>
  <c r="O817" i="8" s="1"/>
  <c r="R332" i="2"/>
  <c r="U346" i="2"/>
  <c r="U812" i="8" s="1"/>
  <c r="U813" i="8" s="1"/>
  <c r="U1008" i="8"/>
  <c r="U1009" i="8" s="1"/>
  <c r="U1012" i="8"/>
  <c r="U1013" i="8" s="1"/>
  <c r="AA250" i="13"/>
  <c r="AA255" i="13" s="1"/>
  <c r="F1149" i="8"/>
  <c r="L192" i="13"/>
  <c r="L202" i="13" s="1"/>
  <c r="Q196" i="13"/>
  <c r="Q206" i="13" s="1"/>
  <c r="AE196" i="13"/>
  <c r="AE206" i="13" s="1"/>
  <c r="T1140" i="8"/>
  <c r="T1141" i="8" s="1"/>
  <c r="Z732" i="8"/>
  <c r="Z733" i="8" s="1"/>
  <c r="Q612" i="8"/>
  <c r="Q613" i="8" s="1"/>
  <c r="X740" i="8"/>
  <c r="X741" i="8" s="1"/>
  <c r="Y724" i="8"/>
  <c r="Y725" i="8" s="1"/>
  <c r="R1120" i="8"/>
  <c r="R1121" i="8" s="1"/>
  <c r="P346" i="2"/>
  <c r="P812" i="8" s="1"/>
  <c r="P813" i="8" s="1"/>
  <c r="S741" i="2"/>
  <c r="S1192" i="8" s="1"/>
  <c r="S1193" i="8" s="1"/>
  <c r="V342" i="2"/>
  <c r="V796" i="8" s="1"/>
  <c r="V797" i="8" s="1"/>
  <c r="T731" i="2"/>
  <c r="U335" i="2"/>
  <c r="AA196" i="13"/>
  <c r="AA206" i="13" s="1"/>
  <c r="F737" i="8"/>
  <c r="AB53" i="13"/>
  <c r="AB63" i="13" s="1"/>
  <c r="AA53" i="13"/>
  <c r="AA63" i="13" s="1"/>
  <c r="Q250" i="13"/>
  <c r="Q259" i="13" s="1"/>
  <c r="P728" i="8"/>
  <c r="P729" i="8" s="1"/>
  <c r="AD740" i="8"/>
  <c r="AD741" i="8" s="1"/>
  <c r="AA1140" i="8"/>
  <c r="AA1141" i="8" s="1"/>
  <c r="AB748" i="8"/>
  <c r="AB749" i="8" s="1"/>
  <c r="P1124" i="8"/>
  <c r="P1125" i="8" s="1"/>
  <c r="O740" i="8"/>
  <c r="O741" i="8" s="1"/>
  <c r="Q1136" i="8"/>
  <c r="Q1137" i="8" s="1"/>
  <c r="AC1128" i="8"/>
  <c r="AC1129" i="8" s="1"/>
  <c r="P616" i="8"/>
  <c r="P617" i="8" s="1"/>
  <c r="Q745" i="2"/>
  <c r="Q1208" i="8" s="1"/>
  <c r="Q1209" i="8" s="1"/>
  <c r="P345" i="2"/>
  <c r="P808" i="8" s="1"/>
  <c r="P809" i="8" s="1"/>
  <c r="Q342" i="2"/>
  <c r="Q796" i="8" s="1"/>
  <c r="Q797" i="8" s="1"/>
  <c r="V331" i="2"/>
  <c r="U733" i="2"/>
  <c r="P196" i="13"/>
  <c r="P206" i="13" s="1"/>
  <c r="N53" i="13"/>
  <c r="N63" i="13" s="1"/>
  <c r="N57" i="13"/>
  <c r="N67" i="13" s="1"/>
  <c r="F753" i="8"/>
  <c r="W1598" i="8"/>
  <c r="W254" i="13"/>
  <c r="W253" i="13"/>
  <c r="W257" i="13"/>
  <c r="W252" i="13"/>
  <c r="W259" i="13"/>
  <c r="W251" i="13"/>
  <c r="W258" i="13"/>
  <c r="W255" i="13"/>
  <c r="W256" i="13"/>
  <c r="U331" i="2"/>
  <c r="AD196" i="13"/>
  <c r="AD206" i="13" s="1"/>
  <c r="X112" i="13"/>
  <c r="X114" i="13"/>
  <c r="X119" i="13"/>
  <c r="X118" i="13"/>
  <c r="X113" i="13"/>
  <c r="X116" i="13"/>
  <c r="X120" i="13"/>
  <c r="X115" i="13"/>
  <c r="X117" i="13"/>
  <c r="U184" i="13"/>
  <c r="U214" i="13" s="1"/>
  <c r="M192" i="13"/>
  <c r="M202" i="13" s="1"/>
  <c r="AC105" i="13"/>
  <c r="AC106" i="13"/>
  <c r="AC100" i="13"/>
  <c r="AC98" i="13"/>
  <c r="AC101" i="13"/>
  <c r="AC103" i="13"/>
  <c r="AC104" i="13"/>
  <c r="AC102" i="13"/>
  <c r="AC99" i="13"/>
  <c r="Z192" i="13"/>
  <c r="Z202" i="13" s="1"/>
  <c r="T41" i="13"/>
  <c r="T71" i="13" s="1"/>
  <c r="AB184" i="13"/>
  <c r="AB214" i="13" s="1"/>
  <c r="U236" i="13"/>
  <c r="AD180" i="13"/>
  <c r="AD210" i="13" s="1"/>
  <c r="AD185" i="13"/>
  <c r="AD215" i="13" s="1"/>
  <c r="Z196" i="13"/>
  <c r="Z206" i="13" s="1"/>
  <c r="S1164" i="8"/>
  <c r="S1165" i="8" s="1"/>
  <c r="AA57" i="13"/>
  <c r="AA67" i="13" s="1"/>
  <c r="AC250" i="13"/>
  <c r="S180" i="13"/>
  <c r="S210" i="13" s="1"/>
  <c r="AB185" i="13"/>
  <c r="AB215" i="13" s="1"/>
  <c r="W53" i="13"/>
  <c r="W63" i="13" s="1"/>
  <c r="AC236" i="13"/>
  <c r="AE41" i="13"/>
  <c r="AE71" i="13" s="1"/>
  <c r="Z184" i="13"/>
  <c r="Z214" i="13" s="1"/>
  <c r="AC120" i="13"/>
  <c r="AC118" i="13"/>
  <c r="AC115" i="13"/>
  <c r="AC112" i="13"/>
  <c r="AC119" i="13"/>
  <c r="AC113" i="13"/>
  <c r="AC116" i="13"/>
  <c r="AC114" i="13"/>
  <c r="AC117" i="13"/>
  <c r="L196" i="13"/>
  <c r="L206" i="13" s="1"/>
  <c r="Z57" i="13"/>
  <c r="Z67" i="13" s="1"/>
  <c r="O180" i="13"/>
  <c r="O210" i="13" s="1"/>
  <c r="R185" i="13"/>
  <c r="R215" i="13" s="1"/>
  <c r="S98" i="13"/>
  <c r="S103" i="13"/>
  <c r="S101" i="13"/>
  <c r="S102" i="13"/>
  <c r="S100" i="13"/>
  <c r="S104" i="13"/>
  <c r="S106" i="13"/>
  <c r="S105" i="13"/>
  <c r="S99" i="13"/>
  <c r="P41" i="13"/>
  <c r="P71" i="13" s="1"/>
  <c r="AC184" i="13"/>
  <c r="AC214" i="13" s="1"/>
  <c r="N1598" i="8"/>
  <c r="N257" i="13"/>
  <c r="N254" i="13"/>
  <c r="N253" i="13"/>
  <c r="N258" i="13"/>
  <c r="N259" i="13"/>
  <c r="N252" i="13"/>
  <c r="N256" i="13"/>
  <c r="N251" i="13"/>
  <c r="N255" i="13"/>
  <c r="U196" i="13"/>
  <c r="U206" i="13" s="1"/>
  <c r="N184" i="13"/>
  <c r="N214" i="13" s="1"/>
  <c r="AE221" i="13"/>
  <c r="AE179" i="13"/>
  <c r="AE180" i="13"/>
  <c r="AE210" i="13" s="1"/>
  <c r="Q42" i="13"/>
  <c r="Q72" i="13" s="1"/>
  <c r="O1598" i="8"/>
  <c r="O251" i="13"/>
  <c r="O257" i="13"/>
  <c r="O253" i="13"/>
  <c r="O252" i="13"/>
  <c r="O256" i="13"/>
  <c r="O259" i="13"/>
  <c r="O258" i="13"/>
  <c r="O255" i="13"/>
  <c r="O254" i="13"/>
  <c r="V98" i="13"/>
  <c r="V104" i="13"/>
  <c r="V103" i="13"/>
  <c r="V102" i="13"/>
  <c r="V99" i="13"/>
  <c r="V101" i="13"/>
  <c r="V106" i="13"/>
  <c r="V100" i="13"/>
  <c r="V105" i="13"/>
  <c r="X185" i="13"/>
  <c r="X215" i="13" s="1"/>
  <c r="O733" i="2"/>
  <c r="S46" i="13"/>
  <c r="S76" i="13" s="1"/>
  <c r="V46" i="13"/>
  <c r="V76" i="13" s="1"/>
  <c r="P53" i="13"/>
  <c r="P63" i="13" s="1"/>
  <c r="U596" i="8"/>
  <c r="U597" i="8" s="1"/>
  <c r="R996" i="8"/>
  <c r="R997" i="8" s="1"/>
  <c r="U342" i="2"/>
  <c r="U796" i="8" s="1"/>
  <c r="U797" i="8" s="1"/>
  <c r="U734" i="2"/>
  <c r="AE1140" i="8"/>
  <c r="AE1141" i="8" s="1"/>
  <c r="S748" i="8"/>
  <c r="S749" i="8" s="1"/>
  <c r="W1144" i="8"/>
  <c r="W1145" i="8" s="1"/>
  <c r="AE1124" i="8"/>
  <c r="AE1125" i="8" s="1"/>
  <c r="U258" i="2"/>
  <c r="R730" i="2"/>
  <c r="S342" i="2"/>
  <c r="S796" i="8" s="1"/>
  <c r="S797" i="8" s="1"/>
  <c r="U330" i="2"/>
  <c r="Q336" i="2"/>
  <c r="U745" i="2"/>
  <c r="U1208" i="8" s="1"/>
  <c r="U1209" i="8" s="1"/>
  <c r="Z236" i="13"/>
  <c r="T57" i="13"/>
  <c r="T67" i="13" s="1"/>
  <c r="Z250" i="13"/>
  <c r="V42" i="13"/>
  <c r="V72" i="13" s="1"/>
  <c r="U181" i="13"/>
  <c r="U211" i="13" s="1"/>
  <c r="AE181" i="13"/>
  <c r="AE211" i="13" s="1"/>
  <c r="R98" i="13"/>
  <c r="R101" i="13"/>
  <c r="R102" i="13"/>
  <c r="R99" i="13"/>
  <c r="R105" i="13"/>
  <c r="R104" i="13"/>
  <c r="R106" i="13"/>
  <c r="R103" i="13"/>
  <c r="R100" i="13"/>
  <c r="AB124" i="13"/>
  <c r="AB125" i="13" s="1"/>
  <c r="AB44" i="13"/>
  <c r="AB74" i="13" s="1"/>
  <c r="L181" i="13"/>
  <c r="L211" i="13" s="1"/>
  <c r="V124" i="13"/>
  <c r="V125" i="13" s="1"/>
  <c r="V44" i="13"/>
  <c r="V74" i="13" s="1"/>
  <c r="V236" i="13"/>
  <c r="O45" i="13"/>
  <c r="O75" i="13" s="1"/>
  <c r="W46" i="13"/>
  <c r="W76" i="13" s="1"/>
  <c r="AC57" i="13"/>
  <c r="AC67" i="13" s="1"/>
  <c r="M124" i="13"/>
  <c r="M125" i="13" s="1"/>
  <c r="M44" i="13"/>
  <c r="M74" i="13" s="1"/>
  <c r="M82" i="13"/>
  <c r="M83" i="13" s="1"/>
  <c r="M40" i="13"/>
  <c r="AC263" i="13"/>
  <c r="AC183" i="13"/>
  <c r="AC213" i="13" s="1"/>
  <c r="AB46" i="13"/>
  <c r="AB76" i="13" s="1"/>
  <c r="L1598" i="8"/>
  <c r="L255" i="13"/>
  <c r="L259" i="13"/>
  <c r="L252" i="13"/>
  <c r="L254" i="13"/>
  <c r="L251" i="13"/>
  <c r="L256" i="13"/>
  <c r="L253" i="13"/>
  <c r="L257" i="13"/>
  <c r="L258" i="13"/>
  <c r="W124" i="13"/>
  <c r="W125" i="13" s="1"/>
  <c r="W44" i="13"/>
  <c r="W74" i="13" s="1"/>
  <c r="O221" i="13"/>
  <c r="O222" i="13" s="1"/>
  <c r="O179" i="13"/>
  <c r="O189" i="13" s="1"/>
  <c r="U250" i="13"/>
  <c r="Q124" i="13"/>
  <c r="Q125" i="13" s="1"/>
  <c r="Q44" i="13"/>
  <c r="Q74" i="13" s="1"/>
  <c r="X221" i="13"/>
  <c r="X179" i="13"/>
  <c r="M120" i="13"/>
  <c r="M117" i="13"/>
  <c r="M116" i="13"/>
  <c r="M112" i="13"/>
  <c r="M113" i="13"/>
  <c r="M118" i="13"/>
  <c r="M115" i="13"/>
  <c r="M119" i="13"/>
  <c r="M114" i="13"/>
  <c r="R180" i="13"/>
  <c r="R210" i="13" s="1"/>
  <c r="Y185" i="13"/>
  <c r="Y215" i="13" s="1"/>
  <c r="Y42" i="13"/>
  <c r="Y72" i="13" s="1"/>
  <c r="Y196" i="13"/>
  <c r="Y206" i="13" s="1"/>
  <c r="AE105" i="13"/>
  <c r="AE104" i="13"/>
  <c r="AE103" i="13"/>
  <c r="AE98" i="13"/>
  <c r="AE100" i="13"/>
  <c r="AE101" i="13"/>
  <c r="AE99" i="13"/>
  <c r="AE106" i="13"/>
  <c r="AE102" i="13"/>
  <c r="AB221" i="13"/>
  <c r="AB179" i="13"/>
  <c r="Y41" i="13"/>
  <c r="Y71" i="13" s="1"/>
  <c r="Y250" i="13"/>
  <c r="U115" i="13"/>
  <c r="U113" i="13"/>
  <c r="U116" i="13"/>
  <c r="U120" i="13"/>
  <c r="U118" i="13"/>
  <c r="U119" i="13"/>
  <c r="U117" i="13"/>
  <c r="U112" i="13"/>
  <c r="U114" i="13"/>
  <c r="AC192" i="13"/>
  <c r="AC202" i="13" s="1"/>
  <c r="U221" i="13"/>
  <c r="U179" i="13"/>
  <c r="S331" i="2"/>
  <c r="S46" i="14" s="1"/>
  <c r="O744" i="2"/>
  <c r="O1204" i="8" s="1"/>
  <c r="O1205" i="8" s="1"/>
  <c r="AA1144" i="8"/>
  <c r="AA1145" i="8" s="1"/>
  <c r="R1124" i="8"/>
  <c r="R1125" i="8" s="1"/>
  <c r="Z724" i="8"/>
  <c r="Z725" i="8" s="1"/>
  <c r="S600" i="8"/>
  <c r="S601" i="8" s="1"/>
  <c r="Q620" i="8"/>
  <c r="Q621" i="8" s="1"/>
  <c r="T53" i="13"/>
  <c r="T63" i="13" s="1"/>
  <c r="N41" i="13"/>
  <c r="N71" i="13" s="1"/>
  <c r="AA184" i="13"/>
  <c r="AA214" i="13" s="1"/>
  <c r="T117" i="13"/>
  <c r="T112" i="13"/>
  <c r="T120" i="13"/>
  <c r="T114" i="13"/>
  <c r="T113" i="13"/>
  <c r="T115" i="13"/>
  <c r="T119" i="13"/>
  <c r="T118" i="13"/>
  <c r="T116" i="13"/>
  <c r="X53" i="13"/>
  <c r="X63" i="13" s="1"/>
  <c r="P124" i="13"/>
  <c r="P125" i="13" s="1"/>
  <c r="P44" i="13"/>
  <c r="P74" i="13" s="1"/>
  <c r="R221" i="13"/>
  <c r="R179" i="13"/>
  <c r="R189" i="13" s="1"/>
  <c r="R53" i="13"/>
  <c r="R63" i="13" s="1"/>
  <c r="AE192" i="13"/>
  <c r="AE202" i="13" s="1"/>
  <c r="V192" i="13"/>
  <c r="V202" i="13" s="1"/>
  <c r="Z100" i="13"/>
  <c r="Z106" i="13"/>
  <c r="Z105" i="13"/>
  <c r="Z99" i="13"/>
  <c r="Z103" i="13"/>
  <c r="Z104" i="13"/>
  <c r="Z101" i="13"/>
  <c r="Z102" i="13"/>
  <c r="Z98" i="13"/>
  <c r="N180" i="13"/>
  <c r="N210" i="13" s="1"/>
  <c r="O185" i="13"/>
  <c r="O215" i="13" s="1"/>
  <c r="N192" i="13"/>
  <c r="N202" i="13" s="1"/>
  <c r="T180" i="13"/>
  <c r="T210" i="13" s="1"/>
  <c r="AE185" i="13"/>
  <c r="AE215" i="13" s="1"/>
  <c r="T236" i="13"/>
  <c r="Q41" i="13"/>
  <c r="Q71" i="13" s="1"/>
  <c r="Y114" i="13"/>
  <c r="Y116" i="13"/>
  <c r="Y119" i="13"/>
  <c r="Y120" i="13"/>
  <c r="Y117" i="13"/>
  <c r="Y112" i="13"/>
  <c r="Y113" i="13"/>
  <c r="Y118" i="13"/>
  <c r="Y115" i="13"/>
  <c r="P120" i="13"/>
  <c r="P113" i="13"/>
  <c r="P112" i="13"/>
  <c r="P115" i="13"/>
  <c r="P118" i="13"/>
  <c r="P114" i="13"/>
  <c r="P119" i="13"/>
  <c r="P116" i="13"/>
  <c r="P117" i="13"/>
  <c r="U124" i="13"/>
  <c r="U125" i="13" s="1"/>
  <c r="U44" i="13"/>
  <c r="U74" i="13" s="1"/>
  <c r="T185" i="13"/>
  <c r="T215" i="13" s="1"/>
  <c r="U180" i="13"/>
  <c r="U210" i="13" s="1"/>
  <c r="P185" i="13"/>
  <c r="P215" i="13" s="1"/>
  <c r="Y105" i="13"/>
  <c r="Y99" i="13"/>
  <c r="Y103" i="13"/>
  <c r="Y102" i="13"/>
  <c r="Y100" i="13"/>
  <c r="Y106" i="13"/>
  <c r="Y101" i="13"/>
  <c r="Y98" i="13"/>
  <c r="Y104" i="13"/>
  <c r="L120" i="13"/>
  <c r="L119" i="13"/>
  <c r="L113" i="13"/>
  <c r="L115" i="13"/>
  <c r="L118" i="13"/>
  <c r="L117" i="13"/>
  <c r="L114" i="13"/>
  <c r="L112" i="13"/>
  <c r="L116" i="13"/>
  <c r="Y184" i="13"/>
  <c r="Y214" i="13" s="1"/>
  <c r="N263" i="13"/>
  <c r="N264" i="13" s="1"/>
  <c r="N183" i="13"/>
  <c r="N213" i="13" s="1"/>
  <c r="O1008" i="8"/>
  <c r="O1009" i="8" s="1"/>
  <c r="AA117" i="13"/>
  <c r="AA116" i="13"/>
  <c r="AA115" i="13"/>
  <c r="AA118" i="13"/>
  <c r="AA114" i="13"/>
  <c r="AA112" i="13"/>
  <c r="AA119" i="13"/>
  <c r="AA113" i="13"/>
  <c r="AA120" i="13"/>
  <c r="P45" i="13"/>
  <c r="P75" i="13" s="1"/>
  <c r="L124" i="13"/>
  <c r="L125" i="13" s="1"/>
  <c r="L44" i="13"/>
  <c r="L74" i="13" s="1"/>
  <c r="AD1136" i="8"/>
  <c r="AD1137" i="8" s="1"/>
  <c r="Z740" i="8"/>
  <c r="Z741" i="8" s="1"/>
  <c r="X335" i="2"/>
  <c r="Y1140" i="8"/>
  <c r="Y1141" i="8" s="1"/>
  <c r="L728" i="8"/>
  <c r="L729" i="8" s="1"/>
  <c r="Q748" i="8"/>
  <c r="Q749" i="8" s="1"/>
  <c r="S728" i="8"/>
  <c r="S729" i="8" s="1"/>
  <c r="Q347" i="2"/>
  <c r="Q816" i="8" s="1"/>
  <c r="Q817" i="8" s="1"/>
  <c r="T104" i="13"/>
  <c r="T103" i="13"/>
  <c r="T106" i="13"/>
  <c r="T98" i="13"/>
  <c r="T99" i="13"/>
  <c r="T102" i="13"/>
  <c r="T101" i="13"/>
  <c r="T100" i="13"/>
  <c r="T105" i="13"/>
  <c r="P82" i="13"/>
  <c r="P83" i="13" s="1"/>
  <c r="P40" i="13"/>
  <c r="P50" i="13" s="1"/>
  <c r="X98" i="13"/>
  <c r="X100" i="13"/>
  <c r="X103" i="13"/>
  <c r="X101" i="13"/>
  <c r="X104" i="13"/>
  <c r="X102" i="13"/>
  <c r="X99" i="13"/>
  <c r="X105" i="13"/>
  <c r="X106" i="13"/>
  <c r="W57" i="13"/>
  <c r="W67" i="13" s="1"/>
  <c r="AC82" i="13"/>
  <c r="AC83" i="13" s="1"/>
  <c r="AC40" i="13"/>
  <c r="AC50" i="13" s="1"/>
  <c r="L263" i="13"/>
  <c r="L264" i="13" s="1"/>
  <c r="L183" i="13"/>
  <c r="L213" i="13" s="1"/>
  <c r="T46" i="13"/>
  <c r="T76" i="13" s="1"/>
  <c r="AE45" i="13"/>
  <c r="AE75" i="13" s="1"/>
  <c r="AC42" i="13"/>
  <c r="AC72" i="13" s="1"/>
  <c r="U46" i="13"/>
  <c r="U76" i="13" s="1"/>
  <c r="Q263" i="13"/>
  <c r="Q183" i="13"/>
  <c r="Q213" i="13" s="1"/>
  <c r="AC41" i="13"/>
  <c r="AC71" i="13" s="1"/>
  <c r="N1597" i="8"/>
  <c r="N237" i="13"/>
  <c r="N245" i="13"/>
  <c r="N243" i="13"/>
  <c r="N244" i="13"/>
  <c r="N241" i="13"/>
  <c r="N238" i="13"/>
  <c r="N239" i="13"/>
  <c r="N240" i="13"/>
  <c r="N242" i="13"/>
  <c r="AB102" i="13"/>
  <c r="AB99" i="13"/>
  <c r="AB104" i="13"/>
  <c r="AB98" i="13"/>
  <c r="AB105" i="13"/>
  <c r="AB100" i="13"/>
  <c r="AB101" i="13"/>
  <c r="AB106" i="13"/>
  <c r="AB103" i="13"/>
  <c r="AE42" i="13"/>
  <c r="AE72" i="13" s="1"/>
  <c r="T192" i="13"/>
  <c r="T202" i="13" s="1"/>
  <c r="O41" i="13"/>
  <c r="O71" i="13" s="1"/>
  <c r="AC185" i="13"/>
  <c r="AC215" i="13" s="1"/>
  <c r="P57" i="13"/>
  <c r="P67" i="13" s="1"/>
  <c r="AA236" i="13"/>
  <c r="Y45" i="13"/>
  <c r="Y75" i="13" s="1"/>
  <c r="AA42" i="13"/>
  <c r="AA72" i="13" s="1"/>
  <c r="AB181" i="13"/>
  <c r="AB211" i="13" s="1"/>
  <c r="Y53" i="13"/>
  <c r="Y63" i="13" s="1"/>
  <c r="AC45" i="13"/>
  <c r="AC75" i="13" s="1"/>
  <c r="Z42" i="13"/>
  <c r="Z72" i="13" s="1"/>
  <c r="W181" i="13"/>
  <c r="W211" i="13" s="1"/>
  <c r="AD53" i="13"/>
  <c r="AD63" i="13" s="1"/>
  <c r="AD82" i="13"/>
  <c r="AD83" i="13" s="1"/>
  <c r="AD40" i="13"/>
  <c r="AD50" i="13" s="1"/>
  <c r="S115" i="13"/>
  <c r="S119" i="13"/>
  <c r="S120" i="13"/>
  <c r="S112" i="13"/>
  <c r="S116" i="13"/>
  <c r="S114" i="13"/>
  <c r="S117" i="13"/>
  <c r="S118" i="13"/>
  <c r="S113" i="13"/>
  <c r="O1136" i="8"/>
  <c r="O1137" i="8" s="1"/>
  <c r="S42" i="13"/>
  <c r="S72" i="13" s="1"/>
  <c r="S181" i="13"/>
  <c r="S211" i="13" s="1"/>
  <c r="V221" i="13"/>
  <c r="V179" i="13"/>
  <c r="V189" i="13" s="1"/>
  <c r="AC196" i="13"/>
  <c r="AC206" i="13" s="1"/>
  <c r="N221" i="13"/>
  <c r="N222" i="13" s="1"/>
  <c r="N179" i="13"/>
  <c r="N189" i="13" s="1"/>
  <c r="V180" i="13"/>
  <c r="V210" i="13" s="1"/>
  <c r="Q221" i="13"/>
  <c r="Q179" i="13"/>
  <c r="U746" i="2"/>
  <c r="U1212" i="8" s="1"/>
  <c r="U1213" i="8" s="1"/>
  <c r="X744" i="8"/>
  <c r="X745" i="8" s="1"/>
  <c r="AA748" i="8"/>
  <c r="AA749" i="8" s="1"/>
  <c r="U1144" i="8"/>
  <c r="U1145" i="8" s="1"/>
  <c r="P180" i="13"/>
  <c r="P210" i="13" s="1"/>
  <c r="N185" i="13"/>
  <c r="N215" i="13" s="1"/>
  <c r="AA45" i="13"/>
  <c r="AA75" i="13" s="1"/>
  <c r="T42" i="13"/>
  <c r="T72" i="13" s="1"/>
  <c r="Y221" i="13"/>
  <c r="Y179" i="13"/>
  <c r="W119" i="13"/>
  <c r="W116" i="13"/>
  <c r="W112" i="13"/>
  <c r="W113" i="13"/>
  <c r="W117" i="13"/>
  <c r="W118" i="13"/>
  <c r="W115" i="13"/>
  <c r="W114" i="13"/>
  <c r="W120" i="13"/>
  <c r="AD181" i="13"/>
  <c r="AD211" i="13" s="1"/>
  <c r="N124" i="13"/>
  <c r="N125" i="13" s="1"/>
  <c r="N44" i="13"/>
  <c r="N74" i="13" s="1"/>
  <c r="O181" i="13"/>
  <c r="O211" i="13" s="1"/>
  <c r="AE117" i="13"/>
  <c r="AE113" i="13"/>
  <c r="AE115" i="13"/>
  <c r="AE120" i="13"/>
  <c r="AE114" i="13"/>
  <c r="AE112" i="13"/>
  <c r="AE119" i="13"/>
  <c r="AE118" i="13"/>
  <c r="AE116" i="13"/>
  <c r="O192" i="13"/>
  <c r="O202" i="13" s="1"/>
  <c r="Y180" i="13"/>
  <c r="Y210" i="13" s="1"/>
  <c r="M185" i="13"/>
  <c r="M215" i="13" s="1"/>
  <c r="AA99" i="13"/>
  <c r="AA100" i="13"/>
  <c r="AA104" i="13"/>
  <c r="AA106" i="13"/>
  <c r="AA105" i="13"/>
  <c r="AA103" i="13"/>
  <c r="AA102" i="13"/>
  <c r="AA101" i="13"/>
  <c r="AA98" i="13"/>
  <c r="O184" i="13"/>
  <c r="O214" i="13" s="1"/>
  <c r="Y124" i="13"/>
  <c r="Y125" i="13" s="1"/>
  <c r="Y44" i="13"/>
  <c r="Y74" i="13" s="1"/>
  <c r="P221" i="13"/>
  <c r="P222" i="13" s="1"/>
  <c r="P179" i="13"/>
  <c r="P189" i="13" s="1"/>
  <c r="S124" i="13"/>
  <c r="S125" i="13" s="1"/>
  <c r="S44" i="13"/>
  <c r="S74" i="13" s="1"/>
  <c r="W221" i="13"/>
  <c r="W179" i="13"/>
  <c r="AD102" i="13"/>
  <c r="AD101" i="13"/>
  <c r="AD99" i="13"/>
  <c r="AD103" i="13"/>
  <c r="AD105" i="13"/>
  <c r="AD104" i="13"/>
  <c r="AD106" i="13"/>
  <c r="AD98" i="13"/>
  <c r="AD100" i="13"/>
  <c r="L185" i="13"/>
  <c r="L215" i="13" s="1"/>
  <c r="Z82" i="13"/>
  <c r="Z83" i="13" s="1"/>
  <c r="Z40" i="13"/>
  <c r="Z50" i="13" s="1"/>
  <c r="U57" i="13"/>
  <c r="U67" i="13" s="1"/>
  <c r="AC53" i="13"/>
  <c r="AC63" i="13" s="1"/>
  <c r="AD250" i="13"/>
  <c r="R263" i="13"/>
  <c r="R183" i="13"/>
  <c r="R213" i="13" s="1"/>
  <c r="Z116" i="13"/>
  <c r="Z120" i="13"/>
  <c r="Z114" i="13"/>
  <c r="Z112" i="13"/>
  <c r="Z119" i="13"/>
  <c r="Z118" i="13"/>
  <c r="Z113" i="13"/>
  <c r="Z117" i="13"/>
  <c r="Z115" i="13"/>
  <c r="X346" i="2"/>
  <c r="X812" i="8" s="1"/>
  <c r="X813" i="8" s="1"/>
  <c r="U735" i="2"/>
  <c r="U728" i="8"/>
  <c r="U729" i="8" s="1"/>
  <c r="Y1144" i="8"/>
  <c r="Y1145" i="8" s="1"/>
  <c r="AB1120" i="8"/>
  <c r="AB1121" i="8" s="1"/>
  <c r="AE1120" i="8"/>
  <c r="AE1121" i="8" s="1"/>
  <c r="V1128" i="8"/>
  <c r="V1129" i="8" s="1"/>
  <c r="S258" i="2"/>
  <c r="F1500" i="8"/>
  <c r="AA221" i="13"/>
  <c r="AA179" i="13"/>
  <c r="AA189" i="13" s="1"/>
  <c r="AA41" i="13"/>
  <c r="AA71" i="13" s="1"/>
  <c r="W184" i="13"/>
  <c r="W214" i="13" s="1"/>
  <c r="Z46" i="13"/>
  <c r="Z76" i="13" s="1"/>
  <c r="P1598" i="8"/>
  <c r="P251" i="13"/>
  <c r="P255" i="13"/>
  <c r="P259" i="13"/>
  <c r="P257" i="13"/>
  <c r="P252" i="13"/>
  <c r="P253" i="13"/>
  <c r="P256" i="13"/>
  <c r="P258" i="13"/>
  <c r="P254" i="13"/>
  <c r="L1597" i="8"/>
  <c r="L237" i="13"/>
  <c r="L243" i="13"/>
  <c r="L240" i="13"/>
  <c r="L239" i="13"/>
  <c r="L241" i="13"/>
  <c r="L244" i="13"/>
  <c r="L238" i="13"/>
  <c r="L242" i="13"/>
  <c r="L245" i="13"/>
  <c r="S82" i="13"/>
  <c r="S83" i="13" s="1"/>
  <c r="S40" i="13"/>
  <c r="S50" i="13" s="1"/>
  <c r="O42" i="13"/>
  <c r="O72" i="13" s="1"/>
  <c r="P46" i="13"/>
  <c r="P76" i="13" s="1"/>
  <c r="S185" i="13"/>
  <c r="S215" i="13" s="1"/>
  <c r="X184" i="13"/>
  <c r="X214" i="13" s="1"/>
  <c r="AB41" i="13"/>
  <c r="AB71" i="13" s="1"/>
  <c r="O1597" i="8"/>
  <c r="O239" i="13"/>
  <c r="O240" i="13"/>
  <c r="O245" i="13"/>
  <c r="O242" i="13"/>
  <c r="O237" i="13"/>
  <c r="O241" i="13"/>
  <c r="O238" i="13"/>
  <c r="O243" i="13"/>
  <c r="O244" i="13"/>
  <c r="W45" i="13"/>
  <c r="W75" i="13" s="1"/>
  <c r="AE263" i="13"/>
  <c r="AE183" i="13"/>
  <c r="AE213" i="13" s="1"/>
  <c r="W180" i="13"/>
  <c r="W210" i="13" s="1"/>
  <c r="Z221" i="13"/>
  <c r="Z179" i="13"/>
  <c r="Z189" i="13" s="1"/>
  <c r="R112" i="13"/>
  <c r="R118" i="13"/>
  <c r="R114" i="13"/>
  <c r="R115" i="13"/>
  <c r="R119" i="13"/>
  <c r="R113" i="13"/>
  <c r="R120" i="13"/>
  <c r="R116" i="13"/>
  <c r="R117" i="13"/>
  <c r="X82" i="13"/>
  <c r="X83" i="13" s="1"/>
  <c r="X40" i="13"/>
  <c r="AA263" i="13"/>
  <c r="AA183" i="13"/>
  <c r="AA213" i="13" s="1"/>
  <c r="X181" i="13"/>
  <c r="X211" i="13" s="1"/>
  <c r="L82" i="13"/>
  <c r="L83" i="13" s="1"/>
  <c r="L40" i="13"/>
  <c r="L50" i="13" s="1"/>
  <c r="T263" i="13"/>
  <c r="T183" i="13"/>
  <c r="T213" i="13" s="1"/>
  <c r="Y181" i="13"/>
  <c r="Y211" i="13" s="1"/>
  <c r="T124" i="13"/>
  <c r="T125" i="13" s="1"/>
  <c r="T44" i="13"/>
  <c r="T74" i="13" s="1"/>
  <c r="W185" i="13"/>
  <c r="W215" i="13" s="1"/>
  <c r="U185" i="13"/>
  <c r="U215" i="13" s="1"/>
  <c r="V263" i="13"/>
  <c r="V183" i="13"/>
  <c r="V213" i="13" s="1"/>
  <c r="Q46" i="13"/>
  <c r="Q76" i="13" s="1"/>
  <c r="N318" i="2"/>
  <c r="N307" i="2" s="1"/>
  <c r="AC124" i="13"/>
  <c r="AC125" i="13" s="1"/>
  <c r="AC44" i="13"/>
  <c r="AC74" i="13" s="1"/>
  <c r="X124" i="13"/>
  <c r="X125" i="13" s="1"/>
  <c r="X44" i="13"/>
  <c r="X74" i="13" s="1"/>
  <c r="X616" i="8"/>
  <c r="X617" i="8" s="1"/>
  <c r="X1124" i="8"/>
  <c r="X1125" i="8" s="1"/>
  <c r="S259" i="2"/>
  <c r="Q259" i="2"/>
  <c r="P1597" i="8"/>
  <c r="P243" i="13"/>
  <c r="P240" i="13"/>
  <c r="P237" i="13"/>
  <c r="P238" i="13"/>
  <c r="P245" i="13"/>
  <c r="P244" i="13"/>
  <c r="P241" i="13"/>
  <c r="P242" i="13"/>
  <c r="P239" i="13"/>
  <c r="AA124" i="13"/>
  <c r="AA125" i="13" s="1"/>
  <c r="AA44" i="13"/>
  <c r="AA74" i="13" s="1"/>
  <c r="T221" i="13"/>
  <c r="T179" i="13"/>
  <c r="T189" i="13" s="1"/>
  <c r="R82" i="13"/>
  <c r="R83" i="13" s="1"/>
  <c r="R40" i="13"/>
  <c r="U42" i="13"/>
  <c r="U72" i="13" s="1"/>
  <c r="N181" i="13"/>
  <c r="N211" i="13" s="1"/>
  <c r="Q820" i="8"/>
  <c r="Q821" i="8" s="1"/>
  <c r="Q387" i="2"/>
  <c r="Q932" i="8" s="1"/>
  <c r="Q933" i="8" s="1"/>
  <c r="M45" i="13"/>
  <c r="M75" i="13" s="1"/>
  <c r="X42" i="13"/>
  <c r="X72" i="13" s="1"/>
  <c r="AC46" i="13"/>
  <c r="AC76" i="13" s="1"/>
  <c r="L45" i="13"/>
  <c r="L75" i="13" s="1"/>
  <c r="O124" i="13"/>
  <c r="O125" i="13" s="1"/>
  <c r="O44" i="13"/>
  <c r="O74" i="13" s="1"/>
  <c r="AC221" i="13"/>
  <c r="AC179" i="13"/>
  <c r="AC189" i="13" s="1"/>
  <c r="AD118" i="13"/>
  <c r="AD113" i="13"/>
  <c r="AD117" i="13"/>
  <c r="AD115" i="13"/>
  <c r="AD120" i="13"/>
  <c r="AD112" i="13"/>
  <c r="AD114" i="13"/>
  <c r="AD116" i="13"/>
  <c r="AD119" i="13"/>
  <c r="AB236" i="13"/>
  <c r="W82" i="13"/>
  <c r="W83" i="13" s="1"/>
  <c r="W40" i="13"/>
  <c r="W50" i="13" s="1"/>
  <c r="T82" i="13"/>
  <c r="T83" i="13" s="1"/>
  <c r="T40" i="13"/>
  <c r="T50" i="13" s="1"/>
  <c r="T45" i="13"/>
  <c r="T75" i="13" s="1"/>
  <c r="W42" i="13"/>
  <c r="W72" i="13" s="1"/>
  <c r="R181" i="13"/>
  <c r="R211" i="13" s="1"/>
  <c r="S45" i="13"/>
  <c r="S75" i="13" s="1"/>
  <c r="AE124" i="13"/>
  <c r="AE125" i="13" s="1"/>
  <c r="AE44" i="13"/>
  <c r="AE74" i="13" s="1"/>
  <c r="L221" i="13"/>
  <c r="L222" i="13" s="1"/>
  <c r="L179" i="13"/>
  <c r="L189" i="13" s="1"/>
  <c r="M105" i="13"/>
  <c r="M98" i="13"/>
  <c r="M99" i="13"/>
  <c r="M104" i="13"/>
  <c r="M102" i="13"/>
  <c r="M100" i="13"/>
  <c r="M106" i="13"/>
  <c r="M103" i="13"/>
  <c r="M101" i="13"/>
  <c r="Z124" i="13"/>
  <c r="Z125" i="13" s="1"/>
  <c r="Z44" i="13"/>
  <c r="Z74" i="13" s="1"/>
  <c r="X45" i="13"/>
  <c r="X75" i="13" s="1"/>
  <c r="AC180" i="13"/>
  <c r="AC210" i="13" s="1"/>
  <c r="AB180" i="13"/>
  <c r="AB210" i="13" s="1"/>
  <c r="L53" i="13"/>
  <c r="L63" i="13" s="1"/>
  <c r="S53" i="13"/>
  <c r="S63" i="13" s="1"/>
  <c r="N196" i="13"/>
  <c r="N206" i="13" s="1"/>
  <c r="U1016" i="8"/>
  <c r="U1017" i="8" s="1"/>
  <c r="Y732" i="8"/>
  <c r="Y733" i="8" s="1"/>
  <c r="N724" i="8"/>
  <c r="N725" i="8" s="1"/>
  <c r="Q258" i="2"/>
  <c r="O105" i="13"/>
  <c r="O103" i="13"/>
  <c r="O102" i="13"/>
  <c r="O98" i="13"/>
  <c r="O100" i="13"/>
  <c r="O101" i="13"/>
  <c r="O106" i="13"/>
  <c r="O104" i="13"/>
  <c r="O99" i="13"/>
  <c r="X250" i="13"/>
  <c r="Q180" i="13"/>
  <c r="Q210" i="13" s="1"/>
  <c r="M184" i="13"/>
  <c r="M214" i="13" s="1"/>
  <c r="AD45" i="13"/>
  <c r="AD75" i="13" s="1"/>
  <c r="S236" i="13"/>
  <c r="Y82" i="13"/>
  <c r="Y83" i="13" s="1"/>
  <c r="Y40" i="13"/>
  <c r="Y50" i="13" s="1"/>
  <c r="X263" i="13"/>
  <c r="X183" i="13"/>
  <c r="X213" i="13" s="1"/>
  <c r="N100" i="13"/>
  <c r="N102" i="13"/>
  <c r="N99" i="13"/>
  <c r="N101" i="13"/>
  <c r="N106" i="13"/>
  <c r="N103" i="13"/>
  <c r="N98" i="13"/>
  <c r="N104" i="13"/>
  <c r="N105" i="13"/>
  <c r="M221" i="13"/>
  <c r="M222" i="13" s="1"/>
  <c r="M179" i="13"/>
  <c r="M189" i="13" s="1"/>
  <c r="V57" i="13"/>
  <c r="V67" i="13" s="1"/>
  <c r="R42" i="13"/>
  <c r="R72" i="13" s="1"/>
  <c r="X192" i="13"/>
  <c r="X202" i="13" s="1"/>
  <c r="O82" i="13"/>
  <c r="O83" i="13" s="1"/>
  <c r="O40" i="13"/>
  <c r="U263" i="13"/>
  <c r="U183" i="13"/>
  <c r="U213" i="13" s="1"/>
  <c r="R124" i="13"/>
  <c r="R125" i="13" s="1"/>
  <c r="R44" i="13"/>
  <c r="R74" i="13" s="1"/>
  <c r="AE46" i="13"/>
  <c r="AE76" i="13" s="1"/>
  <c r="Q57" i="13"/>
  <c r="Q67" i="13" s="1"/>
  <c r="M196" i="13"/>
  <c r="M206" i="13" s="1"/>
  <c r="R41" i="13"/>
  <c r="R71" i="13" s="1"/>
  <c r="Q184" i="13"/>
  <c r="Q214" i="13" s="1"/>
  <c r="AD46" i="13"/>
  <c r="AD76" i="13" s="1"/>
  <c r="X41" i="13"/>
  <c r="X71" i="13" s="1"/>
  <c r="S184" i="13"/>
  <c r="S214" i="13" s="1"/>
  <c r="Y46" i="13"/>
  <c r="Y76" i="13" s="1"/>
  <c r="M53" i="13"/>
  <c r="M63" i="13" s="1"/>
  <c r="R184" i="13"/>
  <c r="R214" i="13" s="1"/>
  <c r="AA185" i="13"/>
  <c r="AA215" i="13" s="1"/>
  <c r="S41" i="13"/>
  <c r="S71" i="13" s="1"/>
  <c r="M180" i="13"/>
  <c r="M210" i="13" s="1"/>
  <c r="W102" i="13"/>
  <c r="W101" i="13"/>
  <c r="W105" i="13"/>
  <c r="W106" i="13"/>
  <c r="W103" i="13"/>
  <c r="W104" i="13"/>
  <c r="W99" i="13"/>
  <c r="W98" i="13"/>
  <c r="W100" i="13"/>
  <c r="S221" i="13"/>
  <c r="S179" i="13"/>
  <c r="S189" i="13" s="1"/>
  <c r="Q341" i="2"/>
  <c r="AB118" i="13"/>
  <c r="AB112" i="13"/>
  <c r="AB120" i="13"/>
  <c r="AB114" i="13"/>
  <c r="AB113" i="13"/>
  <c r="AB116" i="13"/>
  <c r="AB117" i="13"/>
  <c r="AB119" i="13"/>
  <c r="AB115" i="13"/>
  <c r="V45" i="13"/>
  <c r="V75" i="13" s="1"/>
  <c r="L42" i="13"/>
  <c r="L72" i="13" s="1"/>
  <c r="P181" i="13"/>
  <c r="P211" i="13" s="1"/>
  <c r="AE82" i="13"/>
  <c r="AE83" i="13" s="1"/>
  <c r="AE40" i="13"/>
  <c r="AE50" i="13" s="1"/>
  <c r="P263" i="13"/>
  <c r="P264" i="13" s="1"/>
  <c r="P183" i="13"/>
  <c r="P213" i="13" s="1"/>
  <c r="R46" i="13"/>
  <c r="R76" i="13" s="1"/>
  <c r="Q185" i="13"/>
  <c r="Q215" i="13" s="1"/>
  <c r="V119" i="13"/>
  <c r="V113" i="13"/>
  <c r="V120" i="13"/>
  <c r="V115" i="13"/>
  <c r="V117" i="13"/>
  <c r="V112" i="13"/>
  <c r="V116" i="13"/>
  <c r="V114" i="13"/>
  <c r="V118" i="13"/>
  <c r="AB82" i="13"/>
  <c r="AB83" i="13" s="1"/>
  <c r="AB40" i="13"/>
  <c r="M42" i="13"/>
  <c r="M72" i="13" s="1"/>
  <c r="O46" i="13"/>
  <c r="O76" i="13" s="1"/>
  <c r="Q45" i="13"/>
  <c r="Q75" i="13" s="1"/>
  <c r="P42" i="13"/>
  <c r="P72" i="13" s="1"/>
  <c r="AA181" i="13"/>
  <c r="AA211" i="13" s="1"/>
  <c r="M181" i="13"/>
  <c r="M211" i="13" s="1"/>
  <c r="Z180" i="13"/>
  <c r="Z210" i="13" s="1"/>
  <c r="Q112" i="13"/>
  <c r="Q113" i="13"/>
  <c r="Q117" i="13"/>
  <c r="Q119" i="13"/>
  <c r="Q115" i="13"/>
  <c r="Q114" i="13"/>
  <c r="Q120" i="13"/>
  <c r="Q116" i="13"/>
  <c r="Q118" i="13"/>
  <c r="AB45" i="13"/>
  <c r="AB75" i="13" s="1"/>
  <c r="S263" i="13"/>
  <c r="S183" i="13"/>
  <c r="S213" i="13" s="1"/>
  <c r="Z181" i="13"/>
  <c r="Z211" i="13" s="1"/>
  <c r="M1598" i="8"/>
  <c r="M256" i="13"/>
  <c r="M251" i="13"/>
  <c r="M259" i="13"/>
  <c r="M254" i="13"/>
  <c r="M258" i="13"/>
  <c r="M255" i="13"/>
  <c r="M253" i="13"/>
  <c r="M252" i="13"/>
  <c r="M257" i="13"/>
  <c r="N45" i="13"/>
  <c r="N75" i="13" s="1"/>
  <c r="AD42" i="13"/>
  <c r="AD72" i="13" s="1"/>
  <c r="Q181" i="13"/>
  <c r="Q211" i="13" s="1"/>
  <c r="X180" i="13"/>
  <c r="X210" i="13" s="1"/>
  <c r="L180" i="13"/>
  <c r="L210" i="13" s="1"/>
  <c r="X748" i="8"/>
  <c r="X749" i="8" s="1"/>
  <c r="L98" i="13"/>
  <c r="L100" i="13"/>
  <c r="L104" i="13"/>
  <c r="L103" i="13"/>
  <c r="L102" i="13"/>
  <c r="L105" i="13"/>
  <c r="L106" i="13"/>
  <c r="L101" i="13"/>
  <c r="L99" i="13"/>
  <c r="Z263" i="13"/>
  <c r="Z183" i="13"/>
  <c r="Z213" i="13" s="1"/>
  <c r="U192" i="13"/>
  <c r="U202" i="13" s="1"/>
  <c r="M46" i="13"/>
  <c r="M76" i="13" s="1"/>
  <c r="V185" i="13"/>
  <c r="V215" i="13" s="1"/>
  <c r="M1597" i="8"/>
  <c r="M243" i="13"/>
  <c r="M237" i="13"/>
  <c r="M240" i="13"/>
  <c r="M241" i="13"/>
  <c r="M242" i="13"/>
  <c r="M244" i="13"/>
  <c r="M239" i="13"/>
  <c r="M245" i="13"/>
  <c r="M238" i="13"/>
  <c r="V748" i="8"/>
  <c r="V749" i="8" s="1"/>
  <c r="X1144" i="8"/>
  <c r="X1145" i="8" s="1"/>
  <c r="V341" i="2"/>
  <c r="AB1124" i="8"/>
  <c r="AB1125" i="8" s="1"/>
  <c r="Q330" i="2"/>
  <c r="F1495" i="8"/>
  <c r="Y192" i="13"/>
  <c r="Y202" i="13" s="1"/>
  <c r="Q53" i="13"/>
  <c r="Q63" i="13" s="1"/>
  <c r="AA180" i="13"/>
  <c r="AA210" i="13" s="1"/>
  <c r="Z185" i="13"/>
  <c r="Z215" i="13" s="1"/>
  <c r="V41" i="13"/>
  <c r="V71" i="13" s="1"/>
  <c r="T184" i="13"/>
  <c r="T214" i="13" s="1"/>
  <c r="U45" i="13"/>
  <c r="U75" i="13" s="1"/>
  <c r="Z45" i="13"/>
  <c r="Z75" i="13" s="1"/>
  <c r="AC181" i="13"/>
  <c r="AC211" i="13" s="1"/>
  <c r="AD192" i="13"/>
  <c r="AD202" i="13" s="1"/>
  <c r="AB42" i="13"/>
  <c r="AB72" i="13" s="1"/>
  <c r="O117" i="13"/>
  <c r="O119" i="13"/>
  <c r="O112" i="13"/>
  <c r="O113" i="13"/>
  <c r="O118" i="13"/>
  <c r="O116" i="13"/>
  <c r="O115" i="13"/>
  <c r="O114" i="13"/>
  <c r="O120" i="13"/>
  <c r="W41" i="13"/>
  <c r="W71" i="13" s="1"/>
  <c r="P184" i="13"/>
  <c r="P214" i="13" s="1"/>
  <c r="Q236" i="13"/>
  <c r="AD124" i="13"/>
  <c r="AD125" i="13" s="1"/>
  <c r="AD44" i="13"/>
  <c r="AD74" i="13" s="1"/>
  <c r="R45" i="13"/>
  <c r="R75" i="13" s="1"/>
  <c r="Z41" i="13"/>
  <c r="Z71" i="13" s="1"/>
  <c r="V184" i="13"/>
  <c r="V214" i="13" s="1"/>
  <c r="S250" i="13"/>
  <c r="M41" i="13"/>
  <c r="M71" i="13" s="1"/>
  <c r="AD184" i="13"/>
  <c r="AD214" i="13" s="1"/>
  <c r="U53" i="13"/>
  <c r="U63" i="13" s="1"/>
  <c r="T181" i="13"/>
  <c r="T211" i="13" s="1"/>
  <c r="Q724" i="8"/>
  <c r="Q725" i="8" s="1"/>
  <c r="L184" i="13"/>
  <c r="L214" i="13" s="1"/>
  <c r="AD41" i="13"/>
  <c r="AD71" i="13" s="1"/>
  <c r="AA82" i="13"/>
  <c r="AA83" i="13" s="1"/>
  <c r="AA40" i="13"/>
  <c r="AA50" i="13" s="1"/>
  <c r="U259" i="2"/>
  <c r="R741" i="2"/>
  <c r="R1192" i="8" s="1"/>
  <c r="R1193" i="8" s="1"/>
  <c r="AD221" i="13"/>
  <c r="AD179" i="13"/>
  <c r="P105" i="13"/>
  <c r="P99" i="13"/>
  <c r="P101" i="13"/>
  <c r="P100" i="13"/>
  <c r="P98" i="13"/>
  <c r="P106" i="13"/>
  <c r="P104" i="13"/>
  <c r="P102" i="13"/>
  <c r="P103" i="13"/>
  <c r="Z1136" i="8"/>
  <c r="Z1137" i="8" s="1"/>
  <c r="AC1124" i="8"/>
  <c r="AC1125" i="8" s="1"/>
  <c r="V733" i="2"/>
  <c r="V724" i="8"/>
  <c r="V725" i="8" s="1"/>
  <c r="N1136" i="8"/>
  <c r="N1137" i="8" s="1"/>
  <c r="W1136" i="8"/>
  <c r="W1137" i="8" s="1"/>
  <c r="S336" i="2"/>
  <c r="U82" i="13"/>
  <c r="U83" i="13" s="1"/>
  <c r="U40" i="13"/>
  <c r="N42" i="13"/>
  <c r="N72" i="13" s="1"/>
  <c r="X46" i="13"/>
  <c r="X76" i="13" s="1"/>
  <c r="Y263" i="13"/>
  <c r="Y183" i="13"/>
  <c r="Y213" i="13" s="1"/>
  <c r="Y236" i="13"/>
  <c r="U41" i="13"/>
  <c r="U71" i="13" s="1"/>
  <c r="AE184" i="13"/>
  <c r="AE214" i="13" s="1"/>
  <c r="AA46" i="13"/>
  <c r="AA76" i="13" s="1"/>
  <c r="Q106" i="13"/>
  <c r="Q102" i="13"/>
  <c r="Q104" i="13"/>
  <c r="Q103" i="13"/>
  <c r="Q100" i="13"/>
  <c r="Q99" i="13"/>
  <c r="Q98" i="13"/>
  <c r="Q101" i="13"/>
  <c r="Q105" i="13"/>
  <c r="N114" i="13"/>
  <c r="N120" i="13"/>
  <c r="N115" i="13"/>
  <c r="N112" i="13"/>
  <c r="N118" i="13"/>
  <c r="N113" i="13"/>
  <c r="N119" i="13"/>
  <c r="N117" i="13"/>
  <c r="N116" i="13"/>
  <c r="Q82" i="13"/>
  <c r="Q83" i="13" s="1"/>
  <c r="Q40" i="13"/>
  <c r="Q50" i="13" s="1"/>
  <c r="O263" i="13"/>
  <c r="O264" i="13" s="1"/>
  <c r="O183" i="13"/>
  <c r="O213" i="13" s="1"/>
  <c r="AD236" i="13"/>
  <c r="N82" i="13"/>
  <c r="N83" i="13" s="1"/>
  <c r="N40" i="13"/>
  <c r="W263" i="13"/>
  <c r="W183" i="13"/>
  <c r="W213" i="13" s="1"/>
  <c r="L46" i="13"/>
  <c r="L76" i="13" s="1"/>
  <c r="M263" i="13"/>
  <c r="M264" i="13" s="1"/>
  <c r="M183" i="13"/>
  <c r="M213" i="13" s="1"/>
  <c r="L41" i="13"/>
  <c r="L71" i="13" s="1"/>
  <c r="AD263" i="13"/>
  <c r="AD183" i="13"/>
  <c r="AD213" i="13" s="1"/>
  <c r="N46" i="13"/>
  <c r="N76" i="13" s="1"/>
  <c r="V82" i="13"/>
  <c r="V83" i="13" s="1"/>
  <c r="V40" i="13"/>
  <c r="V50" i="13" s="1"/>
  <c r="AB263" i="13"/>
  <c r="AB183" i="13"/>
  <c r="AB213" i="13" s="1"/>
  <c r="V181" i="13"/>
  <c r="V211" i="13" s="1"/>
  <c r="U99" i="13"/>
  <c r="U101" i="13"/>
  <c r="U104" i="13"/>
  <c r="U106" i="13"/>
  <c r="U100" i="13"/>
  <c r="U103" i="13"/>
  <c r="U98" i="13"/>
  <c r="U102" i="13"/>
  <c r="U105" i="13"/>
  <c r="R376" i="2"/>
  <c r="R399" i="2"/>
  <c r="R976" i="8" s="1"/>
  <c r="R977" i="8" s="1"/>
  <c r="O776" i="8"/>
  <c r="O777" i="8" s="1"/>
  <c r="O357" i="2"/>
  <c r="O848" i="8" s="1"/>
  <c r="O849" i="8" s="1"/>
  <c r="V259" i="2"/>
  <c r="T876" i="8"/>
  <c r="T877" i="8" s="1"/>
  <c r="V258" i="2"/>
  <c r="L948" i="8"/>
  <c r="L949" i="8" s="1"/>
  <c r="L400" i="2"/>
  <c r="L1672" i="8" s="1"/>
  <c r="V359" i="2"/>
  <c r="V856" i="8" s="1"/>
  <c r="V857" i="8" s="1"/>
  <c r="N948" i="8"/>
  <c r="N949" i="8" s="1"/>
  <c r="N400" i="2"/>
  <c r="M896" i="8"/>
  <c r="M897" i="8" s="1"/>
  <c r="M381" i="2"/>
  <c r="N896" i="8"/>
  <c r="N897" i="8" s="1"/>
  <c r="N381" i="2"/>
  <c r="U355" i="2"/>
  <c r="U840" i="8" s="1"/>
  <c r="U841" i="8" s="1"/>
  <c r="M400" i="2"/>
  <c r="M948" i="8"/>
  <c r="M949" i="8" s="1"/>
  <c r="L896" i="8"/>
  <c r="L897" i="8" s="1"/>
  <c r="L381" i="2"/>
  <c r="U387" i="2"/>
  <c r="U932" i="8" s="1"/>
  <c r="U933" i="8" s="1"/>
  <c r="L924" i="8"/>
  <c r="L925" i="8" s="1"/>
  <c r="L390" i="2"/>
  <c r="F713" i="8"/>
  <c r="F1093" i="8"/>
  <c r="F717" i="8"/>
  <c r="F1105" i="8"/>
  <c r="F1113" i="8"/>
  <c r="F1089" i="8"/>
  <c r="F697" i="8"/>
  <c r="F701" i="8"/>
  <c r="M390" i="2"/>
  <c r="M924" i="8"/>
  <c r="M925" i="8" s="1"/>
  <c r="F693" i="8"/>
  <c r="F1097" i="8"/>
  <c r="F1109" i="8"/>
  <c r="N390" i="2"/>
  <c r="N924" i="8"/>
  <c r="N925" i="8" s="1"/>
  <c r="F709" i="8"/>
  <c r="V612" i="8"/>
  <c r="V613" i="8" s="1"/>
  <c r="V334" i="2"/>
  <c r="V49" i="14" s="1"/>
  <c r="V345" i="2"/>
  <c r="T389" i="2"/>
  <c r="V996" i="8"/>
  <c r="V997" i="8" s="1"/>
  <c r="V730" i="2"/>
  <c r="V253" i="14" s="1"/>
  <c r="V741" i="2"/>
  <c r="Y616" i="8"/>
  <c r="Y617" i="8" s="1"/>
  <c r="Y346" i="2"/>
  <c r="Y335" i="2"/>
  <c r="Y50" i="14" s="1"/>
  <c r="W1012" i="8"/>
  <c r="W1013" i="8" s="1"/>
  <c r="W745" i="2"/>
  <c r="W734" i="2"/>
  <c r="W257" i="14" s="1"/>
  <c r="V820" i="8"/>
  <c r="V821" i="8" s="1"/>
  <c r="V892" i="8"/>
  <c r="V893" i="8" s="1"/>
  <c r="W330" i="2"/>
  <c r="W341" i="2"/>
  <c r="W596" i="8"/>
  <c r="W597" i="8" s="1"/>
  <c r="W624" i="8"/>
  <c r="W625" i="8" s="1"/>
  <c r="W348" i="2"/>
  <c r="W337" i="2"/>
  <c r="W52" i="14" s="1"/>
  <c r="W992" i="8"/>
  <c r="W993" i="8" s="1"/>
  <c r="W729" i="2"/>
  <c r="W740" i="2"/>
  <c r="V784" i="8"/>
  <c r="V785" i="8" s="1"/>
  <c r="W1008" i="8"/>
  <c r="W1009" i="8" s="1"/>
  <c r="W744" i="2"/>
  <c r="W733" i="2"/>
  <c r="W256" i="14" s="1"/>
  <c r="X600" i="8"/>
  <c r="X601" i="8" s="1"/>
  <c r="X342" i="2"/>
  <c r="X331" i="2"/>
  <c r="X46" i="14" s="1"/>
  <c r="U1156" i="8"/>
  <c r="U1157" i="8" s="1"/>
  <c r="V620" i="8"/>
  <c r="V621" i="8" s="1"/>
  <c r="V347" i="2"/>
  <c r="V336" i="2"/>
  <c r="V51" i="14" s="1"/>
  <c r="U768" i="8"/>
  <c r="U769" i="8" s="1"/>
  <c r="W1180" i="8"/>
  <c r="W1181" i="8" s="1"/>
  <c r="W604" i="8"/>
  <c r="W605" i="8" s="1"/>
  <c r="W343" i="2"/>
  <c r="W332" i="2"/>
  <c r="W47" i="14" s="1"/>
  <c r="V1004" i="8"/>
  <c r="V1005" i="8" s="1"/>
  <c r="V732" i="2"/>
  <c r="V255" i="14" s="1"/>
  <c r="V743" i="2"/>
  <c r="V608" i="8"/>
  <c r="V609" i="8" s="1"/>
  <c r="V344" i="2"/>
  <c r="V333" i="2"/>
  <c r="V48" i="14" s="1"/>
  <c r="W1216" i="8"/>
  <c r="W1217" i="8" s="1"/>
  <c r="U1164" i="8"/>
  <c r="U1165" i="8" s="1"/>
  <c r="U804" i="8"/>
  <c r="U805" i="8" s="1"/>
  <c r="X1020" i="8"/>
  <c r="X1021" i="8" s="1"/>
  <c r="X747" i="2"/>
  <c r="X736" i="2"/>
  <c r="X259" i="14" s="1"/>
  <c r="U1200" i="8"/>
  <c r="U1201" i="8" s="1"/>
  <c r="V742" i="2"/>
  <c r="V1000" i="8"/>
  <c r="V1001" i="8" s="1"/>
  <c r="V731" i="2"/>
  <c r="V254" i="14" s="1"/>
  <c r="V1016" i="8"/>
  <c r="V1017" i="8" s="1"/>
  <c r="V735" i="2"/>
  <c r="V258" i="14" s="1"/>
  <c r="V746" i="2"/>
  <c r="M38" i="18" l="1"/>
  <c r="K41" i="18"/>
  <c r="T932" i="8"/>
  <c r="T933" i="8" s="1"/>
  <c r="H39" i="18"/>
  <c r="T940" i="8"/>
  <c r="T941" i="8" s="1"/>
  <c r="H40" i="18"/>
  <c r="L41" i="18"/>
  <c r="M37" i="18"/>
  <c r="N22" i="15"/>
  <c r="N24" i="15" s="1"/>
  <c r="N69" i="17"/>
  <c r="N84" i="17" s="1"/>
  <c r="L22" i="15"/>
  <c r="L24" i="15" s="1"/>
  <c r="L69" i="17"/>
  <c r="L84" i="17" s="1"/>
  <c r="M22" i="15"/>
  <c r="M1836" i="8" s="1"/>
  <c r="M69" i="17"/>
  <c r="M84" i="17" s="1"/>
  <c r="P45" i="14"/>
  <c r="F1843" i="8"/>
  <c r="W252" i="14"/>
  <c r="R908" i="8"/>
  <c r="R909" i="8" s="1"/>
  <c r="R61" i="15"/>
  <c r="T45" i="14"/>
  <c r="Q45" i="14"/>
  <c r="V45" i="14"/>
  <c r="W45" i="14"/>
  <c r="P1172" i="8"/>
  <c r="P1173" i="8" s="1"/>
  <c r="O376" i="2"/>
  <c r="O399" i="2"/>
  <c r="O976" i="8" s="1"/>
  <c r="O977" i="8" s="1"/>
  <c r="O1176" i="8"/>
  <c r="O1177" i="8" s="1"/>
  <c r="S1168" i="8"/>
  <c r="S1169" i="8" s="1"/>
  <c r="V756" i="8"/>
  <c r="V757" i="8" s="1"/>
  <c r="T357" i="2"/>
  <c r="T848" i="8" s="1"/>
  <c r="T849" i="8" s="1"/>
  <c r="T776" i="8"/>
  <c r="T777" i="8" s="1"/>
  <c r="S772" i="8"/>
  <c r="S773" i="8" s="1"/>
  <c r="S356" i="2"/>
  <c r="S844" i="8" s="1"/>
  <c r="S845" i="8" s="1"/>
  <c r="T376" i="2"/>
  <c r="G39" i="18" s="1"/>
  <c r="V352" i="2"/>
  <c r="V392" i="2" s="1"/>
  <c r="V948" i="8" s="1"/>
  <c r="V949" i="8" s="1"/>
  <c r="Q354" i="2"/>
  <c r="Q836" i="8" s="1"/>
  <c r="Q837" i="8" s="1"/>
  <c r="T378" i="2"/>
  <c r="G40" i="18" s="1"/>
  <c r="T395" i="2"/>
  <c r="T960" i="8" s="1"/>
  <c r="T961" i="8" s="1"/>
  <c r="S395" i="2"/>
  <c r="S960" i="8" s="1"/>
  <c r="S961" i="8" s="1"/>
  <c r="P358" i="2"/>
  <c r="P852" i="8" s="1"/>
  <c r="P853" i="8" s="1"/>
  <c r="P51" i="14"/>
  <c r="T123" i="14"/>
  <c r="AD330" i="14"/>
  <c r="N137" i="13"/>
  <c r="N199" i="14"/>
  <c r="O772" i="8"/>
  <c r="O773" i="8" s="1"/>
  <c r="S399" i="2"/>
  <c r="S976" i="8" s="1"/>
  <c r="S977" i="8" s="1"/>
  <c r="R378" i="2"/>
  <c r="Q358" i="2"/>
  <c r="Q852" i="8" s="1"/>
  <c r="Q853" i="8" s="1"/>
  <c r="Q51" i="14"/>
  <c r="O1152" i="8"/>
  <c r="O1153" i="8" s="1"/>
  <c r="O252" i="14"/>
  <c r="V1188" i="8"/>
  <c r="V1189" i="8" s="1"/>
  <c r="V327" i="14"/>
  <c r="P1156" i="8"/>
  <c r="P1157" i="8" s="1"/>
  <c r="P253" i="14"/>
  <c r="U123" i="14"/>
  <c r="AB330" i="14"/>
  <c r="N1705" i="8"/>
  <c r="N649" i="2"/>
  <c r="N1677" i="8" s="1"/>
  <c r="N366" i="14"/>
  <c r="N362" i="14"/>
  <c r="N370" i="14"/>
  <c r="N374" i="14"/>
  <c r="N394" i="14"/>
  <c r="N397" i="14" s="1"/>
  <c r="N404" i="14" s="1"/>
  <c r="N1712" i="8" s="1"/>
  <c r="N386" i="14"/>
  <c r="N390" i="14"/>
  <c r="N350" i="14"/>
  <c r="N354" i="14"/>
  <c r="N332" i="14"/>
  <c r="N358" i="14"/>
  <c r="N346" i="14"/>
  <c r="N382" i="14"/>
  <c r="N378" i="14"/>
  <c r="N342" i="14"/>
  <c r="N338" i="14"/>
  <c r="Z330" i="14"/>
  <c r="O358" i="2"/>
  <c r="O852" i="8" s="1"/>
  <c r="O853" i="8" s="1"/>
  <c r="O51" i="14"/>
  <c r="S376" i="2"/>
  <c r="T792" i="8"/>
  <c r="T793" i="8" s="1"/>
  <c r="T120" i="14"/>
  <c r="R256" i="14"/>
  <c r="R395" i="2"/>
  <c r="R960" i="8" s="1"/>
  <c r="R961" i="8" s="1"/>
  <c r="Q776" i="8"/>
  <c r="Q777" i="8" s="1"/>
  <c r="Q50" i="14"/>
  <c r="T1152" i="8"/>
  <c r="T1153" i="8" s="1"/>
  <c r="T252" i="14"/>
  <c r="U780" i="8"/>
  <c r="U781" i="8" s="1"/>
  <c r="U51" i="14"/>
  <c r="P354" i="2"/>
  <c r="P836" i="8" s="1"/>
  <c r="P837" i="8" s="1"/>
  <c r="P47" i="14"/>
  <c r="X330" i="14"/>
  <c r="Q330" i="14"/>
  <c r="Q1156" i="8"/>
  <c r="Q1157" i="8" s="1"/>
  <c r="Q253" i="14"/>
  <c r="P123" i="14"/>
  <c r="S1188" i="8"/>
  <c r="S1189" i="8" s="1"/>
  <c r="S327" i="14"/>
  <c r="V1152" i="8"/>
  <c r="V1153" i="8" s="1"/>
  <c r="V252" i="14"/>
  <c r="O123" i="14"/>
  <c r="Q772" i="8"/>
  <c r="Q773" i="8" s="1"/>
  <c r="Q49" i="14"/>
  <c r="M137" i="13"/>
  <c r="M199" i="14"/>
  <c r="M200" i="14" s="1"/>
  <c r="Q764" i="8"/>
  <c r="Q765" i="8" s="1"/>
  <c r="Q792" i="8"/>
  <c r="Q793" i="8" s="1"/>
  <c r="Q120" i="14"/>
  <c r="X776" i="8"/>
  <c r="X777" i="8" s="1"/>
  <c r="X50" i="14"/>
  <c r="O256" i="14"/>
  <c r="R764" i="8"/>
  <c r="R765" i="8" s="1"/>
  <c r="R47" i="14"/>
  <c r="R358" i="2"/>
  <c r="R852" i="8" s="1"/>
  <c r="R853" i="8" s="1"/>
  <c r="R51" i="14"/>
  <c r="U356" i="2"/>
  <c r="U396" i="2" s="1"/>
  <c r="U964" i="8" s="1"/>
  <c r="U965" i="8" s="1"/>
  <c r="U49" i="14"/>
  <c r="S756" i="8"/>
  <c r="S757" i="8" s="1"/>
  <c r="S45" i="14"/>
  <c r="R357" i="2"/>
  <c r="R848" i="8" s="1"/>
  <c r="R849" i="8" s="1"/>
  <c r="R50" i="14"/>
  <c r="S354" i="2"/>
  <c r="S836" i="8" s="1"/>
  <c r="S837" i="8" s="1"/>
  <c r="S47" i="14"/>
  <c r="O253" i="14"/>
  <c r="V123" i="14"/>
  <c r="AE123" i="14"/>
  <c r="Q123" i="14"/>
  <c r="AD123" i="14"/>
  <c r="U756" i="8"/>
  <c r="U757" i="8" s="1"/>
  <c r="U45" i="14"/>
  <c r="S1160" i="8"/>
  <c r="S1161" i="8" s="1"/>
  <c r="R1156" i="8"/>
  <c r="R1157" i="8" s="1"/>
  <c r="R253" i="14"/>
  <c r="U353" i="2"/>
  <c r="U393" i="2" s="1"/>
  <c r="U952" i="8" s="1"/>
  <c r="U953" i="8" s="1"/>
  <c r="U46" i="14"/>
  <c r="T354" i="2"/>
  <c r="T394" i="2" s="1"/>
  <c r="T956" i="8" s="1"/>
  <c r="T957" i="8" s="1"/>
  <c r="T47" i="14"/>
  <c r="Q1152" i="8"/>
  <c r="Q1153" i="8" s="1"/>
  <c r="Q252" i="14"/>
  <c r="T356" i="2"/>
  <c r="T844" i="8" s="1"/>
  <c r="T845" i="8" s="1"/>
  <c r="T49" i="14"/>
  <c r="P357" i="2"/>
  <c r="P50" i="14"/>
  <c r="R760" i="8"/>
  <c r="R761" i="8" s="1"/>
  <c r="R46" i="14"/>
  <c r="AC123" i="14"/>
  <c r="AA123" i="14"/>
  <c r="R330" i="14"/>
  <c r="AA330" i="14"/>
  <c r="U252" i="14"/>
  <c r="U1152" i="8"/>
  <c r="U1153" i="8" s="1"/>
  <c r="O356" i="2"/>
  <c r="O844" i="8" s="1"/>
  <c r="O845" i="8" s="1"/>
  <c r="O120" i="14"/>
  <c r="O1160" i="8"/>
  <c r="O1161" i="8" s="1"/>
  <c r="O254" i="14"/>
  <c r="S330" i="14"/>
  <c r="S358" i="2"/>
  <c r="S852" i="8" s="1"/>
  <c r="S853" i="8" s="1"/>
  <c r="S51" i="14"/>
  <c r="O354" i="2"/>
  <c r="O836" i="8" s="1"/>
  <c r="O837" i="8" s="1"/>
  <c r="U256" i="14"/>
  <c r="R1172" i="8"/>
  <c r="R1173" i="8" s="1"/>
  <c r="R257" i="14"/>
  <c r="T1188" i="8"/>
  <c r="T1189" i="8" s="1"/>
  <c r="T327" i="14"/>
  <c r="T257" i="14"/>
  <c r="AC330" i="14"/>
  <c r="O352" i="2"/>
  <c r="O828" i="8" s="1"/>
  <c r="O829" i="8" s="1"/>
  <c r="O45" i="14"/>
  <c r="P256" i="14"/>
  <c r="R123" i="14"/>
  <c r="L137" i="13"/>
  <c r="L199" i="14"/>
  <c r="L200" i="14" s="1"/>
  <c r="O764" i="8"/>
  <c r="O765" i="8" s="1"/>
  <c r="V353" i="2"/>
  <c r="V832" i="8" s="1"/>
  <c r="V833" i="8" s="1"/>
  <c r="V46" i="14"/>
  <c r="R772" i="8"/>
  <c r="R773" i="8" s="1"/>
  <c r="R49" i="14"/>
  <c r="P353" i="2"/>
  <c r="P832" i="8" s="1"/>
  <c r="P833" i="8" s="1"/>
  <c r="P46" i="14"/>
  <c r="U764" i="8"/>
  <c r="U765" i="8" s="1"/>
  <c r="U47" i="14"/>
  <c r="V1172" i="8"/>
  <c r="V1173" i="8" s="1"/>
  <c r="V257" i="14"/>
  <c r="O257" i="14"/>
  <c r="S378" i="2"/>
  <c r="V330" i="14"/>
  <c r="U792" i="8"/>
  <c r="U793" i="8" s="1"/>
  <c r="U120" i="14"/>
  <c r="P330" i="14"/>
  <c r="S123" i="14"/>
  <c r="W330" i="14"/>
  <c r="Y330" i="14"/>
  <c r="S357" i="2"/>
  <c r="S848" i="8" s="1"/>
  <c r="S849" i="8" s="1"/>
  <c r="S50" i="14"/>
  <c r="Q1188" i="8"/>
  <c r="Q1189" i="8" s="1"/>
  <c r="Q327" i="14"/>
  <c r="U1188" i="8"/>
  <c r="U1189" i="8" s="1"/>
  <c r="U327" i="14"/>
  <c r="O353" i="2"/>
  <c r="O832" i="8" s="1"/>
  <c r="O833" i="8" s="1"/>
  <c r="O46" i="14"/>
  <c r="R756" i="8"/>
  <c r="R757" i="8" s="1"/>
  <c r="R45" i="14"/>
  <c r="U254" i="14"/>
  <c r="M1705" i="8"/>
  <c r="M649" i="2"/>
  <c r="M1677" i="8" s="1"/>
  <c r="M378" i="14"/>
  <c r="M394" i="14"/>
  <c r="M397" i="14" s="1"/>
  <c r="M366" i="14"/>
  <c r="M386" i="14"/>
  <c r="M374" i="14"/>
  <c r="M370" i="14"/>
  <c r="M390" i="14"/>
  <c r="M382" i="14"/>
  <c r="M354" i="14"/>
  <c r="M332" i="14"/>
  <c r="M358" i="14"/>
  <c r="M350" i="14"/>
  <c r="M346" i="14"/>
  <c r="M342" i="14"/>
  <c r="M362" i="14"/>
  <c r="M338" i="14"/>
  <c r="O330" i="14"/>
  <c r="U330" i="14"/>
  <c r="AB123" i="14"/>
  <c r="S257" i="14"/>
  <c r="Z123" i="14"/>
  <c r="Q1172" i="8"/>
  <c r="Q1173" i="8" s="1"/>
  <c r="Q257" i="14"/>
  <c r="V256" i="14"/>
  <c r="V792" i="8"/>
  <c r="V793" i="8" s="1"/>
  <c r="V120" i="14"/>
  <c r="U258" i="14"/>
  <c r="O1188" i="8"/>
  <c r="O1189" i="8" s="1"/>
  <c r="O327" i="14"/>
  <c r="V776" i="8"/>
  <c r="V777" i="8" s="1"/>
  <c r="V50" i="14"/>
  <c r="P792" i="8"/>
  <c r="P793" i="8" s="1"/>
  <c r="P120" i="14"/>
  <c r="T1176" i="8"/>
  <c r="T1177" i="8" s="1"/>
  <c r="T258" i="14"/>
  <c r="S792" i="8"/>
  <c r="S793" i="8" s="1"/>
  <c r="S120" i="14"/>
  <c r="X123" i="14"/>
  <c r="R327" i="14"/>
  <c r="Y123" i="14"/>
  <c r="L1705" i="8"/>
  <c r="L394" i="14"/>
  <c r="L397" i="14" s="1"/>
  <c r="L404" i="14" s="1"/>
  <c r="L1712" i="8" s="1"/>
  <c r="L649" i="2"/>
  <c r="L1677" i="8" s="1"/>
  <c r="L370" i="14"/>
  <c r="L374" i="14"/>
  <c r="L382" i="14"/>
  <c r="L378" i="14"/>
  <c r="L342" i="14"/>
  <c r="L362" i="14"/>
  <c r="L390" i="14"/>
  <c r="L386" i="14"/>
  <c r="L354" i="14"/>
  <c r="L366" i="14"/>
  <c r="L358" i="14"/>
  <c r="L350" i="14"/>
  <c r="L346" i="14"/>
  <c r="L332" i="14"/>
  <c r="L338" i="14"/>
  <c r="U776" i="8"/>
  <c r="U777" i="8" s="1"/>
  <c r="U50" i="14"/>
  <c r="R792" i="8"/>
  <c r="R793" i="8" s="1"/>
  <c r="R120" i="14"/>
  <c r="W353" i="2"/>
  <c r="W832" i="8" s="1"/>
  <c r="W833" i="8" s="1"/>
  <c r="W46" i="14"/>
  <c r="L250" i="2"/>
  <c r="L1673" i="8" s="1"/>
  <c r="L187" i="14"/>
  <c r="L190" i="14" s="1"/>
  <c r="L159" i="14"/>
  <c r="L175" i="14"/>
  <c r="L147" i="14"/>
  <c r="L163" i="14"/>
  <c r="L179" i="14"/>
  <c r="L151" i="14"/>
  <c r="L171" i="14"/>
  <c r="L135" i="14"/>
  <c r="L183" i="14"/>
  <c r="L143" i="14"/>
  <c r="L131" i="14"/>
  <c r="L125" i="14"/>
  <c r="L139" i="14"/>
  <c r="L167" i="14"/>
  <c r="L155" i="14"/>
  <c r="T254" i="14"/>
  <c r="T358" i="2"/>
  <c r="T852" i="8" s="1"/>
  <c r="T853" i="8" s="1"/>
  <c r="T51" i="14"/>
  <c r="P1188" i="8"/>
  <c r="P1189" i="8" s="1"/>
  <c r="P327" i="14"/>
  <c r="T1156" i="8"/>
  <c r="T1157" i="8" s="1"/>
  <c r="T253" i="14"/>
  <c r="S258" i="14"/>
  <c r="W357" i="2"/>
  <c r="W848" i="8" s="1"/>
  <c r="W849" i="8" s="1"/>
  <c r="W50" i="14"/>
  <c r="P1168" i="8"/>
  <c r="P1169" i="8" s="1"/>
  <c r="R252" i="14"/>
  <c r="P252" i="14"/>
  <c r="Q258" i="14"/>
  <c r="T353" i="2"/>
  <c r="T832" i="8" s="1"/>
  <c r="T833" i="8" s="1"/>
  <c r="T46" i="14"/>
  <c r="V354" i="2"/>
  <c r="V394" i="2" s="1"/>
  <c r="V956" i="8" s="1"/>
  <c r="V957" i="8" s="1"/>
  <c r="V47" i="14"/>
  <c r="N1672" i="8"/>
  <c r="N122" i="14"/>
  <c r="W123" i="14"/>
  <c r="M250" i="2"/>
  <c r="M1673" i="8" s="1"/>
  <c r="M187" i="14"/>
  <c r="M190" i="14" s="1"/>
  <c r="M197" i="14" s="1"/>
  <c r="M159" i="14"/>
  <c r="M175" i="14"/>
  <c r="M147" i="14"/>
  <c r="M167" i="14"/>
  <c r="M139" i="14"/>
  <c r="M171" i="14"/>
  <c r="M135" i="14"/>
  <c r="M151" i="14"/>
  <c r="M183" i="14"/>
  <c r="M131" i="14"/>
  <c r="M179" i="14"/>
  <c r="M125" i="14"/>
  <c r="M155" i="14"/>
  <c r="M163" i="14"/>
  <c r="M143" i="14"/>
  <c r="P356" i="2"/>
  <c r="P844" i="8" s="1"/>
  <c r="P845" i="8" s="1"/>
  <c r="P49" i="14"/>
  <c r="T330" i="14"/>
  <c r="U257" i="14"/>
  <c r="R254" i="14"/>
  <c r="Q353" i="2"/>
  <c r="Q832" i="8" s="1"/>
  <c r="Q833" i="8" s="1"/>
  <c r="Q46" i="14"/>
  <c r="P1160" i="8"/>
  <c r="P1161" i="8" s="1"/>
  <c r="Q1168" i="8"/>
  <c r="Q1169" i="8" s="1"/>
  <c r="T1168" i="8"/>
  <c r="T1169" i="8" s="1"/>
  <c r="T256" i="14"/>
  <c r="R258" i="14"/>
  <c r="Q1160" i="8"/>
  <c r="Q1161" i="8" s="1"/>
  <c r="Q254" i="14"/>
  <c r="S252" i="14"/>
  <c r="AE330" i="14"/>
  <c r="M1672" i="8"/>
  <c r="S1176" i="8"/>
  <c r="S1177" i="8" s="1"/>
  <c r="O760" i="8"/>
  <c r="O761" i="8" s="1"/>
  <c r="R354" i="2"/>
  <c r="R836" i="8" s="1"/>
  <c r="R837" i="8" s="1"/>
  <c r="O371" i="2"/>
  <c r="O896" i="8" s="1"/>
  <c r="O897" i="8" s="1"/>
  <c r="V764" i="8"/>
  <c r="V765" i="8" s="1"/>
  <c r="P395" i="2"/>
  <c r="P960" i="8" s="1"/>
  <c r="P961" i="8" s="1"/>
  <c r="P378" i="2"/>
  <c r="S1152" i="8"/>
  <c r="S1153" i="8" s="1"/>
  <c r="T856" i="8"/>
  <c r="T857" i="8" s="1"/>
  <c r="R1176" i="8"/>
  <c r="R1177" i="8" s="1"/>
  <c r="R1597" i="8"/>
  <c r="U1176" i="8"/>
  <c r="U1177" i="8" s="1"/>
  <c r="AE257" i="13"/>
  <c r="T253" i="13"/>
  <c r="AE258" i="13"/>
  <c r="R1152" i="8"/>
  <c r="R1153" i="8" s="1"/>
  <c r="S352" i="2"/>
  <c r="S392" i="2" s="1"/>
  <c r="T257" i="13"/>
  <c r="AE254" i="13"/>
  <c r="R776" i="8"/>
  <c r="R777" i="8" s="1"/>
  <c r="R1168" i="8"/>
  <c r="R1169" i="8" s="1"/>
  <c r="T1598" i="8"/>
  <c r="V357" i="2"/>
  <c r="V848" i="8" s="1"/>
  <c r="V849" i="8" s="1"/>
  <c r="S764" i="8"/>
  <c r="S765" i="8" s="1"/>
  <c r="Q378" i="2"/>
  <c r="Q395" i="2"/>
  <c r="Q960" i="8" s="1"/>
  <c r="Q961" i="8" s="1"/>
  <c r="R353" i="2"/>
  <c r="R832" i="8" s="1"/>
  <c r="R833" i="8" s="1"/>
  <c r="P776" i="8"/>
  <c r="P777" i="8" s="1"/>
  <c r="T1172" i="8"/>
  <c r="T1173" i="8" s="1"/>
  <c r="R194" i="13"/>
  <c r="R204" i="13" s="1"/>
  <c r="M116" i="2"/>
  <c r="M51" i="8" s="1"/>
  <c r="M52" i="8" s="1"/>
  <c r="U760" i="8"/>
  <c r="U761" i="8" s="1"/>
  <c r="S780" i="8"/>
  <c r="S781" i="8" s="1"/>
  <c r="AA251" i="13"/>
  <c r="S776" i="8"/>
  <c r="S777" i="8" s="1"/>
  <c r="Q1176" i="8"/>
  <c r="Q1177" i="8" s="1"/>
  <c r="AA257" i="13"/>
  <c r="AA252" i="13"/>
  <c r="U1160" i="8"/>
  <c r="U1161" i="8" s="1"/>
  <c r="AA259" i="13"/>
  <c r="S1172" i="8"/>
  <c r="S1173" i="8" s="1"/>
  <c r="AA253" i="13"/>
  <c r="T780" i="8"/>
  <c r="T781" i="8" s="1"/>
  <c r="AA1598" i="8"/>
  <c r="S717" i="2"/>
  <c r="S706" i="2" s="1"/>
  <c r="S90" i="17" s="1"/>
  <c r="R1160" i="8"/>
  <c r="R1161" i="8" s="1"/>
  <c r="O378" i="2"/>
  <c r="R241" i="13"/>
  <c r="U357" i="2"/>
  <c r="U848" i="8" s="1"/>
  <c r="U849" i="8" s="1"/>
  <c r="Q376" i="2"/>
  <c r="P1152" i="8"/>
  <c r="P1153" i="8" s="1"/>
  <c r="O780" i="8"/>
  <c r="O781" i="8" s="1"/>
  <c r="O395" i="2"/>
  <c r="O960" i="8" s="1"/>
  <c r="O961" i="8" s="1"/>
  <c r="R242" i="13"/>
  <c r="O1172" i="8"/>
  <c r="O1173" i="8" s="1"/>
  <c r="T1160" i="8"/>
  <c r="T1161" i="8" s="1"/>
  <c r="R240" i="13"/>
  <c r="V256" i="13"/>
  <c r="R352" i="2"/>
  <c r="R828" i="8" s="1"/>
  <c r="R829" i="8" s="1"/>
  <c r="V253" i="13"/>
  <c r="U358" i="2"/>
  <c r="U852" i="8" s="1"/>
  <c r="U853" i="8" s="1"/>
  <c r="V1598" i="8"/>
  <c r="R737" i="2"/>
  <c r="R1184" i="8" s="1"/>
  <c r="R1185" i="8" s="1"/>
  <c r="P764" i="8"/>
  <c r="P765" i="8" s="1"/>
  <c r="R238" i="13"/>
  <c r="AE259" i="13"/>
  <c r="T386" i="2"/>
  <c r="T764" i="8"/>
  <c r="T765" i="8" s="1"/>
  <c r="P371" i="2"/>
  <c r="P896" i="8" s="1"/>
  <c r="P897" i="8" s="1"/>
  <c r="R245" i="13"/>
  <c r="AE251" i="13"/>
  <c r="Q737" i="2"/>
  <c r="Q1184" i="8" s="1"/>
  <c r="Q1185" i="8" s="1"/>
  <c r="R237" i="13"/>
  <c r="U772" i="8"/>
  <c r="U773" i="8" s="1"/>
  <c r="V258" i="13"/>
  <c r="V257" i="13"/>
  <c r="P737" i="2"/>
  <c r="P1184" i="8" s="1"/>
  <c r="P1185" i="8" s="1"/>
  <c r="F1121" i="8"/>
  <c r="P399" i="2"/>
  <c r="P976" i="8" s="1"/>
  <c r="P977" i="8" s="1"/>
  <c r="AD52" i="13"/>
  <c r="AD62" i="13" s="1"/>
  <c r="Z194" i="13"/>
  <c r="Z204" i="13" s="1"/>
  <c r="P386" i="2"/>
  <c r="P928" i="8" s="1"/>
  <c r="P929" i="8" s="1"/>
  <c r="P780" i="8"/>
  <c r="P781" i="8" s="1"/>
  <c r="S385" i="2"/>
  <c r="S924" i="8" s="1"/>
  <c r="S925" i="8" s="1"/>
  <c r="F733" i="8"/>
  <c r="V254" i="13"/>
  <c r="W244" i="13"/>
  <c r="AE256" i="13"/>
  <c r="Q52" i="13"/>
  <c r="Q62" i="13" s="1"/>
  <c r="Q760" i="8"/>
  <c r="Q761" i="8" s="1"/>
  <c r="P1176" i="8"/>
  <c r="P1177" i="8" s="1"/>
  <c r="T55" i="13"/>
  <c r="T65" i="13" s="1"/>
  <c r="R239" i="13"/>
  <c r="V259" i="13"/>
  <c r="W237" i="13"/>
  <c r="AE240" i="13"/>
  <c r="AE252" i="13"/>
  <c r="O1168" i="8"/>
  <c r="O1169" i="8" s="1"/>
  <c r="Q399" i="2"/>
  <c r="Q976" i="8" s="1"/>
  <c r="Q977" i="8" s="1"/>
  <c r="R243" i="13"/>
  <c r="V251" i="13"/>
  <c r="W241" i="13"/>
  <c r="AE244" i="13"/>
  <c r="AE253" i="13"/>
  <c r="T760" i="8"/>
  <c r="T761" i="8" s="1"/>
  <c r="U1168" i="8"/>
  <c r="U1169" i="8" s="1"/>
  <c r="Q357" i="2"/>
  <c r="Q848" i="8" s="1"/>
  <c r="Q849" i="8" s="1"/>
  <c r="P376" i="2"/>
  <c r="W243" i="13"/>
  <c r="AE242" i="13"/>
  <c r="AE255" i="13"/>
  <c r="W240" i="13"/>
  <c r="AE237" i="13"/>
  <c r="W239" i="13"/>
  <c r="AE243" i="13"/>
  <c r="T737" i="2"/>
  <c r="T1184" i="8" s="1"/>
  <c r="T1185" i="8" s="1"/>
  <c r="T259" i="13"/>
  <c r="W1597" i="8"/>
  <c r="AE245" i="13"/>
  <c r="W776" i="8"/>
  <c r="W777" i="8" s="1"/>
  <c r="AE1597" i="8"/>
  <c r="AB52" i="13"/>
  <c r="AB62" i="13" s="1"/>
  <c r="R52" i="13"/>
  <c r="R62" i="13" s="1"/>
  <c r="X193" i="13"/>
  <c r="X203" i="13" s="1"/>
  <c r="T254" i="13"/>
  <c r="T252" i="13"/>
  <c r="F1145" i="8"/>
  <c r="Y194" i="13"/>
  <c r="Y204" i="13" s="1"/>
  <c r="F741" i="8"/>
  <c r="O349" i="2"/>
  <c r="O824" i="8" s="1"/>
  <c r="O825" i="8" s="1"/>
  <c r="T284" i="2"/>
  <c r="O297" i="2"/>
  <c r="T385" i="2"/>
  <c r="AB262" i="13"/>
  <c r="AB264" i="13" s="1"/>
  <c r="Y262" i="13"/>
  <c r="Y264" i="13" s="1"/>
  <c r="R54" i="13"/>
  <c r="R64" i="13" s="1"/>
  <c r="N191" i="13"/>
  <c r="N201" i="13" s="1"/>
  <c r="Y54" i="13"/>
  <c r="Y64" i="13" s="1"/>
  <c r="M195" i="13"/>
  <c r="M205" i="13" s="1"/>
  <c r="F725" i="8"/>
  <c r="P338" i="2"/>
  <c r="P788" i="8" s="1"/>
  <c r="P789" i="8" s="1"/>
  <c r="V195" i="13"/>
  <c r="V205" i="13" s="1"/>
  <c r="Q257" i="13"/>
  <c r="Q193" i="13"/>
  <c r="Q203" i="13" s="1"/>
  <c r="U193" i="13"/>
  <c r="U203" i="13" s="1"/>
  <c r="O194" i="13"/>
  <c r="O204" i="13" s="1"/>
  <c r="S748" i="2"/>
  <c r="S1220" i="8" s="1"/>
  <c r="S1221" i="8" s="1"/>
  <c r="T349" i="2"/>
  <c r="T824" i="8" s="1"/>
  <c r="T825" i="8" s="1"/>
  <c r="X51" i="13"/>
  <c r="X61" i="13" s="1"/>
  <c r="AB252" i="13"/>
  <c r="T258" i="13"/>
  <c r="P748" i="2"/>
  <c r="P1220" i="8" s="1"/>
  <c r="P1221" i="8" s="1"/>
  <c r="T383" i="2"/>
  <c r="P696" i="2"/>
  <c r="T318" i="2"/>
  <c r="T307" i="2" s="1"/>
  <c r="S371" i="2"/>
  <c r="S896" i="8" s="1"/>
  <c r="S897" i="8" s="1"/>
  <c r="M191" i="13"/>
  <c r="M201" i="13" s="1"/>
  <c r="R254" i="13"/>
  <c r="R193" i="13"/>
  <c r="R203" i="13" s="1"/>
  <c r="T251" i="13"/>
  <c r="V54" i="13"/>
  <c r="V64" i="13" s="1"/>
  <c r="S737" i="2"/>
  <c r="S1184" i="8" s="1"/>
  <c r="S1185" i="8" s="1"/>
  <c r="W51" i="13"/>
  <c r="W61" i="13" s="1"/>
  <c r="AC191" i="13"/>
  <c r="AC201" i="13" s="1"/>
  <c r="O55" i="13"/>
  <c r="O65" i="13" s="1"/>
  <c r="U190" i="13"/>
  <c r="U200" i="13" s="1"/>
  <c r="Y195" i="13"/>
  <c r="Y205" i="13" s="1"/>
  <c r="U376" i="2"/>
  <c r="P760" i="8"/>
  <c r="P761" i="8" s="1"/>
  <c r="P683" i="2"/>
  <c r="P86" i="17" s="1"/>
  <c r="T772" i="8"/>
  <c r="T773" i="8" s="1"/>
  <c r="R253" i="13"/>
  <c r="T256" i="13"/>
  <c r="AC195" i="13"/>
  <c r="AC205" i="13" s="1"/>
  <c r="U54" i="13"/>
  <c r="U64" i="13" s="1"/>
  <c r="AB56" i="13"/>
  <c r="AB66" i="13" s="1"/>
  <c r="Q256" i="13"/>
  <c r="F1129" i="8"/>
  <c r="T371" i="2"/>
  <c r="T896" i="8" s="1"/>
  <c r="T897" i="8" s="1"/>
  <c r="P385" i="2"/>
  <c r="P924" i="8" s="1"/>
  <c r="P925" i="8" s="1"/>
  <c r="R257" i="13"/>
  <c r="P717" i="2"/>
  <c r="P706" i="2" s="1"/>
  <c r="P90" i="17" s="1"/>
  <c r="P349" i="2"/>
  <c r="P824" i="8" s="1"/>
  <c r="P825" i="8" s="1"/>
  <c r="O318" i="2"/>
  <c r="O307" i="2" s="1"/>
  <c r="P383" i="2"/>
  <c r="U856" i="8"/>
  <c r="U857" i="8" s="1"/>
  <c r="O338" i="2"/>
  <c r="O788" i="8" s="1"/>
  <c r="O789" i="8" s="1"/>
  <c r="U354" i="2"/>
  <c r="U836" i="8" s="1"/>
  <c r="U837" i="8" s="1"/>
  <c r="W262" i="13"/>
  <c r="W264" i="13" s="1"/>
  <c r="X237" i="13"/>
  <c r="L52" i="13"/>
  <c r="L62" i="13" s="1"/>
  <c r="S191" i="13"/>
  <c r="S201" i="13" s="1"/>
  <c r="F729" i="8"/>
  <c r="P54" i="13"/>
  <c r="P64" i="13" s="1"/>
  <c r="T748" i="2"/>
  <c r="T1220" i="8" s="1"/>
  <c r="T1221" i="8" s="1"/>
  <c r="S696" i="2"/>
  <c r="O756" i="8"/>
  <c r="O757" i="8" s="1"/>
  <c r="T297" i="2"/>
  <c r="V760" i="8"/>
  <c r="V761" i="8" s="1"/>
  <c r="Q1598" i="8"/>
  <c r="R258" i="13"/>
  <c r="W245" i="13"/>
  <c r="AE239" i="13"/>
  <c r="N194" i="13"/>
  <c r="N204" i="13" s="1"/>
  <c r="P193" i="13"/>
  <c r="P203" i="13" s="1"/>
  <c r="T193" i="13"/>
  <c r="T203" i="13" s="1"/>
  <c r="R1598" i="8"/>
  <c r="AE191" i="13"/>
  <c r="AE201" i="13" s="1"/>
  <c r="S683" i="2"/>
  <c r="S86" i="17" s="1"/>
  <c r="U748" i="2"/>
  <c r="U1220" i="8" s="1"/>
  <c r="U1221" i="8" s="1"/>
  <c r="T338" i="2"/>
  <c r="T788" i="8" s="1"/>
  <c r="T789" i="8" s="1"/>
  <c r="O385" i="2"/>
  <c r="O924" i="8" s="1"/>
  <c r="O925" i="8" s="1"/>
  <c r="O737" i="2"/>
  <c r="O1184" i="8" s="1"/>
  <c r="O1185" i="8" s="1"/>
  <c r="O383" i="2"/>
  <c r="S54" i="13"/>
  <c r="S64" i="13" s="1"/>
  <c r="AC193" i="13"/>
  <c r="AC203" i="13" s="1"/>
  <c r="F745" i="8"/>
  <c r="Z55" i="13"/>
  <c r="Z65" i="13" s="1"/>
  <c r="X52" i="13"/>
  <c r="X62" i="13" s="1"/>
  <c r="S383" i="2"/>
  <c r="N56" i="13"/>
  <c r="N66" i="13" s="1"/>
  <c r="O193" i="13"/>
  <c r="O203" i="13" s="1"/>
  <c r="AA256" i="13"/>
  <c r="AA195" i="13"/>
  <c r="AA205" i="13" s="1"/>
  <c r="V255" i="13"/>
  <c r="W238" i="13"/>
  <c r="O386" i="2"/>
  <c r="O928" i="8" s="1"/>
  <c r="O929" i="8" s="1"/>
  <c r="U1192" i="8"/>
  <c r="U1193" i="8" s="1"/>
  <c r="T696" i="2"/>
  <c r="Q349" i="2"/>
  <c r="Q824" i="8" s="1"/>
  <c r="Q825" i="8" s="1"/>
  <c r="Q254" i="13"/>
  <c r="S262" i="13"/>
  <c r="S264" i="13" s="1"/>
  <c r="AA254" i="13"/>
  <c r="P56" i="13"/>
  <c r="P66" i="13" s="1"/>
  <c r="V190" i="13"/>
  <c r="V200" i="13" s="1"/>
  <c r="V52" i="13"/>
  <c r="V62" i="13" s="1"/>
  <c r="V1168" i="8"/>
  <c r="V1169" i="8" s="1"/>
  <c r="T352" i="2"/>
  <c r="O792" i="8"/>
  <c r="O793" i="8" s="1"/>
  <c r="T683" i="2"/>
  <c r="T86" i="17" s="1"/>
  <c r="Q252" i="13"/>
  <c r="V194" i="13"/>
  <c r="V204" i="13" s="1"/>
  <c r="AC54" i="13"/>
  <c r="AC64" i="13" s="1"/>
  <c r="R255" i="13"/>
  <c r="T51" i="13"/>
  <c r="T61" i="13" s="1"/>
  <c r="T756" i="8"/>
  <c r="T757" i="8" s="1"/>
  <c r="S349" i="2"/>
  <c r="S824" i="8" s="1"/>
  <c r="S825" i="8" s="1"/>
  <c r="Q258" i="13"/>
  <c r="M122" i="2"/>
  <c r="N122" i="2" s="1"/>
  <c r="R256" i="13"/>
  <c r="AD195" i="13"/>
  <c r="AD205" i="13" s="1"/>
  <c r="Q251" i="13"/>
  <c r="R252" i="13"/>
  <c r="P190" i="13"/>
  <c r="P200" i="13" s="1"/>
  <c r="U352" i="2"/>
  <c r="U828" i="8" s="1"/>
  <c r="U829" i="8" s="1"/>
  <c r="Q356" i="2"/>
  <c r="Q844" i="8" s="1"/>
  <c r="Q845" i="8" s="1"/>
  <c r="S1156" i="8"/>
  <c r="S1157" i="8" s="1"/>
  <c r="P772" i="8"/>
  <c r="P773" i="8" s="1"/>
  <c r="X357" i="2"/>
  <c r="X848" i="8" s="1"/>
  <c r="X849" i="8" s="1"/>
  <c r="O284" i="2"/>
  <c r="M193" i="13"/>
  <c r="M203" i="13" s="1"/>
  <c r="Q255" i="13"/>
  <c r="AD123" i="13"/>
  <c r="M118" i="2"/>
  <c r="M22" i="12" s="1"/>
  <c r="X242" i="13"/>
  <c r="AA258" i="13"/>
  <c r="S194" i="13"/>
  <c r="S204" i="13" s="1"/>
  <c r="R251" i="13"/>
  <c r="AA55" i="13"/>
  <c r="AA65" i="13" s="1"/>
  <c r="AE241" i="13"/>
  <c r="O195" i="13"/>
  <c r="O205" i="13" s="1"/>
  <c r="N51" i="13"/>
  <c r="N61" i="13" s="1"/>
  <c r="Q253" i="13"/>
  <c r="U338" i="2"/>
  <c r="U788" i="8" s="1"/>
  <c r="U789" i="8" s="1"/>
  <c r="T717" i="2"/>
  <c r="T706" i="2" s="1"/>
  <c r="T90" i="17" s="1"/>
  <c r="P102" i="17" s="1"/>
  <c r="P756" i="8"/>
  <c r="P757" i="8" s="1"/>
  <c r="W195" i="13"/>
  <c r="W205" i="13" s="1"/>
  <c r="M182" i="2"/>
  <c r="M111" i="8" s="1"/>
  <c r="M112" i="8" s="1"/>
  <c r="AE51" i="13"/>
  <c r="AE61" i="13" s="1"/>
  <c r="Q683" i="2"/>
  <c r="Q86" i="17" s="1"/>
  <c r="AE194" i="13"/>
  <c r="AE204" i="13" s="1"/>
  <c r="Z195" i="13"/>
  <c r="Z205" i="13" s="1"/>
  <c r="X190" i="13"/>
  <c r="X200" i="13" s="1"/>
  <c r="Q1558" i="8"/>
  <c r="X244" i="13"/>
  <c r="AB251" i="13"/>
  <c r="R191" i="13"/>
  <c r="R201" i="13" s="1"/>
  <c r="U195" i="13"/>
  <c r="U205" i="13" s="1"/>
  <c r="T54" i="13"/>
  <c r="T64" i="13" s="1"/>
  <c r="O191" i="13"/>
  <c r="O201" i="13" s="1"/>
  <c r="S1558" i="8"/>
  <c r="Z1557" i="8"/>
  <c r="Y51" i="13"/>
  <c r="Y61" i="13" s="1"/>
  <c r="Z193" i="13"/>
  <c r="Z203" i="13" s="1"/>
  <c r="R385" i="2"/>
  <c r="R924" i="8" s="1"/>
  <c r="R925" i="8" s="1"/>
  <c r="AD262" i="13"/>
  <c r="AD264" i="13" s="1"/>
  <c r="U51" i="13"/>
  <c r="U61" i="13" s="1"/>
  <c r="AA190" i="13"/>
  <c r="AA200" i="13" s="1"/>
  <c r="Z191" i="13"/>
  <c r="Z201" i="13" s="1"/>
  <c r="X239" i="13"/>
  <c r="AB258" i="13"/>
  <c r="W52" i="13"/>
  <c r="W62" i="13" s="1"/>
  <c r="O1567" i="8"/>
  <c r="Y55" i="13"/>
  <c r="Y65" i="13" s="1"/>
  <c r="AC56" i="13"/>
  <c r="AC66" i="13" s="1"/>
  <c r="AB259" i="13"/>
  <c r="F1137" i="8"/>
  <c r="X1597" i="8"/>
  <c r="AB255" i="13"/>
  <c r="M178" i="2"/>
  <c r="M95" i="8" s="1"/>
  <c r="M96" i="8" s="1"/>
  <c r="V123" i="13"/>
  <c r="X1558" i="8"/>
  <c r="P352" i="2"/>
  <c r="U318" i="2"/>
  <c r="U307" i="2" s="1"/>
  <c r="N1557" i="8"/>
  <c r="AB253" i="13"/>
  <c r="AB254" i="13"/>
  <c r="AA123" i="13"/>
  <c r="R717" i="2"/>
  <c r="R706" i="2" s="1"/>
  <c r="R90" i="17" s="1"/>
  <c r="Q780" i="8"/>
  <c r="Q781" i="8" s="1"/>
  <c r="Q717" i="2"/>
  <c r="Q706" i="2" s="1"/>
  <c r="Q90" i="17" s="1"/>
  <c r="L51" i="13"/>
  <c r="L61" i="13" s="1"/>
  <c r="Y193" i="13"/>
  <c r="Y203" i="13" s="1"/>
  <c r="P194" i="13"/>
  <c r="P204" i="13" s="1"/>
  <c r="M121" i="2"/>
  <c r="M71" i="8" s="1"/>
  <c r="M72" i="8" s="1"/>
  <c r="AA191" i="13"/>
  <c r="AA201" i="13" s="1"/>
  <c r="P262" i="13"/>
  <c r="U262" i="13"/>
  <c r="U264" i="13" s="1"/>
  <c r="AB257" i="13"/>
  <c r="AE55" i="13"/>
  <c r="AE65" i="13" s="1"/>
  <c r="Q51" i="13"/>
  <c r="Q61" i="13" s="1"/>
  <c r="S56" i="13"/>
  <c r="S66" i="13" s="1"/>
  <c r="AC194" i="13"/>
  <c r="AC204" i="13" s="1"/>
  <c r="O190" i="13"/>
  <c r="O200" i="13" s="1"/>
  <c r="U297" i="2"/>
  <c r="R284" i="2"/>
  <c r="Q385" i="2"/>
  <c r="Q924" i="8" s="1"/>
  <c r="Q925" i="8" s="1"/>
  <c r="AD51" i="13"/>
  <c r="AD61" i="13" s="1"/>
  <c r="Q297" i="2"/>
  <c r="AB1598" i="8"/>
  <c r="M179" i="2"/>
  <c r="M35" i="12" s="1"/>
  <c r="R780" i="8"/>
  <c r="R781" i="8" s="1"/>
  <c r="X240" i="13"/>
  <c r="U683" i="2"/>
  <c r="U86" i="17" s="1"/>
  <c r="R297" i="2"/>
  <c r="U386" i="2"/>
  <c r="U928" i="8" s="1"/>
  <c r="U929" i="8" s="1"/>
  <c r="R338" i="2"/>
  <c r="R788" i="8" s="1"/>
  <c r="R789" i="8" s="1"/>
  <c r="P318" i="2"/>
  <c r="P307" i="2" s="1"/>
  <c r="R371" i="2"/>
  <c r="R896" i="8" s="1"/>
  <c r="R897" i="8" s="1"/>
  <c r="M119" i="2"/>
  <c r="M63" i="8" s="1"/>
  <c r="M64" i="8" s="1"/>
  <c r="L191" i="13"/>
  <c r="L201" i="13" s="1"/>
  <c r="P51" i="13"/>
  <c r="P61" i="13" s="1"/>
  <c r="Q696" i="2"/>
  <c r="R386" i="2"/>
  <c r="R928" i="8" s="1"/>
  <c r="R929" i="8" s="1"/>
  <c r="R318" i="2"/>
  <c r="R307" i="2" s="1"/>
  <c r="R683" i="2"/>
  <c r="R86" i="17" s="1"/>
  <c r="R356" i="2"/>
  <c r="R844" i="8" s="1"/>
  <c r="R845" i="8" s="1"/>
  <c r="AD194" i="13"/>
  <c r="AD204" i="13" s="1"/>
  <c r="F1125" i="8"/>
  <c r="X245" i="13"/>
  <c r="AE262" i="13"/>
  <c r="AE264" i="13" s="1"/>
  <c r="W194" i="13"/>
  <c r="W204" i="13" s="1"/>
  <c r="S123" i="13"/>
  <c r="O51" i="13"/>
  <c r="O61" i="13" s="1"/>
  <c r="AE195" i="13"/>
  <c r="AE205" i="13" s="1"/>
  <c r="X195" i="13"/>
  <c r="X205" i="13" s="1"/>
  <c r="U194" i="13"/>
  <c r="U204" i="13" s="1"/>
  <c r="R696" i="2"/>
  <c r="X243" i="13"/>
  <c r="S51" i="13"/>
  <c r="S61" i="13" s="1"/>
  <c r="U737" i="2"/>
  <c r="U1184" i="8" s="1"/>
  <c r="U1185" i="8" s="1"/>
  <c r="U696" i="2"/>
  <c r="Q748" i="2"/>
  <c r="Q1220" i="8" s="1"/>
  <c r="Q1221" i="8" s="1"/>
  <c r="P284" i="2"/>
  <c r="R383" i="2"/>
  <c r="AB193" i="13"/>
  <c r="AB203" i="13" s="1"/>
  <c r="X241" i="13"/>
  <c r="V55" i="13"/>
  <c r="V65" i="13" s="1"/>
  <c r="AE54" i="13"/>
  <c r="AE64" i="13" s="1"/>
  <c r="Q56" i="13"/>
  <c r="Q66" i="13" s="1"/>
  <c r="AA262" i="13"/>
  <c r="AA264" i="13" s="1"/>
  <c r="X194" i="13"/>
  <c r="X204" i="13" s="1"/>
  <c r="AA51" i="13"/>
  <c r="AA61" i="13" s="1"/>
  <c r="S284" i="2"/>
  <c r="F749" i="8"/>
  <c r="X55" i="13"/>
  <c r="X65" i="13" s="1"/>
  <c r="P297" i="2"/>
  <c r="R349" i="2"/>
  <c r="R824" i="8" s="1"/>
  <c r="R825" i="8" s="1"/>
  <c r="U1172" i="8"/>
  <c r="U1173" i="8" s="1"/>
  <c r="W193" i="13"/>
  <c r="W203" i="13" s="1"/>
  <c r="M56" i="13"/>
  <c r="M66" i="13" s="1"/>
  <c r="M190" i="13"/>
  <c r="M200" i="13" s="1"/>
  <c r="X262" i="13"/>
  <c r="X264" i="13" s="1"/>
  <c r="L55" i="13"/>
  <c r="L65" i="13" s="1"/>
  <c r="V262" i="13"/>
  <c r="V264" i="13" s="1"/>
  <c r="W55" i="13"/>
  <c r="W65" i="13" s="1"/>
  <c r="AC55" i="13"/>
  <c r="AC65" i="13" s="1"/>
  <c r="F1141" i="8"/>
  <c r="S190" i="13"/>
  <c r="S200" i="13" s="1"/>
  <c r="V199" i="13"/>
  <c r="AC199" i="13"/>
  <c r="L199" i="13"/>
  <c r="AA60" i="13"/>
  <c r="Z199" i="13"/>
  <c r="O199" i="13"/>
  <c r="T60" i="13"/>
  <c r="V60" i="13"/>
  <c r="Z60" i="13"/>
  <c r="R199" i="13"/>
  <c r="AE60" i="13"/>
  <c r="M199" i="13"/>
  <c r="U132" i="13"/>
  <c r="U134" i="13"/>
  <c r="U129" i="13"/>
  <c r="U128" i="13"/>
  <c r="U127" i="13"/>
  <c r="U133" i="13"/>
  <c r="U126" i="13"/>
  <c r="U131" i="13"/>
  <c r="U130" i="13"/>
  <c r="Z190" i="13"/>
  <c r="Z200" i="13" s="1"/>
  <c r="Q371" i="2"/>
  <c r="Q896" i="8" s="1"/>
  <c r="Q897" i="8" s="1"/>
  <c r="Q284" i="2"/>
  <c r="V1560" i="8"/>
  <c r="V89" i="13"/>
  <c r="V90" i="13"/>
  <c r="V87" i="13"/>
  <c r="V91" i="13"/>
  <c r="V84" i="13"/>
  <c r="V85" i="13"/>
  <c r="V88" i="13"/>
  <c r="V92" i="13"/>
  <c r="V86" i="13"/>
  <c r="X56" i="13"/>
  <c r="X66" i="13" s="1"/>
  <c r="AA1560" i="8"/>
  <c r="AA88" i="13"/>
  <c r="AA86" i="13"/>
  <c r="AA84" i="13"/>
  <c r="AA90" i="13"/>
  <c r="AA85" i="13"/>
  <c r="AA89" i="13"/>
  <c r="AA92" i="13"/>
  <c r="AA91" i="13"/>
  <c r="AA87" i="13"/>
  <c r="Z51" i="13"/>
  <c r="Z61" i="13" s="1"/>
  <c r="U55" i="13"/>
  <c r="U65" i="13" s="1"/>
  <c r="M120" i="2"/>
  <c r="V1558" i="8"/>
  <c r="R123" i="13"/>
  <c r="M1570" i="8"/>
  <c r="M1596" i="8"/>
  <c r="M223" i="13"/>
  <c r="M230" i="13"/>
  <c r="M231" i="13"/>
  <c r="M226" i="13"/>
  <c r="M229" i="13"/>
  <c r="M225" i="13"/>
  <c r="M224" i="13"/>
  <c r="M227" i="13"/>
  <c r="M228" i="13"/>
  <c r="Y1554" i="8"/>
  <c r="Y70" i="13"/>
  <c r="AB190" i="13"/>
  <c r="AB200" i="13" s="1"/>
  <c r="L1596" i="8"/>
  <c r="L1570" i="8"/>
  <c r="L226" i="13"/>
  <c r="L225" i="13"/>
  <c r="L230" i="13"/>
  <c r="L223" i="13"/>
  <c r="L229" i="13"/>
  <c r="L224" i="13"/>
  <c r="L227" i="13"/>
  <c r="L228" i="13"/>
  <c r="L231" i="13"/>
  <c r="M55" i="13"/>
  <c r="M65" i="13" s="1"/>
  <c r="AA54" i="13"/>
  <c r="AA64" i="13" s="1"/>
  <c r="V193" i="13"/>
  <c r="V203" i="13" s="1"/>
  <c r="X191" i="13"/>
  <c r="X201" i="13" s="1"/>
  <c r="AD1557" i="8"/>
  <c r="P1564" i="8"/>
  <c r="P209" i="13"/>
  <c r="AB191" i="13"/>
  <c r="AB201" i="13" s="1"/>
  <c r="L262" i="13"/>
  <c r="L54" i="13"/>
  <c r="L64" i="13" s="1"/>
  <c r="N193" i="13"/>
  <c r="N203" i="13" s="1"/>
  <c r="N190" i="13"/>
  <c r="N200" i="13" s="1"/>
  <c r="Y1598" i="8"/>
  <c r="Y256" i="13"/>
  <c r="Y257" i="13"/>
  <c r="Y255" i="13"/>
  <c r="Y253" i="13"/>
  <c r="Y258" i="13"/>
  <c r="Y252" i="13"/>
  <c r="Y254" i="13"/>
  <c r="Y251" i="13"/>
  <c r="Y259" i="13"/>
  <c r="O1570" i="8"/>
  <c r="O1596" i="8"/>
  <c r="O224" i="13"/>
  <c r="O223" i="13"/>
  <c r="O227" i="13"/>
  <c r="O228" i="13"/>
  <c r="O226" i="13"/>
  <c r="O225" i="13"/>
  <c r="O231" i="13"/>
  <c r="O229" i="13"/>
  <c r="O230" i="13"/>
  <c r="Z1597" i="8"/>
  <c r="Z244" i="13"/>
  <c r="Z242" i="13"/>
  <c r="Z245" i="13"/>
  <c r="Z238" i="13"/>
  <c r="Z241" i="13"/>
  <c r="Z243" i="13"/>
  <c r="Z237" i="13"/>
  <c r="Z240" i="13"/>
  <c r="Z239" i="13"/>
  <c r="N1568" i="8"/>
  <c r="U1597" i="8"/>
  <c r="U237" i="13"/>
  <c r="U244" i="13"/>
  <c r="U241" i="13"/>
  <c r="U238" i="13"/>
  <c r="U243" i="13"/>
  <c r="U242" i="13"/>
  <c r="U240" i="13"/>
  <c r="U239" i="13"/>
  <c r="U245" i="13"/>
  <c r="S193" i="13"/>
  <c r="S203" i="13" s="1"/>
  <c r="P191" i="13"/>
  <c r="P201" i="13" s="1"/>
  <c r="Y56" i="13"/>
  <c r="Y66" i="13" s="1"/>
  <c r="L132" i="13"/>
  <c r="L127" i="13"/>
  <c r="L130" i="13"/>
  <c r="L128" i="13"/>
  <c r="L133" i="13"/>
  <c r="L129" i="13"/>
  <c r="L126" i="13"/>
  <c r="L131" i="13"/>
  <c r="L134" i="13"/>
  <c r="AE1557" i="8"/>
  <c r="W56" i="13"/>
  <c r="W66" i="13" s="1"/>
  <c r="Q383" i="2"/>
  <c r="Y60" i="13"/>
  <c r="P199" i="13"/>
  <c r="L1599" i="8"/>
  <c r="L271" i="13"/>
  <c r="L273" i="13"/>
  <c r="L270" i="13"/>
  <c r="L265" i="13"/>
  <c r="L272" i="13"/>
  <c r="L266" i="13"/>
  <c r="L269" i="13"/>
  <c r="L267" i="13"/>
  <c r="L268" i="13"/>
  <c r="X1557" i="8"/>
  <c r="N1599" i="8"/>
  <c r="N265" i="13"/>
  <c r="N270" i="13"/>
  <c r="N269" i="13"/>
  <c r="N267" i="13"/>
  <c r="N268" i="13"/>
  <c r="N272" i="13"/>
  <c r="N273" i="13"/>
  <c r="N266" i="13"/>
  <c r="N271" i="13"/>
  <c r="L1558" i="8"/>
  <c r="M174" i="2"/>
  <c r="U209" i="13"/>
  <c r="U1564" i="8"/>
  <c r="M1558" i="8"/>
  <c r="W123" i="13"/>
  <c r="O1568" i="8"/>
  <c r="U383" i="2"/>
  <c r="U284" i="2"/>
  <c r="Q338" i="2"/>
  <c r="Q788" i="8" s="1"/>
  <c r="Q789" i="8" s="1"/>
  <c r="N52" i="13"/>
  <c r="N62" i="13" s="1"/>
  <c r="R55" i="13"/>
  <c r="R65" i="13" s="1"/>
  <c r="T194" i="13"/>
  <c r="T204" i="13" s="1"/>
  <c r="L1557" i="8"/>
  <c r="M114" i="2"/>
  <c r="AB55" i="13"/>
  <c r="AB65" i="13" s="1"/>
  <c r="R130" i="13"/>
  <c r="R134" i="13"/>
  <c r="R128" i="13"/>
  <c r="R133" i="13"/>
  <c r="R127" i="13"/>
  <c r="R129" i="13"/>
  <c r="R131" i="13"/>
  <c r="R132" i="13"/>
  <c r="R126" i="13"/>
  <c r="Y1560" i="8"/>
  <c r="Y87" i="13"/>
  <c r="Y86" i="13"/>
  <c r="Y90" i="13"/>
  <c r="Y92" i="13"/>
  <c r="Y91" i="13"/>
  <c r="Y85" i="13"/>
  <c r="Y88" i="13"/>
  <c r="Y89" i="13"/>
  <c r="Y84" i="13"/>
  <c r="O1557" i="8"/>
  <c r="AC190" i="13"/>
  <c r="AC200" i="13" s="1"/>
  <c r="AE123" i="13"/>
  <c r="W1554" i="8"/>
  <c r="W70" i="13"/>
  <c r="T123" i="13"/>
  <c r="W190" i="13"/>
  <c r="W200" i="13" s="1"/>
  <c r="Z1558" i="8"/>
  <c r="L195" i="13"/>
  <c r="L205" i="13" s="1"/>
  <c r="P1596" i="8"/>
  <c r="P1570" i="8"/>
  <c r="P227" i="13"/>
  <c r="P229" i="13"/>
  <c r="P230" i="13"/>
  <c r="P231" i="13"/>
  <c r="P226" i="13"/>
  <c r="P223" i="13"/>
  <c r="P224" i="13"/>
  <c r="P225" i="13"/>
  <c r="P228" i="13"/>
  <c r="W1558" i="8"/>
  <c r="AD1554" i="8"/>
  <c r="AD70" i="13"/>
  <c r="AA52" i="13"/>
  <c r="AA62" i="13" s="1"/>
  <c r="L193" i="13"/>
  <c r="L203" i="13" s="1"/>
  <c r="P1554" i="8"/>
  <c r="P70" i="13"/>
  <c r="P55" i="13"/>
  <c r="P65" i="13" s="1"/>
  <c r="M176" i="2"/>
  <c r="P123" i="13"/>
  <c r="AA194" i="13"/>
  <c r="AA204" i="13" s="1"/>
  <c r="U189" i="13"/>
  <c r="W54" i="13"/>
  <c r="W64" i="13" s="1"/>
  <c r="AC262" i="13"/>
  <c r="AC264" i="13" s="1"/>
  <c r="V1597" i="8"/>
  <c r="V244" i="13"/>
  <c r="V237" i="13"/>
  <c r="V238" i="13"/>
  <c r="V240" i="13"/>
  <c r="V242" i="13"/>
  <c r="V243" i="13"/>
  <c r="V245" i="13"/>
  <c r="V241" i="13"/>
  <c r="V239" i="13"/>
  <c r="AB195" i="13"/>
  <c r="AB205" i="13" s="1"/>
  <c r="AB194" i="13"/>
  <c r="AB204" i="13" s="1"/>
  <c r="Z1554" i="8"/>
  <c r="Z70" i="13"/>
  <c r="V1564" i="8"/>
  <c r="V209" i="13"/>
  <c r="AE1560" i="8"/>
  <c r="AE85" i="13"/>
  <c r="AE89" i="13"/>
  <c r="AE92" i="13"/>
  <c r="AE91" i="13"/>
  <c r="AE84" i="13"/>
  <c r="AE90" i="13"/>
  <c r="AE88" i="13"/>
  <c r="AE87" i="13"/>
  <c r="AE86" i="13"/>
  <c r="Q352" i="2"/>
  <c r="N1554" i="8"/>
  <c r="N70" i="13"/>
  <c r="U1554" i="8"/>
  <c r="U70" i="13"/>
  <c r="P1557" i="8"/>
  <c r="O1558" i="8"/>
  <c r="S1597" i="8"/>
  <c r="S241" i="13"/>
  <c r="S244" i="13"/>
  <c r="S238" i="13"/>
  <c r="S242" i="13"/>
  <c r="S240" i="13"/>
  <c r="S243" i="13"/>
  <c r="S237" i="13"/>
  <c r="S239" i="13"/>
  <c r="S245" i="13"/>
  <c r="W60" i="13"/>
  <c r="AA193" i="13"/>
  <c r="AA203" i="13" s="1"/>
  <c r="P1568" i="8"/>
  <c r="Y123" i="13"/>
  <c r="AD60" i="13"/>
  <c r="N1567" i="8"/>
  <c r="AC1554" i="8"/>
  <c r="AC70" i="13"/>
  <c r="P60" i="13"/>
  <c r="W130" i="13"/>
  <c r="W132" i="13"/>
  <c r="W127" i="13"/>
  <c r="W129" i="13"/>
  <c r="W128" i="13"/>
  <c r="W126" i="13"/>
  <c r="W134" i="13"/>
  <c r="W133" i="13"/>
  <c r="W131" i="13"/>
  <c r="Z1598" i="8"/>
  <c r="Z256" i="13"/>
  <c r="Z254" i="13"/>
  <c r="Z251" i="13"/>
  <c r="Z252" i="13"/>
  <c r="Z253" i="13"/>
  <c r="Z257" i="13"/>
  <c r="Z255" i="13"/>
  <c r="Z258" i="13"/>
  <c r="Z259" i="13"/>
  <c r="S353" i="2"/>
  <c r="S832" i="8" s="1"/>
  <c r="S833" i="8" s="1"/>
  <c r="N50" i="13"/>
  <c r="AE129" i="13"/>
  <c r="AE127" i="13"/>
  <c r="AE130" i="13"/>
  <c r="AE128" i="13"/>
  <c r="AE126" i="13"/>
  <c r="AE133" i="13"/>
  <c r="AE132" i="13"/>
  <c r="AE131" i="13"/>
  <c r="AE134" i="13"/>
  <c r="O123" i="13"/>
  <c r="X1554" i="8"/>
  <c r="X70" i="13"/>
  <c r="Q1564" i="8"/>
  <c r="Q209" i="13"/>
  <c r="AD1560" i="8"/>
  <c r="AD86" i="13"/>
  <c r="AD87" i="13"/>
  <c r="AD84" i="13"/>
  <c r="AD88" i="13"/>
  <c r="AD85" i="13"/>
  <c r="AD89" i="13"/>
  <c r="AD90" i="13"/>
  <c r="AD92" i="13"/>
  <c r="AD91" i="13"/>
  <c r="AC60" i="13"/>
  <c r="P1560" i="8"/>
  <c r="P91" i="13"/>
  <c r="P88" i="13"/>
  <c r="P85" i="13"/>
  <c r="P90" i="13"/>
  <c r="P87" i="13"/>
  <c r="P86" i="13"/>
  <c r="P92" i="13"/>
  <c r="P84" i="13"/>
  <c r="P89" i="13"/>
  <c r="M180" i="2"/>
  <c r="P133" i="13"/>
  <c r="P127" i="13"/>
  <c r="P126" i="13"/>
  <c r="P129" i="13"/>
  <c r="P130" i="13"/>
  <c r="P134" i="13"/>
  <c r="P131" i="13"/>
  <c r="P128" i="13"/>
  <c r="P132" i="13"/>
  <c r="Q1560" i="8"/>
  <c r="Q91" i="13"/>
  <c r="Q87" i="13"/>
  <c r="Q92" i="13"/>
  <c r="Q86" i="13"/>
  <c r="Q85" i="13"/>
  <c r="Q88" i="13"/>
  <c r="Q89" i="13"/>
  <c r="Q90" i="13"/>
  <c r="Q84" i="13"/>
  <c r="P1599" i="8"/>
  <c r="P266" i="13"/>
  <c r="P270" i="13"/>
  <c r="P265" i="13"/>
  <c r="P267" i="13"/>
  <c r="P272" i="13"/>
  <c r="P268" i="13"/>
  <c r="P271" i="13"/>
  <c r="P273" i="13"/>
  <c r="P269" i="13"/>
  <c r="S1560" i="8"/>
  <c r="S89" i="13"/>
  <c r="S90" i="13"/>
  <c r="S84" i="13"/>
  <c r="S91" i="13"/>
  <c r="S88" i="13"/>
  <c r="S92" i="13"/>
  <c r="S85" i="13"/>
  <c r="S87" i="13"/>
  <c r="S86" i="13"/>
  <c r="N55" i="13"/>
  <c r="N65" i="13" s="1"/>
  <c r="AE1554" i="8"/>
  <c r="AE70" i="13"/>
  <c r="Z1560" i="8"/>
  <c r="Z85" i="13"/>
  <c r="Z92" i="13"/>
  <c r="Z88" i="13"/>
  <c r="Z84" i="13"/>
  <c r="Z86" i="13"/>
  <c r="Z91" i="13"/>
  <c r="Z90" i="13"/>
  <c r="Z89" i="13"/>
  <c r="Z87" i="13"/>
  <c r="T1558" i="8"/>
  <c r="M1557" i="8"/>
  <c r="T1560" i="8"/>
  <c r="T91" i="13"/>
  <c r="T92" i="13"/>
  <c r="T86" i="13"/>
  <c r="T85" i="13"/>
  <c r="T89" i="13"/>
  <c r="T87" i="13"/>
  <c r="T90" i="13"/>
  <c r="T88" i="13"/>
  <c r="T84" i="13"/>
  <c r="AC1564" i="8"/>
  <c r="AC209" i="13"/>
  <c r="AA126" i="13"/>
  <c r="AA128" i="13"/>
  <c r="AA130" i="13"/>
  <c r="AA131" i="13"/>
  <c r="AA132" i="13"/>
  <c r="AA127" i="13"/>
  <c r="AA134" i="13"/>
  <c r="AA133" i="13"/>
  <c r="AA129" i="13"/>
  <c r="O696" i="2"/>
  <c r="Q756" i="8"/>
  <c r="Q757" i="8" s="1"/>
  <c r="N1558" i="8"/>
  <c r="AA56" i="13"/>
  <c r="AA66" i="13" s="1"/>
  <c r="U50" i="13"/>
  <c r="T191" i="13"/>
  <c r="T201" i="13" s="1"/>
  <c r="V51" i="13"/>
  <c r="V61" i="13" s="1"/>
  <c r="W1560" i="8"/>
  <c r="W90" i="13"/>
  <c r="W84" i="13"/>
  <c r="W86" i="13"/>
  <c r="W87" i="13"/>
  <c r="W89" i="13"/>
  <c r="W88" i="13"/>
  <c r="W92" i="13"/>
  <c r="W85" i="13"/>
  <c r="W91" i="13"/>
  <c r="X123" i="13"/>
  <c r="T131" i="13"/>
  <c r="T132" i="13"/>
  <c r="T126" i="13"/>
  <c r="T128" i="13"/>
  <c r="T129" i="13"/>
  <c r="T134" i="13"/>
  <c r="T133" i="13"/>
  <c r="T127" i="13"/>
  <c r="T130" i="13"/>
  <c r="U349" i="2"/>
  <c r="U824" i="8" s="1"/>
  <c r="U825" i="8" s="1"/>
  <c r="O683" i="2"/>
  <c r="O86" i="17" s="1"/>
  <c r="AD193" i="13"/>
  <c r="AD203" i="13" s="1"/>
  <c r="N1560" i="8"/>
  <c r="N90" i="13"/>
  <c r="N88" i="13"/>
  <c r="N85" i="13"/>
  <c r="N91" i="13"/>
  <c r="N84" i="13"/>
  <c r="N92" i="13"/>
  <c r="N87" i="13"/>
  <c r="N86" i="13"/>
  <c r="N89" i="13"/>
  <c r="U1560" i="8"/>
  <c r="U85" i="13"/>
  <c r="U84" i="13"/>
  <c r="U87" i="13"/>
  <c r="U86" i="13"/>
  <c r="U92" i="13"/>
  <c r="U91" i="13"/>
  <c r="U90" i="13"/>
  <c r="U88" i="13"/>
  <c r="U89" i="13"/>
  <c r="L194" i="13"/>
  <c r="L204" i="13" s="1"/>
  <c r="AD129" i="13"/>
  <c r="AD132" i="13"/>
  <c r="AD134" i="13"/>
  <c r="AD128" i="13"/>
  <c r="AD126" i="13"/>
  <c r="AD130" i="13"/>
  <c r="AD127" i="13"/>
  <c r="AD131" i="13"/>
  <c r="AD133" i="13"/>
  <c r="Z262" i="13"/>
  <c r="Z264" i="13" s="1"/>
  <c r="L190" i="13"/>
  <c r="L200" i="13" s="1"/>
  <c r="P52" i="13"/>
  <c r="P62" i="13" s="1"/>
  <c r="O56" i="13"/>
  <c r="O66" i="13" s="1"/>
  <c r="S1564" i="8"/>
  <c r="S209" i="13"/>
  <c r="AD56" i="13"/>
  <c r="AD66" i="13" s="1"/>
  <c r="AD55" i="13"/>
  <c r="AD65" i="13" s="1"/>
  <c r="Z123" i="13"/>
  <c r="AB1597" i="8"/>
  <c r="AB243" i="13"/>
  <c r="AB242" i="13"/>
  <c r="AB237" i="13"/>
  <c r="AB239" i="13"/>
  <c r="AB244" i="13"/>
  <c r="AB238" i="13"/>
  <c r="AB240" i="13"/>
  <c r="AB241" i="13"/>
  <c r="AB245" i="13"/>
  <c r="O54" i="13"/>
  <c r="O64" i="13" s="1"/>
  <c r="X54" i="13"/>
  <c r="X64" i="13" s="1"/>
  <c r="X50" i="13"/>
  <c r="AE193" i="13"/>
  <c r="AE203" i="13" s="1"/>
  <c r="AB51" i="13"/>
  <c r="AB61" i="13" s="1"/>
  <c r="S195" i="13"/>
  <c r="S205" i="13" s="1"/>
  <c r="Y130" i="13"/>
  <c r="Y129" i="13"/>
  <c r="Y131" i="13"/>
  <c r="Y133" i="13"/>
  <c r="Y127" i="13"/>
  <c r="Y132" i="13"/>
  <c r="Y134" i="13"/>
  <c r="Y128" i="13"/>
  <c r="Y126" i="13"/>
  <c r="N123" i="13"/>
  <c r="Y1564" i="8"/>
  <c r="Y209" i="13"/>
  <c r="S52" i="13"/>
  <c r="S62" i="13" s="1"/>
  <c r="AA1597" i="8"/>
  <c r="AA240" i="13"/>
  <c r="AA244" i="13"/>
  <c r="AA241" i="13"/>
  <c r="AA245" i="13"/>
  <c r="AA239" i="13"/>
  <c r="AA243" i="13"/>
  <c r="AA237" i="13"/>
  <c r="AA242" i="13"/>
  <c r="AA238" i="13"/>
  <c r="AB1557" i="8"/>
  <c r="AC1560" i="8"/>
  <c r="AC85" i="13"/>
  <c r="AC89" i="13"/>
  <c r="AC91" i="13"/>
  <c r="AC84" i="13"/>
  <c r="AC88" i="13"/>
  <c r="AC86" i="13"/>
  <c r="AC87" i="13"/>
  <c r="AC90" i="13"/>
  <c r="AC92" i="13"/>
  <c r="M177" i="2"/>
  <c r="P195" i="13"/>
  <c r="P205" i="13" s="1"/>
  <c r="P1558" i="8"/>
  <c r="T1597" i="8"/>
  <c r="T237" i="13"/>
  <c r="T238" i="13"/>
  <c r="T243" i="13"/>
  <c r="T245" i="13"/>
  <c r="T239" i="13"/>
  <c r="T240" i="13"/>
  <c r="T242" i="13"/>
  <c r="T241" i="13"/>
  <c r="T244" i="13"/>
  <c r="AB209" i="13"/>
  <c r="AB1564" i="8"/>
  <c r="Y52" i="13"/>
  <c r="Y62" i="13" s="1"/>
  <c r="X1564" i="8"/>
  <c r="X209" i="13"/>
  <c r="M1554" i="8"/>
  <c r="M70" i="13"/>
  <c r="V127" i="13"/>
  <c r="V129" i="13"/>
  <c r="V126" i="13"/>
  <c r="V128" i="13"/>
  <c r="V134" i="13"/>
  <c r="V130" i="13"/>
  <c r="V133" i="13"/>
  <c r="V131" i="13"/>
  <c r="V132" i="13"/>
  <c r="R1557" i="8"/>
  <c r="AC1558" i="8"/>
  <c r="AC1598" i="8"/>
  <c r="AC253" i="13"/>
  <c r="AC259" i="13"/>
  <c r="AC252" i="13"/>
  <c r="AC251" i="13"/>
  <c r="AC258" i="13"/>
  <c r="AC254" i="13"/>
  <c r="AC256" i="13"/>
  <c r="AC257" i="13"/>
  <c r="AC255" i="13"/>
  <c r="W1568" i="8"/>
  <c r="AA199" i="13"/>
  <c r="R1564" i="8"/>
  <c r="R209" i="13"/>
  <c r="AD54" i="13"/>
  <c r="AD64" i="13" s="1"/>
  <c r="O717" i="2"/>
  <c r="O706" i="2" s="1"/>
  <c r="O90" i="17" s="1"/>
  <c r="Q318" i="2"/>
  <c r="Q307" i="2" s="1"/>
  <c r="AD1597" i="8"/>
  <c r="AD238" i="13"/>
  <c r="AD240" i="13"/>
  <c r="AD243" i="13"/>
  <c r="AD237" i="13"/>
  <c r="AD244" i="13"/>
  <c r="AD239" i="13"/>
  <c r="AD242" i="13"/>
  <c r="AD245" i="13"/>
  <c r="AD241" i="13"/>
  <c r="Q1597" i="8"/>
  <c r="Q244" i="13"/>
  <c r="Q245" i="13"/>
  <c r="Q240" i="13"/>
  <c r="Q237" i="13"/>
  <c r="Q243" i="13"/>
  <c r="Q238" i="13"/>
  <c r="Q241" i="13"/>
  <c r="Q242" i="13"/>
  <c r="Q239" i="13"/>
  <c r="S199" i="13"/>
  <c r="O1554" i="8"/>
  <c r="O70" i="13"/>
  <c r="Z131" i="13"/>
  <c r="Z127" i="13"/>
  <c r="Z130" i="13"/>
  <c r="Z133" i="13"/>
  <c r="Z132" i="13"/>
  <c r="Z128" i="13"/>
  <c r="Z129" i="13"/>
  <c r="Z134" i="13"/>
  <c r="Z126" i="13"/>
  <c r="S55" i="13"/>
  <c r="S65" i="13" s="1"/>
  <c r="O134" i="13"/>
  <c r="O131" i="13"/>
  <c r="O126" i="13"/>
  <c r="O133" i="13"/>
  <c r="O128" i="13"/>
  <c r="O130" i="13"/>
  <c r="O127" i="13"/>
  <c r="O129" i="13"/>
  <c r="O132" i="13"/>
  <c r="U52" i="13"/>
  <c r="U62" i="13" s="1"/>
  <c r="X134" i="13"/>
  <c r="X128" i="13"/>
  <c r="X126" i="13"/>
  <c r="X132" i="13"/>
  <c r="X133" i="13"/>
  <c r="X130" i="13"/>
  <c r="X131" i="13"/>
  <c r="X129" i="13"/>
  <c r="X127" i="13"/>
  <c r="Y191" i="13"/>
  <c r="Y201" i="13" s="1"/>
  <c r="X1560" i="8"/>
  <c r="X90" i="13"/>
  <c r="X87" i="13"/>
  <c r="X88" i="13"/>
  <c r="X89" i="13"/>
  <c r="X86" i="13"/>
  <c r="X84" i="13"/>
  <c r="X85" i="13"/>
  <c r="X91" i="13"/>
  <c r="X92" i="13"/>
  <c r="Z56" i="13"/>
  <c r="Z66" i="13" s="1"/>
  <c r="R262" i="13"/>
  <c r="R264" i="13" s="1"/>
  <c r="Y190" i="13"/>
  <c r="Y200" i="13" s="1"/>
  <c r="N54" i="13"/>
  <c r="N64" i="13" s="1"/>
  <c r="Q189" i="13"/>
  <c r="AC51" i="13"/>
  <c r="AC61" i="13" s="1"/>
  <c r="AA1558" i="8"/>
  <c r="M175" i="2"/>
  <c r="U1558" i="8"/>
  <c r="AB189" i="13"/>
  <c r="X189" i="13"/>
  <c r="M50" i="13"/>
  <c r="V56" i="13"/>
  <c r="V66" i="13" s="1"/>
  <c r="V1557" i="8"/>
  <c r="AE190" i="13"/>
  <c r="AE200" i="13" s="1"/>
  <c r="L56" i="13"/>
  <c r="L66" i="13" s="1"/>
  <c r="AE56" i="13"/>
  <c r="AE66" i="13" s="1"/>
  <c r="N262" i="13"/>
  <c r="AC1597" i="8"/>
  <c r="AC237" i="13"/>
  <c r="AC242" i="13"/>
  <c r="AC243" i="13"/>
  <c r="AC245" i="13"/>
  <c r="AC241" i="13"/>
  <c r="AC239" i="13"/>
  <c r="AC238" i="13"/>
  <c r="AC240" i="13"/>
  <c r="AC244" i="13"/>
  <c r="S760" i="8"/>
  <c r="S761" i="8" s="1"/>
  <c r="R748" i="2"/>
  <c r="R1220" i="8" s="1"/>
  <c r="R1221" i="8" s="1"/>
  <c r="S338" i="2"/>
  <c r="S788" i="8" s="1"/>
  <c r="S789" i="8" s="1"/>
  <c r="U717" i="2"/>
  <c r="U706" i="2" s="1"/>
  <c r="U90" i="17" s="1"/>
  <c r="S386" i="2"/>
  <c r="S928" i="8" s="1"/>
  <c r="S929" i="8" s="1"/>
  <c r="O262" i="13"/>
  <c r="M1568" i="8"/>
  <c r="Q55" i="13"/>
  <c r="Q65" i="13" s="1"/>
  <c r="M52" i="13"/>
  <c r="M62" i="13" s="1"/>
  <c r="Q195" i="13"/>
  <c r="Q205" i="13" s="1"/>
  <c r="Q194" i="13"/>
  <c r="Q204" i="13" s="1"/>
  <c r="O50" i="13"/>
  <c r="M194" i="13"/>
  <c r="M204" i="13" s="1"/>
  <c r="Z54" i="13"/>
  <c r="Z64" i="13" s="1"/>
  <c r="R1554" i="8"/>
  <c r="R70" i="13"/>
  <c r="AC123" i="13"/>
  <c r="T262" i="13"/>
  <c r="T264" i="13" s="1"/>
  <c r="L1567" i="8"/>
  <c r="N130" i="13"/>
  <c r="N129" i="13"/>
  <c r="N128" i="13"/>
  <c r="N127" i="13"/>
  <c r="N134" i="13"/>
  <c r="N126" i="13"/>
  <c r="N133" i="13"/>
  <c r="N131" i="13"/>
  <c r="N132" i="13"/>
  <c r="Y189" i="13"/>
  <c r="W191" i="13"/>
  <c r="W201" i="13" s="1"/>
  <c r="Q262" i="13"/>
  <c r="Q264" i="13" s="1"/>
  <c r="U56" i="13"/>
  <c r="U66" i="13" s="1"/>
  <c r="M181" i="2"/>
  <c r="M1560" i="8"/>
  <c r="M90" i="13"/>
  <c r="M84" i="13"/>
  <c r="M85" i="13"/>
  <c r="M88" i="13"/>
  <c r="M87" i="13"/>
  <c r="M91" i="13"/>
  <c r="M86" i="13"/>
  <c r="M92" i="13"/>
  <c r="M89" i="13"/>
  <c r="AE1564" i="8"/>
  <c r="AE209" i="13"/>
  <c r="S1557" i="8"/>
  <c r="V1554" i="8"/>
  <c r="V70" i="13"/>
  <c r="T1554" i="8"/>
  <c r="T70" i="13"/>
  <c r="S134" i="13"/>
  <c r="S131" i="13"/>
  <c r="S133" i="13"/>
  <c r="S130" i="13"/>
  <c r="S126" i="13"/>
  <c r="S132" i="13"/>
  <c r="S129" i="13"/>
  <c r="S127" i="13"/>
  <c r="S128" i="13"/>
  <c r="T56" i="13"/>
  <c r="T66" i="13" s="1"/>
  <c r="AD190" i="13"/>
  <c r="AD200" i="13" s="1"/>
  <c r="U1557" i="8"/>
  <c r="Q386" i="2"/>
  <c r="Q928" i="8" s="1"/>
  <c r="Q929" i="8" s="1"/>
  <c r="O748" i="2"/>
  <c r="O1220" i="8" s="1"/>
  <c r="O1221" i="8" s="1"/>
  <c r="AD1564" i="8"/>
  <c r="AD209" i="13"/>
  <c r="M115" i="2"/>
  <c r="AB1554" i="8"/>
  <c r="AB70" i="13"/>
  <c r="O1560" i="8"/>
  <c r="O90" i="13"/>
  <c r="O88" i="13"/>
  <c r="O86" i="13"/>
  <c r="O89" i="13"/>
  <c r="O85" i="13"/>
  <c r="O92" i="13"/>
  <c r="O87" i="13"/>
  <c r="O84" i="13"/>
  <c r="O91" i="13"/>
  <c r="R1560" i="8"/>
  <c r="R84" i="13"/>
  <c r="R85" i="13"/>
  <c r="R91" i="13"/>
  <c r="R89" i="13"/>
  <c r="R92" i="13"/>
  <c r="R90" i="13"/>
  <c r="R88" i="13"/>
  <c r="R86" i="13"/>
  <c r="R87" i="13"/>
  <c r="P1567" i="8"/>
  <c r="W1564" i="8"/>
  <c r="W209" i="13"/>
  <c r="AA1557" i="8"/>
  <c r="Q123" i="13"/>
  <c r="L1568" i="8"/>
  <c r="M123" i="13"/>
  <c r="AB123" i="13"/>
  <c r="AA1554" i="8"/>
  <c r="AA70" i="13"/>
  <c r="M1564" i="8"/>
  <c r="M209" i="13"/>
  <c r="L1564" i="8"/>
  <c r="L209" i="13"/>
  <c r="N195" i="13"/>
  <c r="N205" i="13" s="1"/>
  <c r="AE52" i="13"/>
  <c r="AE62" i="13" s="1"/>
  <c r="S318" i="2"/>
  <c r="S307" i="2" s="1"/>
  <c r="S297" i="2"/>
  <c r="V191" i="13"/>
  <c r="V201" i="13" s="1"/>
  <c r="M262" i="13"/>
  <c r="O1599" i="8"/>
  <c r="O267" i="13"/>
  <c r="O265" i="13"/>
  <c r="O271" i="13"/>
  <c r="O266" i="13"/>
  <c r="O272" i="13"/>
  <c r="O269" i="13"/>
  <c r="O273" i="13"/>
  <c r="O268" i="13"/>
  <c r="O270" i="13"/>
  <c r="Y1597" i="8"/>
  <c r="Y239" i="13"/>
  <c r="Y245" i="13"/>
  <c r="Y237" i="13"/>
  <c r="Y243" i="13"/>
  <c r="Y242" i="13"/>
  <c r="Y238" i="13"/>
  <c r="Y241" i="13"/>
  <c r="Y244" i="13"/>
  <c r="Y240" i="13"/>
  <c r="AD189" i="13"/>
  <c r="M51" i="13"/>
  <c r="M61" i="13" s="1"/>
  <c r="M117" i="2"/>
  <c r="Q191" i="13"/>
  <c r="Q201" i="13" s="1"/>
  <c r="AB1560" i="8"/>
  <c r="AB90" i="13"/>
  <c r="AB91" i="13"/>
  <c r="AB85" i="13"/>
  <c r="AB84" i="13"/>
  <c r="AB87" i="13"/>
  <c r="AB89" i="13"/>
  <c r="AB92" i="13"/>
  <c r="AB88" i="13"/>
  <c r="AB86" i="13"/>
  <c r="R56" i="13"/>
  <c r="R66" i="13" s="1"/>
  <c r="W1557" i="8"/>
  <c r="R51" i="13"/>
  <c r="R61" i="13" s="1"/>
  <c r="Q190" i="13"/>
  <c r="Q200" i="13" s="1"/>
  <c r="AD1558" i="8"/>
  <c r="R50" i="13"/>
  <c r="AC127" i="13"/>
  <c r="AC134" i="13"/>
  <c r="AC129" i="13"/>
  <c r="AC130" i="13"/>
  <c r="AC132" i="13"/>
  <c r="AC126" i="13"/>
  <c r="AC128" i="13"/>
  <c r="AC131" i="13"/>
  <c r="AC133" i="13"/>
  <c r="O52" i="13"/>
  <c r="O62" i="13" s="1"/>
  <c r="AD1598" i="8"/>
  <c r="AD256" i="13"/>
  <c r="AD252" i="13"/>
  <c r="AD258" i="13"/>
  <c r="AD259" i="13"/>
  <c r="AD254" i="13"/>
  <c r="AD257" i="13"/>
  <c r="AD253" i="13"/>
  <c r="AD255" i="13"/>
  <c r="AD251" i="13"/>
  <c r="W189" i="13"/>
  <c r="AD191" i="13"/>
  <c r="AD201" i="13" s="1"/>
  <c r="T52" i="13"/>
  <c r="T62" i="13" s="1"/>
  <c r="N1564" i="8"/>
  <c r="N209" i="13"/>
  <c r="Z52" i="13"/>
  <c r="Z62" i="13" s="1"/>
  <c r="AC52" i="13"/>
  <c r="AC62" i="13" s="1"/>
  <c r="T195" i="13"/>
  <c r="T205" i="13" s="1"/>
  <c r="T190" i="13"/>
  <c r="T200" i="13" s="1"/>
  <c r="R190" i="13"/>
  <c r="R200" i="13" s="1"/>
  <c r="Q54" i="13"/>
  <c r="Q64" i="13" s="1"/>
  <c r="M54" i="13"/>
  <c r="M64" i="13" s="1"/>
  <c r="AB54" i="13"/>
  <c r="AB64" i="13" s="1"/>
  <c r="U191" i="13"/>
  <c r="U201" i="13" s="1"/>
  <c r="AE189" i="13"/>
  <c r="R195" i="13"/>
  <c r="R205" i="13" s="1"/>
  <c r="Z1564" i="8"/>
  <c r="Z209" i="13"/>
  <c r="L123" i="13"/>
  <c r="O1564" i="8"/>
  <c r="O209" i="13"/>
  <c r="M1599" i="8"/>
  <c r="M267" i="13"/>
  <c r="M271" i="13"/>
  <c r="M269" i="13"/>
  <c r="M265" i="13"/>
  <c r="M272" i="13"/>
  <c r="M273" i="13"/>
  <c r="M270" i="13"/>
  <c r="M266" i="13"/>
  <c r="M268" i="13"/>
  <c r="Q1554" i="8"/>
  <c r="Q70" i="13"/>
  <c r="Q1557" i="8"/>
  <c r="S1598" i="8"/>
  <c r="S252" i="13"/>
  <c r="S255" i="13"/>
  <c r="S257" i="13"/>
  <c r="S251" i="13"/>
  <c r="S259" i="13"/>
  <c r="S256" i="13"/>
  <c r="S258" i="13"/>
  <c r="S253" i="13"/>
  <c r="S254" i="13"/>
  <c r="AB50" i="13"/>
  <c r="X1598" i="8"/>
  <c r="X252" i="13"/>
  <c r="X254" i="13"/>
  <c r="X257" i="13"/>
  <c r="X259" i="13"/>
  <c r="X258" i="13"/>
  <c r="X253" i="13"/>
  <c r="X256" i="13"/>
  <c r="X251" i="13"/>
  <c r="X255" i="13"/>
  <c r="T209" i="13"/>
  <c r="T1564" i="8"/>
  <c r="L1554" i="8"/>
  <c r="L70" i="13"/>
  <c r="S1554" i="8"/>
  <c r="S70" i="13"/>
  <c r="N199" i="13"/>
  <c r="T1557" i="8"/>
  <c r="Y1557" i="8"/>
  <c r="U123" i="13"/>
  <c r="Q133" i="13"/>
  <c r="Q131" i="13"/>
  <c r="Q129" i="13"/>
  <c r="Q128" i="13"/>
  <c r="Q132" i="13"/>
  <c r="Q130" i="13"/>
  <c r="Q127" i="13"/>
  <c r="Q134" i="13"/>
  <c r="Q126" i="13"/>
  <c r="M133" i="13"/>
  <c r="M131" i="13"/>
  <c r="M132" i="13"/>
  <c r="M127" i="13"/>
  <c r="M126" i="13"/>
  <c r="M134" i="13"/>
  <c r="M130" i="13"/>
  <c r="M128" i="13"/>
  <c r="M129" i="13"/>
  <c r="AB134" i="13"/>
  <c r="AB130" i="13"/>
  <c r="AB126" i="13"/>
  <c r="AB128" i="13"/>
  <c r="AB132" i="13"/>
  <c r="AB129" i="13"/>
  <c r="AB127" i="13"/>
  <c r="AB131" i="13"/>
  <c r="AB133" i="13"/>
  <c r="L1560" i="8"/>
  <c r="L87" i="13"/>
  <c r="L92" i="13"/>
  <c r="L90" i="13"/>
  <c r="L89" i="13"/>
  <c r="L88" i="13"/>
  <c r="L85" i="13"/>
  <c r="L91" i="13"/>
  <c r="L86" i="13"/>
  <c r="L84" i="13"/>
  <c r="Q60" i="13"/>
  <c r="M1567" i="8"/>
  <c r="AB1558" i="8"/>
  <c r="T199" i="13"/>
  <c r="L60" i="13"/>
  <c r="R1558" i="8"/>
  <c r="S60" i="13"/>
  <c r="AA1564" i="8"/>
  <c r="AA209" i="13"/>
  <c r="AE1558" i="8"/>
  <c r="N1570" i="8"/>
  <c r="N1596" i="8"/>
  <c r="N227" i="13"/>
  <c r="N226" i="13"/>
  <c r="N224" i="13"/>
  <c r="N225" i="13"/>
  <c r="N229" i="13"/>
  <c r="N223" i="13"/>
  <c r="N228" i="13"/>
  <c r="N231" i="13"/>
  <c r="N230" i="13"/>
  <c r="Y1558" i="8"/>
  <c r="U1598" i="8"/>
  <c r="U257" i="13"/>
  <c r="U255" i="13"/>
  <c r="U251" i="13"/>
  <c r="U258" i="13"/>
  <c r="U259" i="13"/>
  <c r="U253" i="13"/>
  <c r="U252" i="13"/>
  <c r="U256" i="13"/>
  <c r="U254" i="13"/>
  <c r="AC1557" i="8"/>
  <c r="V717" i="2"/>
  <c r="V706" i="2" s="1"/>
  <c r="V90" i="17" s="1"/>
  <c r="O397" i="2"/>
  <c r="O968" i="8" s="1"/>
  <c r="O969" i="8" s="1"/>
  <c r="V318" i="2"/>
  <c r="V307" i="2" s="1"/>
  <c r="L1434" i="8"/>
  <c r="L328" i="2"/>
  <c r="N1434" i="8"/>
  <c r="N328" i="2"/>
  <c r="M1434" i="8"/>
  <c r="M328" i="2"/>
  <c r="V297" i="2"/>
  <c r="W259" i="2"/>
  <c r="V696" i="2"/>
  <c r="V284" i="2"/>
  <c r="U395" i="2"/>
  <c r="U960" i="8" s="1"/>
  <c r="U961" i="8" s="1"/>
  <c r="V683" i="2"/>
  <c r="V86" i="17" s="1"/>
  <c r="W258" i="2"/>
  <c r="V399" i="2"/>
  <c r="V383" i="2"/>
  <c r="V376" i="2"/>
  <c r="X868" i="8"/>
  <c r="X869" i="8" s="1"/>
  <c r="W892" i="8"/>
  <c r="W893" i="8" s="1"/>
  <c r="U876" i="8"/>
  <c r="U877" i="8" s="1"/>
  <c r="N980" i="8"/>
  <c r="N981" i="8" s="1"/>
  <c r="N1432" i="8"/>
  <c r="N1431" i="8"/>
  <c r="M944" i="8"/>
  <c r="M380" i="2"/>
  <c r="M70" i="17" s="1"/>
  <c r="N944" i="8"/>
  <c r="N380" i="2"/>
  <c r="N70" i="17" s="1"/>
  <c r="U378" i="2"/>
  <c r="W352" i="2"/>
  <c r="W392" i="2" s="1"/>
  <c r="Y357" i="2"/>
  <c r="Y848" i="8" s="1"/>
  <c r="Y849" i="8" s="1"/>
  <c r="X353" i="2"/>
  <c r="X393" i="2" s="1"/>
  <c r="M1431" i="8"/>
  <c r="M1432" i="8"/>
  <c r="M980" i="8"/>
  <c r="M981" i="8" s="1"/>
  <c r="W359" i="2"/>
  <c r="W856" i="8" s="1"/>
  <c r="W857" i="8" s="1"/>
  <c r="V356" i="2"/>
  <c r="V396" i="2" s="1"/>
  <c r="L980" i="8"/>
  <c r="L981" i="8" s="1"/>
  <c r="L1431" i="8"/>
  <c r="L1432" i="8"/>
  <c r="W354" i="2"/>
  <c r="W836" i="8" s="1"/>
  <c r="W837" i="8" s="1"/>
  <c r="V358" i="2"/>
  <c r="V852" i="8" s="1"/>
  <c r="V853" i="8" s="1"/>
  <c r="L944" i="8"/>
  <c r="L380" i="2"/>
  <c r="L70" i="17" s="1"/>
  <c r="V737" i="2"/>
  <c r="V1184" i="8" s="1"/>
  <c r="V1185" i="8" s="1"/>
  <c r="V338" i="2"/>
  <c r="V788" i="8" s="1"/>
  <c r="V789" i="8" s="1"/>
  <c r="V355" i="2"/>
  <c r="V840" i="8" s="1"/>
  <c r="V841" i="8" s="1"/>
  <c r="V349" i="2"/>
  <c r="V824" i="8" s="1"/>
  <c r="V825" i="8" s="1"/>
  <c r="V808" i="8"/>
  <c r="V809" i="8" s="1"/>
  <c r="V880" i="8"/>
  <c r="V881" i="8" s="1"/>
  <c r="V772" i="8"/>
  <c r="V773" i="8" s="1"/>
  <c r="W334" i="2"/>
  <c r="W49" i="14" s="1"/>
  <c r="W345" i="2"/>
  <c r="W612" i="8"/>
  <c r="W613" i="8" s="1"/>
  <c r="V386" i="2"/>
  <c r="V928" i="8" s="1"/>
  <c r="V929" i="8" s="1"/>
  <c r="U385" i="2"/>
  <c r="U924" i="8" s="1"/>
  <c r="U925" i="8" s="1"/>
  <c r="W1152" i="8"/>
  <c r="W1153" i="8" s="1"/>
  <c r="V1196" i="8"/>
  <c r="V1197" i="8" s="1"/>
  <c r="W1204" i="8"/>
  <c r="W1205" i="8" s="1"/>
  <c r="X992" i="8"/>
  <c r="X993" i="8" s="1"/>
  <c r="X740" i="2"/>
  <c r="X729" i="2"/>
  <c r="W1168" i="8"/>
  <c r="W1169" i="8" s="1"/>
  <c r="W1000" i="8"/>
  <c r="W1001" i="8" s="1"/>
  <c r="W742" i="2"/>
  <c r="W731" i="2"/>
  <c r="W254" i="14" s="1"/>
  <c r="V768" i="8"/>
  <c r="V769" i="8" s="1"/>
  <c r="W764" i="8"/>
  <c r="W765" i="8" s="1"/>
  <c r="V804" i="8"/>
  <c r="V805" i="8" s="1"/>
  <c r="V876" i="8"/>
  <c r="V877" i="8" s="1"/>
  <c r="W784" i="8"/>
  <c r="W785" i="8" s="1"/>
  <c r="W1172" i="8"/>
  <c r="W1173" i="8" s="1"/>
  <c r="X1180" i="8"/>
  <c r="X1181" i="8" s="1"/>
  <c r="V780" i="8"/>
  <c r="V781" i="8" s="1"/>
  <c r="W820" i="8"/>
  <c r="W821" i="8" s="1"/>
  <c r="X1012" i="8"/>
  <c r="X1013" i="8" s="1"/>
  <c r="X745" i="2"/>
  <c r="X734" i="2"/>
  <c r="X257" i="14" s="1"/>
  <c r="W608" i="8"/>
  <c r="W609" i="8" s="1"/>
  <c r="W333" i="2"/>
  <c r="W48" i="14" s="1"/>
  <c r="W344" i="2"/>
  <c r="Y1020" i="8"/>
  <c r="Y1021" i="8" s="1"/>
  <c r="Y747" i="2"/>
  <c r="Y736" i="2"/>
  <c r="Y259" i="14" s="1"/>
  <c r="V816" i="8"/>
  <c r="V817" i="8" s="1"/>
  <c r="V888" i="8"/>
  <c r="V889" i="8" s="1"/>
  <c r="X760" i="8"/>
  <c r="X761" i="8" s="1"/>
  <c r="W1208" i="8"/>
  <c r="W1209" i="8" s="1"/>
  <c r="X624" i="8"/>
  <c r="X625" i="8" s="1"/>
  <c r="X337" i="2"/>
  <c r="X52" i="14" s="1"/>
  <c r="X348" i="2"/>
  <c r="W620" i="8"/>
  <c r="W621" i="8" s="1"/>
  <c r="W336" i="2"/>
  <c r="W51" i="14" s="1"/>
  <c r="W347" i="2"/>
  <c r="X796" i="8"/>
  <c r="X797" i="8" s="1"/>
  <c r="U371" i="2"/>
  <c r="U896" i="8" s="1"/>
  <c r="U897" i="8" s="1"/>
  <c r="V1192" i="8"/>
  <c r="V1193" i="8" s="1"/>
  <c r="W732" i="2"/>
  <c r="W255" i="14" s="1"/>
  <c r="W743" i="2"/>
  <c r="W1004" i="8"/>
  <c r="W1005" i="8" s="1"/>
  <c r="W996" i="8"/>
  <c r="W997" i="8" s="1"/>
  <c r="W730" i="2"/>
  <c r="W253" i="14" s="1"/>
  <c r="W741" i="2"/>
  <c r="V1212" i="8"/>
  <c r="V1213" i="8" s="1"/>
  <c r="U389" i="2"/>
  <c r="U940" i="8" s="1"/>
  <c r="U941" i="8" s="1"/>
  <c r="V1164" i="8"/>
  <c r="V1165" i="8" s="1"/>
  <c r="Y600" i="8"/>
  <c r="Y601" i="8" s="1"/>
  <c r="Y342" i="2"/>
  <c r="Y331" i="2"/>
  <c r="Y46" i="14" s="1"/>
  <c r="Z616" i="8"/>
  <c r="Z617" i="8" s="1"/>
  <c r="Z346" i="2"/>
  <c r="Z335" i="2"/>
  <c r="Z50" i="14" s="1"/>
  <c r="V1156" i="8"/>
  <c r="V1157" i="8" s="1"/>
  <c r="V1176" i="8"/>
  <c r="V1177" i="8" s="1"/>
  <c r="X330" i="2"/>
  <c r="X596" i="8"/>
  <c r="X597" i="8" s="1"/>
  <c r="X341" i="2"/>
  <c r="Y812" i="8"/>
  <c r="Y813" i="8" s="1"/>
  <c r="X604" i="8"/>
  <c r="X605" i="8" s="1"/>
  <c r="X343" i="2"/>
  <c r="X332" i="2"/>
  <c r="X47" i="14" s="1"/>
  <c r="X1216" i="8"/>
  <c r="X1217" i="8" s="1"/>
  <c r="V1200" i="8"/>
  <c r="V1201" i="8" s="1"/>
  <c r="Y776" i="8"/>
  <c r="Y777" i="8" s="1"/>
  <c r="W735" i="2"/>
  <c r="W258" i="14" s="1"/>
  <c r="W1016" i="8"/>
  <c r="W1017" i="8" s="1"/>
  <c r="W746" i="2"/>
  <c r="W792" i="8"/>
  <c r="W793" i="8" s="1"/>
  <c r="V387" i="2"/>
  <c r="V932" i="8" s="1"/>
  <c r="V933" i="8" s="1"/>
  <c r="W800" i="8"/>
  <c r="W801" i="8" s="1"/>
  <c r="V864" i="8"/>
  <c r="V865" i="8" s="1"/>
  <c r="V1160" i="8"/>
  <c r="V1161" i="8" s="1"/>
  <c r="X744" i="2"/>
  <c r="X1008" i="8"/>
  <c r="X1009" i="8" s="1"/>
  <c r="X733" i="2"/>
  <c r="X256" i="14" s="1"/>
  <c r="W1188" i="8"/>
  <c r="W1189" i="8" s="1"/>
  <c r="W756" i="8"/>
  <c r="W757" i="8" s="1"/>
  <c r="V748" i="2"/>
  <c r="V1220" i="8" s="1"/>
  <c r="V1221" i="8" s="1"/>
  <c r="O40" i="18" l="1"/>
  <c r="U40" i="18"/>
  <c r="I102" i="17"/>
  <c r="D63" i="18"/>
  <c r="D69" i="18" s="1"/>
  <c r="F86" i="18" s="1"/>
  <c r="F87" i="18" s="1"/>
  <c r="T924" i="8"/>
  <c r="T925" i="8" s="1"/>
  <c r="H37" i="18"/>
  <c r="U39" i="18"/>
  <c r="O39" i="18"/>
  <c r="P39" i="18" s="1"/>
  <c r="T928" i="8"/>
  <c r="T929" i="8" s="1"/>
  <c r="H38" i="18"/>
  <c r="M24" i="15"/>
  <c r="M25" i="15" s="1"/>
  <c r="L1836" i="8"/>
  <c r="N1836" i="8"/>
  <c r="T23" i="15"/>
  <c r="T1842" i="8" s="1"/>
  <c r="O23" i="15"/>
  <c r="O1842" i="8" s="1"/>
  <c r="Q23" i="15"/>
  <c r="Q1842" i="8" s="1"/>
  <c r="P23" i="15"/>
  <c r="P1842" i="8" s="1"/>
  <c r="O916" i="8"/>
  <c r="O917" i="8" s="1"/>
  <c r="O56" i="15"/>
  <c r="O908" i="8"/>
  <c r="O909" i="8" s="1"/>
  <c r="O61" i="15"/>
  <c r="S23" i="15"/>
  <c r="S1842" i="8" s="1"/>
  <c r="X252" i="14"/>
  <c r="U23" i="15"/>
  <c r="U1842" i="8" s="1"/>
  <c r="U908" i="8"/>
  <c r="U909" i="8" s="1"/>
  <c r="U61" i="15"/>
  <c r="R916" i="8"/>
  <c r="R917" i="8" s="1"/>
  <c r="R56" i="15"/>
  <c r="T908" i="8"/>
  <c r="T909" i="8" s="1"/>
  <c r="T61" i="15"/>
  <c r="L28" i="15"/>
  <c r="L25" i="15"/>
  <c r="S916" i="8"/>
  <c r="S917" i="8" s="1"/>
  <c r="S56" i="15"/>
  <c r="V908" i="8"/>
  <c r="V909" i="8" s="1"/>
  <c r="V61" i="15"/>
  <c r="X45" i="14"/>
  <c r="U916" i="8"/>
  <c r="U917" i="8" s="1"/>
  <c r="U56" i="15"/>
  <c r="Q916" i="8"/>
  <c r="Q917" i="8" s="1"/>
  <c r="Q56" i="15"/>
  <c r="P908" i="8"/>
  <c r="P909" i="8" s="1"/>
  <c r="P61" i="15"/>
  <c r="V23" i="15"/>
  <c r="V1842" i="8" s="1"/>
  <c r="S908" i="8"/>
  <c r="S909" i="8" s="1"/>
  <c r="S61" i="15"/>
  <c r="R23" i="15"/>
  <c r="R1842" i="8" s="1"/>
  <c r="Q908" i="8"/>
  <c r="Q909" i="8" s="1"/>
  <c r="Q61" i="15"/>
  <c r="T916" i="8"/>
  <c r="T917" i="8" s="1"/>
  <c r="T56" i="15"/>
  <c r="P916" i="8"/>
  <c r="P917" i="8" s="1"/>
  <c r="P56" i="15"/>
  <c r="R397" i="2"/>
  <c r="R968" i="8" s="1"/>
  <c r="R969" i="8" s="1"/>
  <c r="V828" i="8"/>
  <c r="V829" i="8" s="1"/>
  <c r="Q398" i="2"/>
  <c r="Q972" i="8" s="1"/>
  <c r="Q973" i="8" s="1"/>
  <c r="S396" i="2"/>
  <c r="S964" i="8" s="1"/>
  <c r="S965" i="8" s="1"/>
  <c r="T397" i="2"/>
  <c r="T968" i="8" s="1"/>
  <c r="T969" i="8" s="1"/>
  <c r="P394" i="2"/>
  <c r="P956" i="8" s="1"/>
  <c r="P957" i="8" s="1"/>
  <c r="Q394" i="2"/>
  <c r="Q956" i="8" s="1"/>
  <c r="Q957" i="8" s="1"/>
  <c r="S394" i="2"/>
  <c r="S956" i="8" s="1"/>
  <c r="S957" i="8" s="1"/>
  <c r="V375" i="2"/>
  <c r="P393" i="2"/>
  <c r="P952" i="8" s="1"/>
  <c r="P953" i="8" s="1"/>
  <c r="T398" i="2"/>
  <c r="T972" i="8" s="1"/>
  <c r="T973" i="8" s="1"/>
  <c r="O398" i="2"/>
  <c r="O972" i="8" s="1"/>
  <c r="O973" i="8" s="1"/>
  <c r="O374" i="2"/>
  <c r="U398" i="2"/>
  <c r="U972" i="8" s="1"/>
  <c r="U973" i="8" s="1"/>
  <c r="T374" i="2"/>
  <c r="G37" i="18" s="1"/>
  <c r="T836" i="8"/>
  <c r="T837" i="8" s="1"/>
  <c r="S397" i="2"/>
  <c r="S968" i="8" s="1"/>
  <c r="S969" i="8" s="1"/>
  <c r="Q393" i="2"/>
  <c r="Q952" i="8" s="1"/>
  <c r="Q953" i="8" s="1"/>
  <c r="P398" i="2"/>
  <c r="P972" i="8" s="1"/>
  <c r="P973" i="8" s="1"/>
  <c r="O392" i="2"/>
  <c r="O948" i="8" s="1"/>
  <c r="O949" i="8" s="1"/>
  <c r="T393" i="2"/>
  <c r="T952" i="8" s="1"/>
  <c r="T953" i="8" s="1"/>
  <c r="W120" i="14"/>
  <c r="O396" i="2"/>
  <c r="O964" i="8" s="1"/>
  <c r="O965" i="8" s="1"/>
  <c r="V836" i="8"/>
  <c r="V837" i="8" s="1"/>
  <c r="T396" i="2"/>
  <c r="T964" i="8" s="1"/>
  <c r="T965" i="8" s="1"/>
  <c r="O394" i="2"/>
  <c r="O956" i="8" s="1"/>
  <c r="O957" i="8" s="1"/>
  <c r="P374" i="2"/>
  <c r="Q124" i="14"/>
  <c r="W327" i="14"/>
  <c r="U844" i="8"/>
  <c r="U845" i="8" s="1"/>
  <c r="O393" i="2"/>
  <c r="O952" i="8" s="1"/>
  <c r="O953" i="8" s="1"/>
  <c r="P397" i="2"/>
  <c r="P968" i="8" s="1"/>
  <c r="P969" i="8" s="1"/>
  <c r="P396" i="2"/>
  <c r="P964" i="8" s="1"/>
  <c r="P965" i="8" s="1"/>
  <c r="S374" i="2"/>
  <c r="W326" i="14"/>
  <c r="V397" i="2"/>
  <c r="V968" i="8" s="1"/>
  <c r="V969" i="8" s="1"/>
  <c r="V393" i="2"/>
  <c r="V952" i="8" s="1"/>
  <c r="V953" i="8" s="1"/>
  <c r="P848" i="8"/>
  <c r="P849" i="8" s="1"/>
  <c r="U374" i="2"/>
  <c r="O296" i="2"/>
  <c r="O360" i="2"/>
  <c r="O860" i="8" s="1"/>
  <c r="O861" i="8" s="1"/>
  <c r="V119" i="14"/>
  <c r="V121" i="14" s="1"/>
  <c r="V122" i="14" s="1"/>
  <c r="P124" i="14"/>
  <c r="W397" i="2"/>
  <c r="W968" i="8" s="1"/>
  <c r="W969" i="8" s="1"/>
  <c r="T119" i="14"/>
  <c r="T121" i="14" s="1"/>
  <c r="T122" i="14" s="1"/>
  <c r="S398" i="2"/>
  <c r="S972" i="8" s="1"/>
  <c r="S973" i="8" s="1"/>
  <c r="W393" i="2"/>
  <c r="W952" i="8" s="1"/>
  <c r="W953" i="8" s="1"/>
  <c r="O375" i="2"/>
  <c r="U397" i="2"/>
  <c r="U968" i="8" s="1"/>
  <c r="U969" i="8" s="1"/>
  <c r="P119" i="14"/>
  <c r="P121" i="14" s="1"/>
  <c r="O382" i="2"/>
  <c r="W124" i="14"/>
  <c r="M136" i="14"/>
  <c r="M138" i="14" s="1"/>
  <c r="L132" i="14"/>
  <c r="L134" i="14" s="1"/>
  <c r="M359" i="14"/>
  <c r="M361" i="14" s="1"/>
  <c r="T124" i="14"/>
  <c r="N335" i="14"/>
  <c r="N337" i="14" s="1"/>
  <c r="M172" i="14"/>
  <c r="M174" i="14" s="1"/>
  <c r="L144" i="14"/>
  <c r="L146" i="14" s="1"/>
  <c r="L387" i="14"/>
  <c r="L389" i="14" s="1"/>
  <c r="M335" i="14"/>
  <c r="M337" i="14" s="1"/>
  <c r="N355" i="14"/>
  <c r="N357" i="14" s="1"/>
  <c r="N200" i="14"/>
  <c r="M140" i="14"/>
  <c r="M142" i="14" s="1"/>
  <c r="L184" i="14"/>
  <c r="L186" i="14" s="1"/>
  <c r="L391" i="14"/>
  <c r="L393" i="14" s="1"/>
  <c r="M355" i="14"/>
  <c r="M357" i="14" s="1"/>
  <c r="R119" i="14"/>
  <c r="R121" i="14" s="1"/>
  <c r="R124" i="14"/>
  <c r="O124" i="14"/>
  <c r="O119" i="14"/>
  <c r="O121" i="14" s="1"/>
  <c r="W119" i="14"/>
  <c r="M347" i="14"/>
  <c r="M349" i="14" s="1"/>
  <c r="M168" i="14"/>
  <c r="M170" i="14" s="1"/>
  <c r="L363" i="14"/>
  <c r="L365" i="14" s="1"/>
  <c r="M383" i="14"/>
  <c r="M385" i="14" s="1"/>
  <c r="N351" i="14"/>
  <c r="N353" i="14" s="1"/>
  <c r="L160" i="14"/>
  <c r="L162" i="14" s="1"/>
  <c r="M152" i="14"/>
  <c r="M154" i="14" s="1"/>
  <c r="L136" i="14"/>
  <c r="L138" i="14" s="1"/>
  <c r="L343" i="14"/>
  <c r="L345" i="14" s="1"/>
  <c r="M391" i="14"/>
  <c r="M393" i="14" s="1"/>
  <c r="N391" i="14"/>
  <c r="N393" i="14" s="1"/>
  <c r="N359" i="14"/>
  <c r="N361" i="14" s="1"/>
  <c r="W331" i="14"/>
  <c r="M148" i="14"/>
  <c r="M150" i="14" s="1"/>
  <c r="L172" i="14"/>
  <c r="L174" i="14" s="1"/>
  <c r="L379" i="14"/>
  <c r="L381" i="14" s="1"/>
  <c r="M371" i="14"/>
  <c r="M373" i="14" s="1"/>
  <c r="U331" i="14"/>
  <c r="U326" i="14"/>
  <c r="U328" i="14" s="1"/>
  <c r="N387" i="14"/>
  <c r="N389" i="14" s="1"/>
  <c r="N250" i="2"/>
  <c r="N1673" i="8" s="1"/>
  <c r="N171" i="14"/>
  <c r="N143" i="14"/>
  <c r="N187" i="14"/>
  <c r="N190" i="14" s="1"/>
  <c r="N159" i="14"/>
  <c r="N175" i="14"/>
  <c r="N147" i="14"/>
  <c r="N163" i="14"/>
  <c r="N135" i="14"/>
  <c r="N151" i="14"/>
  <c r="N155" i="14"/>
  <c r="N179" i="14"/>
  <c r="N131" i="14"/>
  <c r="N125" i="14"/>
  <c r="N139" i="14"/>
  <c r="N183" i="14"/>
  <c r="N167" i="14"/>
  <c r="L355" i="14"/>
  <c r="L357" i="14" s="1"/>
  <c r="M351" i="14"/>
  <c r="M353" i="14" s="1"/>
  <c r="U832" i="8"/>
  <c r="U833" i="8" s="1"/>
  <c r="M144" i="14"/>
  <c r="M146" i="14" s="1"/>
  <c r="M176" i="14"/>
  <c r="M178" i="14" s="1"/>
  <c r="L152" i="14"/>
  <c r="L154" i="14" s="1"/>
  <c r="L383" i="14"/>
  <c r="L385" i="14" s="1"/>
  <c r="M375" i="14"/>
  <c r="M377" i="14" s="1"/>
  <c r="Q119" i="14"/>
  <c r="Q121" i="14" s="1"/>
  <c r="U119" i="14"/>
  <c r="U121" i="14" s="1"/>
  <c r="U124" i="14"/>
  <c r="V326" i="14"/>
  <c r="V328" i="14" s="1"/>
  <c r="V331" i="14"/>
  <c r="N1706" i="8"/>
  <c r="N1699" i="8"/>
  <c r="N49" i="10"/>
  <c r="N418" i="14"/>
  <c r="N89" i="5" s="1"/>
  <c r="N416" i="14"/>
  <c r="N87" i="5" s="1"/>
  <c r="N414" i="14"/>
  <c r="N85" i="5" s="1"/>
  <c r="N412" i="14"/>
  <c r="N83" i="5" s="1"/>
  <c r="N410" i="14"/>
  <c r="N81" i="5" s="1"/>
  <c r="N415" i="14"/>
  <c r="N86" i="5" s="1"/>
  <c r="N411" i="14"/>
  <c r="N82" i="5" s="1"/>
  <c r="N413" i="14"/>
  <c r="N84" i="5" s="1"/>
  <c r="N417" i="14"/>
  <c r="N88" i="5" s="1"/>
  <c r="N399" i="14"/>
  <c r="N400" i="14"/>
  <c r="N1709" i="8" s="1"/>
  <c r="L1669" i="8"/>
  <c r="L211" i="14"/>
  <c r="L209" i="14"/>
  <c r="L207" i="14"/>
  <c r="L205" i="14"/>
  <c r="L203" i="14"/>
  <c r="L210" i="14"/>
  <c r="L204" i="14"/>
  <c r="L208" i="14"/>
  <c r="L206" i="14"/>
  <c r="L192" i="14"/>
  <c r="L193" i="14"/>
  <c r="R394" i="2"/>
  <c r="R956" i="8" s="1"/>
  <c r="R957" i="8" s="1"/>
  <c r="R398" i="2"/>
  <c r="R972" i="8" s="1"/>
  <c r="R973" i="8" s="1"/>
  <c r="P382" i="2"/>
  <c r="T360" i="2"/>
  <c r="T381" i="2" s="1"/>
  <c r="T1434" i="8" s="1"/>
  <c r="M164" i="14"/>
  <c r="M166" i="14" s="1"/>
  <c r="P331" i="14"/>
  <c r="P326" i="14"/>
  <c r="P328" i="14" s="1"/>
  <c r="L180" i="14"/>
  <c r="L182" i="14" s="1"/>
  <c r="L339" i="14"/>
  <c r="L341" i="14" s="1"/>
  <c r="L375" i="14"/>
  <c r="L377" i="14" s="1"/>
  <c r="V124" i="14"/>
  <c r="M387" i="14"/>
  <c r="M389" i="14" s="1"/>
  <c r="Q326" i="14"/>
  <c r="Q328" i="14" s="1"/>
  <c r="Q331" i="14"/>
  <c r="N375" i="14"/>
  <c r="N377" i="14" s="1"/>
  <c r="M184" i="14"/>
  <c r="M186" i="14" s="1"/>
  <c r="L140" i="14"/>
  <c r="L142" i="14" s="1"/>
  <c r="L367" i="14"/>
  <c r="L369" i="14" s="1"/>
  <c r="M156" i="14"/>
  <c r="M158" i="14" s="1"/>
  <c r="M160" i="14"/>
  <c r="M162" i="14" s="1"/>
  <c r="L164" i="14"/>
  <c r="L166" i="14" s="1"/>
  <c r="L335" i="14"/>
  <c r="L337" i="14" s="1"/>
  <c r="L371" i="14"/>
  <c r="L373" i="14" s="1"/>
  <c r="M339" i="14"/>
  <c r="M341" i="14" s="1"/>
  <c r="S119" i="14"/>
  <c r="S121" i="14" s="1"/>
  <c r="S124" i="14"/>
  <c r="T326" i="14"/>
  <c r="T328" i="14" s="1"/>
  <c r="T331" i="14"/>
  <c r="N339" i="14"/>
  <c r="N341" i="14" s="1"/>
  <c r="N371" i="14"/>
  <c r="N373" i="14" s="1"/>
  <c r="O331" i="14"/>
  <c r="O326" i="14"/>
  <c r="O328" i="14" s="1"/>
  <c r="S326" i="14"/>
  <c r="S328" i="14" s="1"/>
  <c r="S331" i="14"/>
  <c r="M128" i="14"/>
  <c r="M130" i="14" s="1"/>
  <c r="M1669" i="8"/>
  <c r="M211" i="14"/>
  <c r="M209" i="14"/>
  <c r="M207" i="14"/>
  <c r="M205" i="14"/>
  <c r="M203" i="14"/>
  <c r="M210" i="14"/>
  <c r="M204" i="14"/>
  <c r="M208" i="14"/>
  <c r="M206" i="14"/>
  <c r="M192" i="14"/>
  <c r="M193" i="14"/>
  <c r="R331" i="14"/>
  <c r="R326" i="14"/>
  <c r="R328" i="14" s="1"/>
  <c r="L148" i="14"/>
  <c r="L150" i="14" s="1"/>
  <c r="L347" i="14"/>
  <c r="L349" i="14" s="1"/>
  <c r="M363" i="14"/>
  <c r="M365" i="14" s="1"/>
  <c r="M367" i="14"/>
  <c r="M369" i="14" s="1"/>
  <c r="N343" i="14"/>
  <c r="N345" i="14" s="1"/>
  <c r="N347" i="14"/>
  <c r="N349" i="14" s="1"/>
  <c r="M180" i="14"/>
  <c r="M182" i="14" s="1"/>
  <c r="L156" i="14"/>
  <c r="L158" i="14" s="1"/>
  <c r="L176" i="14"/>
  <c r="L178" i="14" s="1"/>
  <c r="L351" i="14"/>
  <c r="L353" i="14" s="1"/>
  <c r="M343" i="14"/>
  <c r="M345" i="14" s="1"/>
  <c r="M1699" i="8"/>
  <c r="M417" i="14"/>
  <c r="M88" i="5" s="1"/>
  <c r="M418" i="14"/>
  <c r="M89" i="5" s="1"/>
  <c r="M416" i="14"/>
  <c r="M87" i="5" s="1"/>
  <c r="M49" i="10"/>
  <c r="M415" i="14"/>
  <c r="M86" i="5" s="1"/>
  <c r="M411" i="14"/>
  <c r="M82" i="5" s="1"/>
  <c r="M412" i="14"/>
  <c r="M83" i="5" s="1"/>
  <c r="M1706" i="8"/>
  <c r="M410" i="14"/>
  <c r="M81" i="5" s="1"/>
  <c r="M413" i="14"/>
  <c r="M84" i="5" s="1"/>
  <c r="M414" i="14"/>
  <c r="M85" i="5" s="1"/>
  <c r="M399" i="14"/>
  <c r="M400" i="14"/>
  <c r="M1709" i="8" s="1"/>
  <c r="N379" i="14"/>
  <c r="N381" i="14" s="1"/>
  <c r="N363" i="14"/>
  <c r="N365" i="14" s="1"/>
  <c r="L128" i="14"/>
  <c r="L130" i="14" s="1"/>
  <c r="M132" i="14"/>
  <c r="M134" i="14" s="1"/>
  <c r="L168" i="14"/>
  <c r="L170" i="14" s="1"/>
  <c r="L197" i="14"/>
  <c r="L359" i="14"/>
  <c r="L361" i="14" s="1"/>
  <c r="L1706" i="8"/>
  <c r="L1699" i="8"/>
  <c r="L49" i="10"/>
  <c r="L418" i="14"/>
  <c r="L89" i="5" s="1"/>
  <c r="L417" i="14"/>
  <c r="L88" i="5" s="1"/>
  <c r="L415" i="14"/>
  <c r="L86" i="5" s="1"/>
  <c r="L411" i="14"/>
  <c r="L82" i="5" s="1"/>
  <c r="L414" i="14"/>
  <c r="L85" i="5" s="1"/>
  <c r="L412" i="14"/>
  <c r="L83" i="5" s="1"/>
  <c r="L413" i="14"/>
  <c r="L84" i="5" s="1"/>
  <c r="L410" i="14"/>
  <c r="L81" i="5" s="1"/>
  <c r="L416" i="14"/>
  <c r="L87" i="5" s="1"/>
  <c r="L399" i="14"/>
  <c r="L400" i="14"/>
  <c r="L1709" i="8" s="1"/>
  <c r="M404" i="14"/>
  <c r="M1712" i="8" s="1"/>
  <c r="M379" i="14"/>
  <c r="M381" i="14" s="1"/>
  <c r="N383" i="14"/>
  <c r="N385" i="14" s="1"/>
  <c r="N367" i="14"/>
  <c r="N369" i="14" s="1"/>
  <c r="N116" i="2"/>
  <c r="O116" i="2" s="1"/>
  <c r="N118" i="2"/>
  <c r="O118" i="2" s="1"/>
  <c r="S828" i="8"/>
  <c r="S829" i="8" s="1"/>
  <c r="S393" i="2"/>
  <c r="S952" i="8" s="1"/>
  <c r="S953" i="8" s="1"/>
  <c r="R392" i="2"/>
  <c r="R948" i="8" s="1"/>
  <c r="R949" i="8" s="1"/>
  <c r="R393" i="2"/>
  <c r="R952" i="8" s="1"/>
  <c r="R953" i="8" s="1"/>
  <c r="R375" i="2"/>
  <c r="M20" i="12"/>
  <c r="T390" i="2"/>
  <c r="T69" i="17" s="1"/>
  <c r="T84" i="17" s="1"/>
  <c r="R390" i="2"/>
  <c r="R69" i="17" s="1"/>
  <c r="R84" i="17" s="1"/>
  <c r="M62" i="2"/>
  <c r="N62" i="2" s="1"/>
  <c r="R1567" i="8"/>
  <c r="P360" i="2"/>
  <c r="T375" i="2"/>
  <c r="G38" i="18" s="1"/>
  <c r="T392" i="2"/>
  <c r="T948" i="8" s="1"/>
  <c r="T949" i="8" s="1"/>
  <c r="S296" i="2"/>
  <c r="M59" i="8"/>
  <c r="M60" i="8" s="1"/>
  <c r="T828" i="8"/>
  <c r="T829" i="8" s="1"/>
  <c r="T296" i="2"/>
  <c r="P390" i="2"/>
  <c r="P69" i="17" s="1"/>
  <c r="P84" i="17" s="1"/>
  <c r="Q397" i="2"/>
  <c r="Q968" i="8" s="1"/>
  <c r="Q969" i="8" s="1"/>
  <c r="V1568" i="8"/>
  <c r="T382" i="2"/>
  <c r="U394" i="2"/>
  <c r="U956" i="8" s="1"/>
  <c r="U957" i="8" s="1"/>
  <c r="W1567" i="8"/>
  <c r="T1568" i="8"/>
  <c r="AE1568" i="8"/>
  <c r="AA1568" i="8"/>
  <c r="O390" i="2"/>
  <c r="O69" i="17" s="1"/>
  <c r="O84" i="17" s="1"/>
  <c r="N121" i="2"/>
  <c r="O121" i="2" s="1"/>
  <c r="AE1567" i="8"/>
  <c r="M75" i="8"/>
  <c r="M76" i="8" s="1"/>
  <c r="M26" i="12"/>
  <c r="Y270" i="13"/>
  <c r="Y272" i="13"/>
  <c r="Y266" i="13"/>
  <c r="Y265" i="13"/>
  <c r="AB267" i="13"/>
  <c r="AB266" i="13"/>
  <c r="M57" i="2"/>
  <c r="N57" i="2" s="1"/>
  <c r="P828" i="8"/>
  <c r="P829" i="8" s="1"/>
  <c r="P296" i="2"/>
  <c r="AA1565" i="8"/>
  <c r="U360" i="2"/>
  <c r="M99" i="8"/>
  <c r="M100" i="8" s="1"/>
  <c r="N179" i="2"/>
  <c r="N35" i="12" s="1"/>
  <c r="R1568" i="8"/>
  <c r="Q1568" i="8"/>
  <c r="P375" i="2"/>
  <c r="M241" i="2"/>
  <c r="M143" i="8" s="1"/>
  <c r="M144" i="8" s="1"/>
  <c r="Q390" i="2"/>
  <c r="Q69" i="17" s="1"/>
  <c r="Q84" i="17" s="1"/>
  <c r="X397" i="2"/>
  <c r="X968" i="8" s="1"/>
  <c r="X969" i="8" s="1"/>
  <c r="P392" i="2"/>
  <c r="N182" i="2"/>
  <c r="O182" i="2" s="1"/>
  <c r="N119" i="2"/>
  <c r="N63" i="8" s="1"/>
  <c r="N64" i="8" s="1"/>
  <c r="AE269" i="13"/>
  <c r="AE1599" i="8"/>
  <c r="AE266" i="13"/>
  <c r="AE273" i="13"/>
  <c r="Y273" i="13"/>
  <c r="AB269" i="13"/>
  <c r="X1567" i="8"/>
  <c r="U296" i="2"/>
  <c r="AB265" i="13"/>
  <c r="AB268" i="13"/>
  <c r="Y271" i="13"/>
  <c r="Y268" i="13"/>
  <c r="M38" i="12"/>
  <c r="AB271" i="13"/>
  <c r="AB272" i="13"/>
  <c r="U392" i="2"/>
  <c r="U948" i="8" s="1"/>
  <c r="U949" i="8" s="1"/>
  <c r="Y1599" i="8"/>
  <c r="AB270" i="13"/>
  <c r="R1565" i="8"/>
  <c r="AB273" i="13"/>
  <c r="U375" i="2"/>
  <c r="M56" i="2"/>
  <c r="N56" i="2" s="1"/>
  <c r="AB1599" i="8"/>
  <c r="AB1568" i="8"/>
  <c r="Y269" i="13"/>
  <c r="U382" i="2"/>
  <c r="Q374" i="2"/>
  <c r="U1556" i="8"/>
  <c r="T1555" i="8"/>
  <c r="Q396" i="2"/>
  <c r="Q964" i="8" s="1"/>
  <c r="Q965" i="8" s="1"/>
  <c r="M23" i="12"/>
  <c r="Q296" i="2"/>
  <c r="Y267" i="13"/>
  <c r="X1599" i="8"/>
  <c r="X272" i="13"/>
  <c r="X268" i="13"/>
  <c r="X267" i="13"/>
  <c r="X269" i="13"/>
  <c r="X271" i="13"/>
  <c r="X273" i="13"/>
  <c r="X266" i="13"/>
  <c r="X265" i="13"/>
  <c r="X270" i="13"/>
  <c r="R396" i="2"/>
  <c r="R964" i="8" s="1"/>
  <c r="R965" i="8" s="1"/>
  <c r="S1565" i="8"/>
  <c r="T1567" i="8"/>
  <c r="AE271" i="13"/>
  <c r="N178" i="2"/>
  <c r="O178" i="2" s="1"/>
  <c r="M34" i="12"/>
  <c r="M25" i="12"/>
  <c r="AE268" i="13"/>
  <c r="W1559" i="8"/>
  <c r="AE267" i="13"/>
  <c r="Y1567" i="8"/>
  <c r="O1565" i="8"/>
  <c r="Q1567" i="8"/>
  <c r="R374" i="2"/>
  <c r="Z1565" i="8"/>
  <c r="P1565" i="8"/>
  <c r="F1597" i="8"/>
  <c r="S360" i="2"/>
  <c r="S1555" i="8"/>
  <c r="Q1559" i="8"/>
  <c r="F1598" i="8"/>
  <c r="W1555" i="8"/>
  <c r="S390" i="2"/>
  <c r="S69" i="17" s="1"/>
  <c r="S84" i="17" s="1"/>
  <c r="S382" i="2"/>
  <c r="S375" i="2"/>
  <c r="S1559" i="8"/>
  <c r="AE270" i="13"/>
  <c r="Y1555" i="8"/>
  <c r="M55" i="2"/>
  <c r="N55" i="2" s="1"/>
  <c r="R1556" i="8"/>
  <c r="AE272" i="13"/>
  <c r="L1565" i="8"/>
  <c r="R360" i="2"/>
  <c r="R296" i="2"/>
  <c r="AE265" i="13"/>
  <c r="S1567" i="8"/>
  <c r="R382" i="2"/>
  <c r="Z1599" i="8"/>
  <c r="Z272" i="13"/>
  <c r="Z267" i="13"/>
  <c r="Z268" i="13"/>
  <c r="Z271" i="13"/>
  <c r="Z269" i="13"/>
  <c r="Z270" i="13"/>
  <c r="Z266" i="13"/>
  <c r="Z265" i="13"/>
  <c r="Z273" i="13"/>
  <c r="R1599" i="8"/>
  <c r="R268" i="13"/>
  <c r="R272" i="13"/>
  <c r="R270" i="13"/>
  <c r="R266" i="13"/>
  <c r="R265" i="13"/>
  <c r="R273" i="13"/>
  <c r="R269" i="13"/>
  <c r="R271" i="13"/>
  <c r="R267" i="13"/>
  <c r="AC1599" i="8"/>
  <c r="AC272" i="13"/>
  <c r="AC273" i="13"/>
  <c r="AC270" i="13"/>
  <c r="AC269" i="13"/>
  <c r="AC265" i="13"/>
  <c r="AC267" i="13"/>
  <c r="AC266" i="13"/>
  <c r="AC271" i="13"/>
  <c r="AC268" i="13"/>
  <c r="AB1559" i="8"/>
  <c r="Q1599" i="8"/>
  <c r="Q270" i="13"/>
  <c r="Q267" i="13"/>
  <c r="Q273" i="13"/>
  <c r="Q266" i="13"/>
  <c r="Q268" i="13"/>
  <c r="Q269" i="13"/>
  <c r="Q265" i="13"/>
  <c r="Q271" i="13"/>
  <c r="Q272" i="13"/>
  <c r="Q382" i="2"/>
  <c r="R1555" i="8"/>
  <c r="R60" i="13"/>
  <c r="N1556" i="8"/>
  <c r="N1555" i="8"/>
  <c r="N60" i="13"/>
  <c r="AD1555" i="8"/>
  <c r="P78" i="13"/>
  <c r="P81" i="13"/>
  <c r="L1569" i="8"/>
  <c r="S217" i="13"/>
  <c r="S220" i="13"/>
  <c r="S222" i="13" s="1"/>
  <c r="L1555" i="8"/>
  <c r="M61" i="2"/>
  <c r="S78" i="13"/>
  <c r="S81" i="13"/>
  <c r="AD1599" i="8"/>
  <c r="AD267" i="13"/>
  <c r="AD271" i="13"/>
  <c r="AD270" i="13"/>
  <c r="AD268" i="13"/>
  <c r="AD266" i="13"/>
  <c r="AD272" i="13"/>
  <c r="AD265" i="13"/>
  <c r="AD273" i="13"/>
  <c r="AD269" i="13"/>
  <c r="Q1556" i="8"/>
  <c r="W1599" i="8"/>
  <c r="W270" i="13"/>
  <c r="W269" i="13"/>
  <c r="W267" i="13"/>
  <c r="W272" i="13"/>
  <c r="W273" i="13"/>
  <c r="W266" i="13"/>
  <c r="W268" i="13"/>
  <c r="W271" i="13"/>
  <c r="W265" i="13"/>
  <c r="M58" i="2"/>
  <c r="L81" i="13"/>
  <c r="L78" i="13"/>
  <c r="AB1555" i="8"/>
  <c r="AB60" i="13"/>
  <c r="O217" i="13"/>
  <c r="O220" i="13"/>
  <c r="N217" i="13"/>
  <c r="N220" i="13"/>
  <c r="AE81" i="13"/>
  <c r="AE78" i="13"/>
  <c r="Q220" i="13"/>
  <c r="Q222" i="13" s="1"/>
  <c r="Q217" i="13"/>
  <c r="Y1556" i="8"/>
  <c r="Z1567" i="8"/>
  <c r="M1566" i="8"/>
  <c r="W1556" i="8"/>
  <c r="U1568" i="8"/>
  <c r="T1565" i="8"/>
  <c r="M59" i="2"/>
  <c r="F1554" i="8"/>
  <c r="AE220" i="13"/>
  <c r="AE222" i="13" s="1"/>
  <c r="AE217" i="13"/>
  <c r="M1555" i="8"/>
  <c r="M60" i="13"/>
  <c r="O1559" i="8"/>
  <c r="O81" i="13"/>
  <c r="O78" i="13"/>
  <c r="V1559" i="8"/>
  <c r="T1559" i="8"/>
  <c r="X78" i="13"/>
  <c r="X81" i="13"/>
  <c r="Z1568" i="8"/>
  <c r="O1566" i="8"/>
  <c r="AA1556" i="8"/>
  <c r="N176" i="2"/>
  <c r="M87" i="8"/>
  <c r="M88" i="8" s="1"/>
  <c r="M32" i="12"/>
  <c r="M60" i="2"/>
  <c r="Q81" i="13"/>
  <c r="Q78" i="13"/>
  <c r="AE1565" i="8"/>
  <c r="AE199" i="13"/>
  <c r="N117" i="2"/>
  <c r="M55" i="8"/>
  <c r="M56" i="8" s="1"/>
  <c r="M21" i="12"/>
  <c r="N181" i="2"/>
  <c r="M107" i="8"/>
  <c r="M108" i="8" s="1"/>
  <c r="M37" i="12"/>
  <c r="AC1568" i="8"/>
  <c r="AC1556" i="8"/>
  <c r="AA1559" i="8"/>
  <c r="P1559" i="8"/>
  <c r="AE1556" i="8"/>
  <c r="M242" i="2"/>
  <c r="M1565" i="8"/>
  <c r="AB217" i="13"/>
  <c r="AB220" i="13"/>
  <c r="AB222" i="13" s="1"/>
  <c r="L1566" i="8"/>
  <c r="Q392" i="2"/>
  <c r="Q948" i="8" s="1"/>
  <c r="Q949" i="8" s="1"/>
  <c r="Q375" i="2"/>
  <c r="T217" i="13"/>
  <c r="T220" i="13"/>
  <c r="T222" i="13" s="1"/>
  <c r="O122" i="2"/>
  <c r="N26" i="12"/>
  <c r="N75" i="8"/>
  <c r="N76" i="8" s="1"/>
  <c r="Z220" i="13"/>
  <c r="Z222" i="13" s="1"/>
  <c r="Z217" i="13"/>
  <c r="T1599" i="8"/>
  <c r="T268" i="13"/>
  <c r="T266" i="13"/>
  <c r="T272" i="13"/>
  <c r="T271" i="13"/>
  <c r="T269" i="13"/>
  <c r="T273" i="13"/>
  <c r="T265" i="13"/>
  <c r="T267" i="13"/>
  <c r="T270" i="13"/>
  <c r="X1565" i="8"/>
  <c r="X199" i="13"/>
  <c r="AB1567" i="8"/>
  <c r="U1555" i="8"/>
  <c r="U60" i="13"/>
  <c r="AC217" i="13"/>
  <c r="AC220" i="13"/>
  <c r="AC222" i="13" s="1"/>
  <c r="AC1555" i="8"/>
  <c r="V1567" i="8"/>
  <c r="AD78" i="13"/>
  <c r="AD81" i="13"/>
  <c r="M239" i="2"/>
  <c r="T78" i="13"/>
  <c r="T81" i="13"/>
  <c r="W1565" i="8"/>
  <c r="W199" i="13"/>
  <c r="AD1565" i="8"/>
  <c r="AD199" i="13"/>
  <c r="L217" i="13"/>
  <c r="L220" i="13"/>
  <c r="AB81" i="13"/>
  <c r="AB78" i="13"/>
  <c r="AB1565" i="8"/>
  <c r="AB199" i="13"/>
  <c r="M81" i="13"/>
  <c r="M78" i="13"/>
  <c r="L1559" i="8"/>
  <c r="M234" i="2"/>
  <c r="Y78" i="13"/>
  <c r="Y81" i="13"/>
  <c r="AE1555" i="8"/>
  <c r="AA1555" i="8"/>
  <c r="Q360" i="2"/>
  <c r="Q828" i="8"/>
  <c r="Q829" i="8" s="1"/>
  <c r="AA220" i="13"/>
  <c r="AA222" i="13" s="1"/>
  <c r="AA217" i="13"/>
  <c r="F1560" i="8"/>
  <c r="M1559" i="8"/>
  <c r="X1568" i="8"/>
  <c r="F1564" i="8"/>
  <c r="AC1567" i="8"/>
  <c r="X1556" i="8"/>
  <c r="X1559" i="8"/>
  <c r="T1556" i="8"/>
  <c r="P1569" i="8"/>
  <c r="N180" i="2"/>
  <c r="M36" i="12"/>
  <c r="M103" i="8"/>
  <c r="M104" i="8" s="1"/>
  <c r="N1569" i="8"/>
  <c r="M237" i="2"/>
  <c r="S1599" i="8"/>
  <c r="S269" i="13"/>
  <c r="S267" i="13"/>
  <c r="S273" i="13"/>
  <c r="S271" i="13"/>
  <c r="S265" i="13"/>
  <c r="S266" i="13"/>
  <c r="S270" i="13"/>
  <c r="S268" i="13"/>
  <c r="S272" i="13"/>
  <c r="AD1568" i="8"/>
  <c r="M217" i="13"/>
  <c r="M220" i="13"/>
  <c r="Z1559" i="8"/>
  <c r="Y220" i="13"/>
  <c r="Y222" i="13" s="1"/>
  <c r="Y217" i="13"/>
  <c r="AC1559" i="8"/>
  <c r="W220" i="13"/>
  <c r="W222" i="13" s="1"/>
  <c r="W217" i="13"/>
  <c r="AD217" i="13"/>
  <c r="AD220" i="13"/>
  <c r="AD222" i="13" s="1"/>
  <c r="AD1567" i="8"/>
  <c r="X217" i="13"/>
  <c r="X220" i="13"/>
  <c r="X222" i="13" s="1"/>
  <c r="AD1559" i="8"/>
  <c r="P1556" i="8"/>
  <c r="U78" i="13"/>
  <c r="U81" i="13"/>
  <c r="AA1599" i="8"/>
  <c r="AA267" i="13"/>
  <c r="AA266" i="13"/>
  <c r="AA269" i="13"/>
  <c r="AA271" i="13"/>
  <c r="AA265" i="13"/>
  <c r="AA273" i="13"/>
  <c r="AA270" i="13"/>
  <c r="AA272" i="13"/>
  <c r="AA268" i="13"/>
  <c r="N114" i="2"/>
  <c r="M43" i="8"/>
  <c r="M44" i="8" s="1"/>
  <c r="M18" i="12"/>
  <c r="M123" i="2"/>
  <c r="U220" i="13"/>
  <c r="U222" i="13" s="1"/>
  <c r="U217" i="13"/>
  <c r="M236" i="2"/>
  <c r="Y1565" i="8"/>
  <c r="Y199" i="13"/>
  <c r="R78" i="13"/>
  <c r="R81" i="13"/>
  <c r="O1569" i="8"/>
  <c r="AA81" i="13"/>
  <c r="AA78" i="13"/>
  <c r="X1555" i="8"/>
  <c r="X60" i="13"/>
  <c r="AE1559" i="8"/>
  <c r="P1555" i="8"/>
  <c r="V220" i="13"/>
  <c r="V222" i="13" s="1"/>
  <c r="V217" i="13"/>
  <c r="U1565" i="8"/>
  <c r="U199" i="13"/>
  <c r="F1557" i="8"/>
  <c r="M238" i="2"/>
  <c r="U1559" i="8"/>
  <c r="Z1555" i="8"/>
  <c r="AC1565" i="8"/>
  <c r="N115" i="2"/>
  <c r="M47" i="8"/>
  <c r="M48" i="8" s="1"/>
  <c r="M19" i="12"/>
  <c r="N175" i="2"/>
  <c r="M31" i="12"/>
  <c r="M83" i="8"/>
  <c r="M84" i="8" s="1"/>
  <c r="R217" i="13"/>
  <c r="R220" i="13"/>
  <c r="R222" i="13" s="1"/>
  <c r="Y1568" i="8"/>
  <c r="Q1555" i="8"/>
  <c r="S1568" i="8"/>
  <c r="M1569" i="8"/>
  <c r="O1556" i="8"/>
  <c r="V81" i="13"/>
  <c r="V78" i="13"/>
  <c r="Q1565" i="8"/>
  <c r="Q199" i="13"/>
  <c r="Y1559" i="8"/>
  <c r="U1599" i="8"/>
  <c r="U266" i="13"/>
  <c r="U267" i="13"/>
  <c r="U269" i="13"/>
  <c r="U271" i="13"/>
  <c r="U273" i="13"/>
  <c r="U270" i="13"/>
  <c r="U265" i="13"/>
  <c r="U272" i="13"/>
  <c r="U268" i="13"/>
  <c r="Z1556" i="8"/>
  <c r="S1556" i="8"/>
  <c r="AC81" i="13"/>
  <c r="AC78" i="13"/>
  <c r="N81" i="13"/>
  <c r="N78" i="13"/>
  <c r="P1566" i="8"/>
  <c r="W78" i="13"/>
  <c r="W81" i="13"/>
  <c r="N174" i="2"/>
  <c r="M79" i="8"/>
  <c r="M80" i="8" s="1"/>
  <c r="M30" i="12"/>
  <c r="M183" i="2"/>
  <c r="M235" i="2"/>
  <c r="U1567" i="8"/>
  <c r="N120" i="2"/>
  <c r="M67" i="8"/>
  <c r="M68" i="8" s="1"/>
  <c r="M24" i="12"/>
  <c r="N1566" i="8"/>
  <c r="L1556" i="8"/>
  <c r="M54" i="2"/>
  <c r="N1565" i="8"/>
  <c r="AB1556" i="8"/>
  <c r="M1556" i="8"/>
  <c r="N1559" i="8"/>
  <c r="O1555" i="8"/>
  <c r="O60" i="13"/>
  <c r="N177" i="2"/>
  <c r="M33" i="12"/>
  <c r="M91" i="8"/>
  <c r="M92" i="8" s="1"/>
  <c r="AA1567" i="8"/>
  <c r="AD1556" i="8"/>
  <c r="Z81" i="13"/>
  <c r="Z78" i="13"/>
  <c r="R1559" i="8"/>
  <c r="F1558" i="8"/>
  <c r="V1599" i="8"/>
  <c r="V268" i="13"/>
  <c r="V273" i="13"/>
  <c r="V269" i="13"/>
  <c r="V267" i="13"/>
  <c r="V265" i="13"/>
  <c r="V272" i="13"/>
  <c r="V266" i="13"/>
  <c r="V271" i="13"/>
  <c r="V270" i="13"/>
  <c r="M240" i="2"/>
  <c r="P217" i="13"/>
  <c r="P220" i="13"/>
  <c r="V1556" i="8"/>
  <c r="V1555" i="8"/>
  <c r="V1565" i="8"/>
  <c r="V976" i="8"/>
  <c r="V977" i="8" s="1"/>
  <c r="W318" i="2"/>
  <c r="W307" i="2" s="1"/>
  <c r="W717" i="2"/>
  <c r="W706" i="2" s="1"/>
  <c r="W90" i="17" s="1"/>
  <c r="S948" i="8"/>
  <c r="S949" i="8" s="1"/>
  <c r="W297" i="2"/>
  <c r="V844" i="8"/>
  <c r="V845" i="8" s="1"/>
  <c r="W284" i="2"/>
  <c r="N285" i="2"/>
  <c r="N286" i="2"/>
  <c r="N1466" i="8" s="1"/>
  <c r="W394" i="2"/>
  <c r="W956" i="8" s="1"/>
  <c r="W957" i="8" s="1"/>
  <c r="X259" i="2"/>
  <c r="M285" i="2"/>
  <c r="M286" i="2"/>
  <c r="M1466" i="8" s="1"/>
  <c r="V296" i="2"/>
  <c r="Y397" i="2"/>
  <c r="Y968" i="8" s="1"/>
  <c r="Y969" i="8" s="1"/>
  <c r="V398" i="2"/>
  <c r="V972" i="8" s="1"/>
  <c r="V973" i="8" s="1"/>
  <c r="W683" i="2"/>
  <c r="W86" i="17" s="1"/>
  <c r="L285" i="2"/>
  <c r="L286" i="2"/>
  <c r="W696" i="2"/>
  <c r="X832" i="8"/>
  <c r="X833" i="8" s="1"/>
  <c r="W383" i="2"/>
  <c r="W399" i="2"/>
  <c r="W976" i="8" s="1"/>
  <c r="W977" i="8" s="1"/>
  <c r="V395" i="2"/>
  <c r="X952" i="8"/>
  <c r="X953" i="8" s="1"/>
  <c r="W872" i="8"/>
  <c r="W873" i="8" s="1"/>
  <c r="X258" i="2"/>
  <c r="Y884" i="8"/>
  <c r="Y885" i="8" s="1"/>
  <c r="V964" i="8"/>
  <c r="V965" i="8" s="1"/>
  <c r="V382" i="2"/>
  <c r="Z884" i="8"/>
  <c r="Z885" i="8" s="1"/>
  <c r="N1433" i="8"/>
  <c r="N1445" i="8"/>
  <c r="L1433" i="8"/>
  <c r="L1445" i="8"/>
  <c r="M1433" i="8"/>
  <c r="M1445" i="8"/>
  <c r="Y868" i="8"/>
  <c r="Y869" i="8" s="1"/>
  <c r="W880" i="8"/>
  <c r="W881" i="8" s="1"/>
  <c r="W355" i="2"/>
  <c r="W356" i="2"/>
  <c r="W844" i="8" s="1"/>
  <c r="W845" i="8" s="1"/>
  <c r="X352" i="2"/>
  <c r="W358" i="2"/>
  <c r="W852" i="8" s="1"/>
  <c r="W853" i="8" s="1"/>
  <c r="X354" i="2"/>
  <c r="X836" i="8" s="1"/>
  <c r="X837" i="8" s="1"/>
  <c r="Z357" i="2"/>
  <c r="Z848" i="8" s="1"/>
  <c r="Z849" i="8" s="1"/>
  <c r="Y353" i="2"/>
  <c r="Y393" i="2" s="1"/>
  <c r="X359" i="2"/>
  <c r="X399" i="2" s="1"/>
  <c r="X976" i="8" s="1"/>
  <c r="X977" i="8" s="1"/>
  <c r="W748" i="2"/>
  <c r="W1220" i="8" s="1"/>
  <c r="W1221" i="8" s="1"/>
  <c r="W386" i="2"/>
  <c r="W928" i="8" s="1"/>
  <c r="W929" i="8" s="1"/>
  <c r="V385" i="2"/>
  <c r="V924" i="8" s="1"/>
  <c r="V925" i="8" s="1"/>
  <c r="W808" i="8"/>
  <c r="W809" i="8" s="1"/>
  <c r="W772" i="8"/>
  <c r="W773" i="8" s="1"/>
  <c r="X612" i="8"/>
  <c r="X613" i="8" s="1"/>
  <c r="X345" i="2"/>
  <c r="X334" i="2"/>
  <c r="X49" i="14" s="1"/>
  <c r="V374" i="2"/>
  <c r="W768" i="8"/>
  <c r="W769" i="8" s="1"/>
  <c r="X1168" i="8"/>
  <c r="X1169" i="8" s="1"/>
  <c r="W1176" i="8"/>
  <c r="W1177" i="8" s="1"/>
  <c r="X800" i="8"/>
  <c r="X801" i="8" s="1"/>
  <c r="W1200" i="8"/>
  <c r="W1201" i="8" s="1"/>
  <c r="W780" i="8"/>
  <c r="W781" i="8" s="1"/>
  <c r="W816" i="8"/>
  <c r="W817" i="8" s="1"/>
  <c r="W888" i="8"/>
  <c r="W889" i="8" s="1"/>
  <c r="W349" i="2"/>
  <c r="W824" i="8" s="1"/>
  <c r="W825" i="8" s="1"/>
  <c r="Y604" i="8"/>
  <c r="Y605" i="8" s="1"/>
  <c r="Y332" i="2"/>
  <c r="Y47" i="14" s="1"/>
  <c r="Y343" i="2"/>
  <c r="W1164" i="8"/>
  <c r="W1165" i="8" s="1"/>
  <c r="X620" i="8"/>
  <c r="X621" i="8" s="1"/>
  <c r="X336" i="2"/>
  <c r="X51" i="14" s="1"/>
  <c r="X347" i="2"/>
  <c r="V389" i="2"/>
  <c r="V940" i="8" s="1"/>
  <c r="V941" i="8" s="1"/>
  <c r="Y1008" i="8"/>
  <c r="Y1009" i="8" s="1"/>
  <c r="Y733" i="2"/>
  <c r="Y256" i="14" s="1"/>
  <c r="Y744" i="2"/>
  <c r="AA616" i="8"/>
  <c r="AA617" i="8" s="1"/>
  <c r="AA346" i="2"/>
  <c r="AA335" i="2"/>
  <c r="AA50" i="14" s="1"/>
  <c r="Y624" i="8"/>
  <c r="Y625" i="8" s="1"/>
  <c r="Y348" i="2"/>
  <c r="Y337" i="2"/>
  <c r="Y52" i="14" s="1"/>
  <c r="Y1012" i="8"/>
  <c r="Y1013" i="8" s="1"/>
  <c r="Y745" i="2"/>
  <c r="Y734" i="2"/>
  <c r="Y257" i="14" s="1"/>
  <c r="W948" i="8"/>
  <c r="W949" i="8" s="1"/>
  <c r="Z812" i="8"/>
  <c r="Z813" i="8" s="1"/>
  <c r="X820" i="8"/>
  <c r="X821" i="8" s="1"/>
  <c r="X1208" i="8"/>
  <c r="X1209" i="8" s="1"/>
  <c r="Z776" i="8"/>
  <c r="Z777" i="8" s="1"/>
  <c r="W828" i="8"/>
  <c r="W829" i="8" s="1"/>
  <c r="X784" i="8"/>
  <c r="X785" i="8" s="1"/>
  <c r="X1172" i="8"/>
  <c r="X1173" i="8" s="1"/>
  <c r="W375" i="2"/>
  <c r="X792" i="8"/>
  <c r="X793" i="8" s="1"/>
  <c r="W387" i="2"/>
  <c r="W932" i="8" s="1"/>
  <c r="W933" i="8" s="1"/>
  <c r="X1204" i="8"/>
  <c r="X1205" i="8" s="1"/>
  <c r="W864" i="8"/>
  <c r="W865" i="8" s="1"/>
  <c r="V371" i="2"/>
  <c r="V896" i="8" s="1"/>
  <c r="V897" i="8" s="1"/>
  <c r="V360" i="2"/>
  <c r="Y1180" i="8"/>
  <c r="Y1181" i="8" s="1"/>
  <c r="X1152" i="8"/>
  <c r="X1153" i="8" s="1"/>
  <c r="X756" i="8"/>
  <c r="X757" i="8" s="1"/>
  <c r="Z1020" i="8"/>
  <c r="Z1021" i="8" s="1"/>
  <c r="Z736" i="2"/>
  <c r="Z259" i="14" s="1"/>
  <c r="Z747" i="2"/>
  <c r="V378" i="2"/>
  <c r="Y992" i="8"/>
  <c r="Y993" i="8" s="1"/>
  <c r="Y740" i="2"/>
  <c r="Y729" i="2"/>
  <c r="X996" i="8"/>
  <c r="X997" i="8" s="1"/>
  <c r="X730" i="2"/>
  <c r="X253" i="14" s="1"/>
  <c r="X741" i="2"/>
  <c r="Y341" i="2"/>
  <c r="Y330" i="2"/>
  <c r="Y596" i="8"/>
  <c r="Y597" i="8" s="1"/>
  <c r="Y760" i="8"/>
  <c r="Y761" i="8" s="1"/>
  <c r="W1192" i="8"/>
  <c r="W1193" i="8" s="1"/>
  <c r="Y1216" i="8"/>
  <c r="Y1217" i="8" s="1"/>
  <c r="X1188" i="8"/>
  <c r="X1189" i="8" s="1"/>
  <c r="W338" i="2"/>
  <c r="W788" i="8" s="1"/>
  <c r="W789" i="8" s="1"/>
  <c r="Y796" i="8"/>
  <c r="Y797" i="8" s="1"/>
  <c r="W1156" i="8"/>
  <c r="W1157" i="8" s="1"/>
  <c r="W1160" i="8"/>
  <c r="W1161" i="8" s="1"/>
  <c r="W737" i="2"/>
  <c r="W1184" i="8" s="1"/>
  <c r="W1185" i="8" s="1"/>
  <c r="X764" i="8"/>
  <c r="X765" i="8" s="1"/>
  <c r="W1212" i="8"/>
  <c r="W1213" i="8" s="1"/>
  <c r="U390" i="2"/>
  <c r="U69" i="17" s="1"/>
  <c r="U84" i="17" s="1"/>
  <c r="X608" i="8"/>
  <c r="X609" i="8" s="1"/>
  <c r="X333" i="2"/>
  <c r="X48" i="14" s="1"/>
  <c r="X344" i="2"/>
  <c r="W1196" i="8"/>
  <c r="W1197" i="8" s="1"/>
  <c r="X1016" i="8"/>
  <c r="X1017" i="8" s="1"/>
  <c r="X735" i="2"/>
  <c r="X258" i="14" s="1"/>
  <c r="X746" i="2"/>
  <c r="Z331" i="2"/>
  <c r="Z46" i="14" s="1"/>
  <c r="Z600" i="8"/>
  <c r="Z601" i="8" s="1"/>
  <c r="Z342" i="2"/>
  <c r="X1004" i="8"/>
  <c r="X1005" i="8" s="1"/>
  <c r="X743" i="2"/>
  <c r="X732" i="2"/>
  <c r="X255" i="14" s="1"/>
  <c r="W804" i="8"/>
  <c r="W805" i="8" s="1"/>
  <c r="W876" i="8"/>
  <c r="W877" i="8" s="1"/>
  <c r="W376" i="2"/>
  <c r="X1000" i="8"/>
  <c r="X1001" i="8" s="1"/>
  <c r="X742" i="2"/>
  <c r="X731" i="2"/>
  <c r="X254" i="14" s="1"/>
  <c r="O37" i="18" l="1"/>
  <c r="P37" i="18" s="1"/>
  <c r="U37" i="18"/>
  <c r="G41" i="18"/>
  <c r="R39" i="18"/>
  <c r="Q39" i="18"/>
  <c r="U38" i="18"/>
  <c r="O38" i="18"/>
  <c r="H41" i="18"/>
  <c r="M28" i="15"/>
  <c r="Z1697" i="8"/>
  <c r="Z74" i="17"/>
  <c r="X1697" i="8"/>
  <c r="X74" i="17"/>
  <c r="N1697" i="8"/>
  <c r="N74" i="17"/>
  <c r="L1697" i="8"/>
  <c r="L74" i="17"/>
  <c r="AD1697" i="8"/>
  <c r="AD74" i="17"/>
  <c r="W1697" i="8"/>
  <c r="W74" i="17"/>
  <c r="T1697" i="8"/>
  <c r="T74" i="17"/>
  <c r="D59" i="18" s="1"/>
  <c r="O1697" i="8"/>
  <c r="O74" i="17"/>
  <c r="AE1697" i="8"/>
  <c r="AE74" i="17"/>
  <c r="V1697" i="8"/>
  <c r="V74" i="17"/>
  <c r="U1697" i="8"/>
  <c r="U74" i="17"/>
  <c r="Y1697" i="8"/>
  <c r="Y74" i="17"/>
  <c r="P1697" i="8"/>
  <c r="P74" i="17"/>
  <c r="Q1697" i="8"/>
  <c r="Q74" i="17"/>
  <c r="R1697" i="8"/>
  <c r="R74" i="17"/>
  <c r="AA1697" i="8"/>
  <c r="AA74" i="17"/>
  <c r="S1697" i="8"/>
  <c r="S74" i="17"/>
  <c r="AB1697" i="8"/>
  <c r="AB74" i="17"/>
  <c r="M1697" i="8"/>
  <c r="M74" i="17"/>
  <c r="AC1697" i="8"/>
  <c r="AC74" i="17"/>
  <c r="W23" i="15"/>
  <c r="W1842" i="8" s="1"/>
  <c r="M42" i="15"/>
  <c r="M1837" i="8"/>
  <c r="O944" i="8"/>
  <c r="O22" i="15"/>
  <c r="W908" i="8"/>
  <c r="W909" i="8" s="1"/>
  <c r="W61" i="15"/>
  <c r="R900" i="8"/>
  <c r="R901" i="8" s="1"/>
  <c r="R66" i="15"/>
  <c r="T904" i="8"/>
  <c r="T905" i="8" s="1"/>
  <c r="T51" i="15"/>
  <c r="V904" i="8"/>
  <c r="V905" i="8" s="1"/>
  <c r="V51" i="15"/>
  <c r="O904" i="8"/>
  <c r="O905" i="8" s="1"/>
  <c r="O51" i="15"/>
  <c r="S900" i="8"/>
  <c r="S901" i="8" s="1"/>
  <c r="S66" i="15"/>
  <c r="V900" i="8"/>
  <c r="V901" i="8" s="1"/>
  <c r="V66" i="15"/>
  <c r="R944" i="8"/>
  <c r="R22" i="15"/>
  <c r="M26" i="15"/>
  <c r="M66" i="17" s="1"/>
  <c r="S944" i="8"/>
  <c r="S22" i="15"/>
  <c r="Q944" i="8"/>
  <c r="Q22" i="15"/>
  <c r="T944" i="8"/>
  <c r="T22" i="15"/>
  <c r="Q900" i="8"/>
  <c r="Q901" i="8" s="1"/>
  <c r="Q66" i="15"/>
  <c r="Y252" i="14"/>
  <c r="P904" i="8"/>
  <c r="P905" i="8" s="1"/>
  <c r="P51" i="15"/>
  <c r="R904" i="8"/>
  <c r="R905" i="8" s="1"/>
  <c r="R51" i="15"/>
  <c r="Y45" i="14"/>
  <c r="W904" i="8"/>
  <c r="W905" i="8" s="1"/>
  <c r="W51" i="15"/>
  <c r="U904" i="8"/>
  <c r="U905" i="8" s="1"/>
  <c r="U51" i="15"/>
  <c r="P944" i="8"/>
  <c r="P22" i="15"/>
  <c r="T900" i="8"/>
  <c r="T901" i="8" s="1"/>
  <c r="T66" i="15"/>
  <c r="L42" i="15"/>
  <c r="L1837" i="8"/>
  <c r="Q904" i="8"/>
  <c r="Q905" i="8" s="1"/>
  <c r="Q51" i="15"/>
  <c r="V916" i="8"/>
  <c r="V917" i="8" s="1"/>
  <c r="V56" i="15"/>
  <c r="P900" i="8"/>
  <c r="P901" i="8" s="1"/>
  <c r="P66" i="15"/>
  <c r="O900" i="8"/>
  <c r="O901" i="8" s="1"/>
  <c r="O66" i="15"/>
  <c r="L26" i="15"/>
  <c r="L66" i="17" s="1"/>
  <c r="U944" i="8"/>
  <c r="U22" i="15"/>
  <c r="S904" i="8"/>
  <c r="S905" i="8" s="1"/>
  <c r="S51" i="15"/>
  <c r="U900" i="8"/>
  <c r="U901" i="8" s="1"/>
  <c r="U66" i="15"/>
  <c r="O379" i="2"/>
  <c r="O380" i="2" s="1"/>
  <c r="O70" i="17" s="1"/>
  <c r="T372" i="2"/>
  <c r="S339" i="2"/>
  <c r="S361" i="2" s="1"/>
  <c r="M191" i="14"/>
  <c r="M1671" i="8" s="1"/>
  <c r="T339" i="2"/>
  <c r="T361" i="2" s="1"/>
  <c r="W328" i="14"/>
  <c r="W75" i="17" s="1"/>
  <c r="O339" i="2"/>
  <c r="N20" i="12"/>
  <c r="O400" i="2"/>
  <c r="O137" i="13" s="1"/>
  <c r="W121" i="14"/>
  <c r="W122" i="14" s="1"/>
  <c r="O381" i="2"/>
  <c r="O328" i="2" s="1"/>
  <c r="M169" i="14"/>
  <c r="M161" i="14"/>
  <c r="P372" i="2"/>
  <c r="L165" i="14"/>
  <c r="M352" i="14"/>
  <c r="M173" i="14"/>
  <c r="X327" i="14"/>
  <c r="T400" i="2"/>
  <c r="T199" i="14" s="1"/>
  <c r="T200" i="14" s="1"/>
  <c r="N384" i="14"/>
  <c r="S400" i="2"/>
  <c r="S980" i="8" s="1"/>
  <c r="S981" i="8" s="1"/>
  <c r="M392" i="14"/>
  <c r="X331" i="14"/>
  <c r="L352" i="14"/>
  <c r="L340" i="14"/>
  <c r="L384" i="14"/>
  <c r="L157" i="14"/>
  <c r="P948" i="8"/>
  <c r="P949" i="8" s="1"/>
  <c r="L368" i="14"/>
  <c r="M145" i="14"/>
  <c r="L380" i="14"/>
  <c r="M384" i="14"/>
  <c r="M141" i="14"/>
  <c r="L129" i="14"/>
  <c r="N360" i="14"/>
  <c r="X120" i="14"/>
  <c r="S372" i="2"/>
  <c r="L348" i="14"/>
  <c r="L191" i="14"/>
  <c r="L194" i="14" s="1"/>
  <c r="L195" i="14" s="1"/>
  <c r="L1670" i="8" s="1"/>
  <c r="X124" i="14"/>
  <c r="L145" i="14"/>
  <c r="L613" i="2"/>
  <c r="L493" i="2"/>
  <c r="L433" i="2"/>
  <c r="L553" i="2"/>
  <c r="M551" i="2"/>
  <c r="M491" i="2"/>
  <c r="M611" i="2"/>
  <c r="M431" i="2"/>
  <c r="N51" i="8"/>
  <c r="N52" i="8" s="1"/>
  <c r="L614" i="2"/>
  <c r="L554" i="2"/>
  <c r="L434" i="2"/>
  <c r="L494" i="2"/>
  <c r="M1682" i="8"/>
  <c r="M139" i="5"/>
  <c r="M648" i="2" s="1"/>
  <c r="O75" i="17"/>
  <c r="L376" i="14"/>
  <c r="N140" i="14"/>
  <c r="N142" i="14" s="1"/>
  <c r="N144" i="14"/>
  <c r="N146" i="14" s="1"/>
  <c r="M372" i="14"/>
  <c r="L364" i="14"/>
  <c r="M360" i="14"/>
  <c r="N184" i="14"/>
  <c r="N186" i="14" s="1"/>
  <c r="N1669" i="8"/>
  <c r="N211" i="14"/>
  <c r="N209" i="14"/>
  <c r="N207" i="14"/>
  <c r="N205" i="14"/>
  <c r="N203" i="14"/>
  <c r="N206" i="14"/>
  <c r="N210" i="14"/>
  <c r="N204" i="14"/>
  <c r="N208" i="14"/>
  <c r="N192" i="14"/>
  <c r="N193" i="14"/>
  <c r="O122" i="14"/>
  <c r="M380" i="14"/>
  <c r="L1682" i="8"/>
  <c r="L139" i="5"/>
  <c r="L648" i="2" s="1"/>
  <c r="N364" i="14"/>
  <c r="M432" i="2"/>
  <c r="M552" i="2"/>
  <c r="M492" i="2"/>
  <c r="M612" i="2"/>
  <c r="M181" i="14"/>
  <c r="L149" i="14"/>
  <c r="M340" i="14"/>
  <c r="L141" i="14"/>
  <c r="N1708" i="8"/>
  <c r="N398" i="14"/>
  <c r="L153" i="14"/>
  <c r="N128" i="14"/>
  <c r="N130" i="14" s="1"/>
  <c r="N172" i="14"/>
  <c r="N174" i="14" s="1"/>
  <c r="L344" i="14"/>
  <c r="N356" i="14"/>
  <c r="N553" i="2"/>
  <c r="N493" i="2"/>
  <c r="N433" i="2"/>
  <c r="N613" i="2"/>
  <c r="M493" i="2"/>
  <c r="M553" i="2"/>
  <c r="M433" i="2"/>
  <c r="M613" i="2"/>
  <c r="P381" i="2"/>
  <c r="P1434" i="8" s="1"/>
  <c r="L1708" i="8"/>
  <c r="L398" i="14"/>
  <c r="N348" i="14"/>
  <c r="R75" i="17"/>
  <c r="L181" i="14"/>
  <c r="N156" i="14"/>
  <c r="N158" i="14" s="1"/>
  <c r="X326" i="14"/>
  <c r="L173" i="14"/>
  <c r="N132" i="14"/>
  <c r="N134" i="14" s="1"/>
  <c r="S860" i="8"/>
  <c r="S861" i="8" s="1"/>
  <c r="N372" i="14"/>
  <c r="L372" i="14"/>
  <c r="M185" i="14"/>
  <c r="N180" i="14"/>
  <c r="N182" i="14" s="1"/>
  <c r="X119" i="14"/>
  <c r="M336" i="14"/>
  <c r="L432" i="2"/>
  <c r="L612" i="2"/>
  <c r="L552" i="2"/>
  <c r="L492" i="2"/>
  <c r="L360" i="14"/>
  <c r="M398" i="14"/>
  <c r="M1708" i="8"/>
  <c r="N340" i="14"/>
  <c r="L336" i="14"/>
  <c r="N376" i="14"/>
  <c r="N547" i="2"/>
  <c r="N607" i="2"/>
  <c r="N427" i="2"/>
  <c r="N487" i="2"/>
  <c r="N152" i="14"/>
  <c r="N154" i="14" s="1"/>
  <c r="L388" i="14"/>
  <c r="M137" i="14"/>
  <c r="N380" i="14"/>
  <c r="N609" i="2"/>
  <c r="N489" i="2"/>
  <c r="N549" i="2"/>
  <c r="N429" i="2"/>
  <c r="M177" i="14"/>
  <c r="L137" i="14"/>
  <c r="L133" i="14"/>
  <c r="M1580" i="8"/>
  <c r="M1686" i="8"/>
  <c r="U381" i="2"/>
  <c r="U1434" i="8" s="1"/>
  <c r="L606" i="2"/>
  <c r="L486" i="2"/>
  <c r="L546" i="2"/>
  <c r="L426" i="2"/>
  <c r="M430" i="2"/>
  <c r="M490" i="2"/>
  <c r="M550" i="2"/>
  <c r="M610" i="2"/>
  <c r="M344" i="14"/>
  <c r="N344" i="14"/>
  <c r="M129" i="14"/>
  <c r="S122" i="14"/>
  <c r="P75" i="17"/>
  <c r="N551" i="2"/>
  <c r="N431" i="2"/>
  <c r="N611" i="2"/>
  <c r="N491" i="2"/>
  <c r="M149" i="14"/>
  <c r="M153" i="14"/>
  <c r="M356" i="14"/>
  <c r="M1579" i="8"/>
  <c r="M1685" i="8"/>
  <c r="L609" i="2"/>
  <c r="L489" i="2"/>
  <c r="L549" i="2"/>
  <c r="L429" i="2"/>
  <c r="M609" i="2"/>
  <c r="M549" i="2"/>
  <c r="M429" i="2"/>
  <c r="M489" i="2"/>
  <c r="N546" i="2"/>
  <c r="N486" i="2"/>
  <c r="N426" i="2"/>
  <c r="N606" i="2"/>
  <c r="P122" i="14"/>
  <c r="N136" i="14"/>
  <c r="N138" i="14" s="1"/>
  <c r="L608" i="2"/>
  <c r="L548" i="2"/>
  <c r="L428" i="2"/>
  <c r="L488" i="2"/>
  <c r="L169" i="14"/>
  <c r="M606" i="2"/>
  <c r="M546" i="2"/>
  <c r="M426" i="2"/>
  <c r="M486" i="2"/>
  <c r="M368" i="14"/>
  <c r="N548" i="2"/>
  <c r="N608" i="2"/>
  <c r="N428" i="2"/>
  <c r="N488" i="2"/>
  <c r="N164" i="14"/>
  <c r="N166" i="14" s="1"/>
  <c r="N388" i="14"/>
  <c r="L161" i="14"/>
  <c r="M348" i="14"/>
  <c r="L392" i="14"/>
  <c r="T75" i="17"/>
  <c r="D60" i="18" s="1"/>
  <c r="L427" i="2"/>
  <c r="L547" i="2"/>
  <c r="L607" i="2"/>
  <c r="L487" i="2"/>
  <c r="M133" i="14"/>
  <c r="M488" i="2"/>
  <c r="M548" i="2"/>
  <c r="M608" i="2"/>
  <c r="M428" i="2"/>
  <c r="S75" i="17"/>
  <c r="M165" i="14"/>
  <c r="N612" i="2"/>
  <c r="N552" i="2"/>
  <c r="N432" i="2"/>
  <c r="N492" i="2"/>
  <c r="N176" i="14"/>
  <c r="N178" i="14" s="1"/>
  <c r="U75" i="17"/>
  <c r="N352" i="14"/>
  <c r="L185" i="14"/>
  <c r="N550" i="2"/>
  <c r="N430" i="2"/>
  <c r="N490" i="2"/>
  <c r="N610" i="2"/>
  <c r="Q122" i="14"/>
  <c r="N148" i="14"/>
  <c r="N150" i="14" s="1"/>
  <c r="T250" i="2"/>
  <c r="T1673" i="8" s="1"/>
  <c r="T179" i="14"/>
  <c r="T151" i="14"/>
  <c r="T167" i="14"/>
  <c r="T139" i="14"/>
  <c r="T183" i="14"/>
  <c r="T155" i="14"/>
  <c r="T171" i="14"/>
  <c r="T143" i="14"/>
  <c r="T187" i="14"/>
  <c r="T190" i="14" s="1"/>
  <c r="T197" i="14" s="1"/>
  <c r="T163" i="14"/>
  <c r="T125" i="14"/>
  <c r="T147" i="14"/>
  <c r="T135" i="14"/>
  <c r="T159" i="14"/>
  <c r="T131" i="14"/>
  <c r="T175" i="14"/>
  <c r="M364" i="14"/>
  <c r="N368" i="14"/>
  <c r="L491" i="2"/>
  <c r="L431" i="2"/>
  <c r="L611" i="2"/>
  <c r="L551" i="2"/>
  <c r="L177" i="14"/>
  <c r="M157" i="14"/>
  <c r="M388" i="14"/>
  <c r="T860" i="8"/>
  <c r="T861" i="8" s="1"/>
  <c r="N494" i="2"/>
  <c r="N554" i="2"/>
  <c r="N434" i="2"/>
  <c r="N614" i="2"/>
  <c r="U122" i="14"/>
  <c r="M376" i="14"/>
  <c r="L356" i="14"/>
  <c r="N197" i="14"/>
  <c r="N392" i="14"/>
  <c r="R122" i="14"/>
  <c r="N336" i="14"/>
  <c r="V250" i="2"/>
  <c r="V1673" i="8" s="1"/>
  <c r="V163" i="14"/>
  <c r="V135" i="14"/>
  <c r="V179" i="14"/>
  <c r="V151" i="14"/>
  <c r="V167" i="14"/>
  <c r="V139" i="14"/>
  <c r="V183" i="14"/>
  <c r="V155" i="14"/>
  <c r="V187" i="14"/>
  <c r="V190" i="14" s="1"/>
  <c r="V131" i="14"/>
  <c r="V171" i="14"/>
  <c r="V175" i="14"/>
  <c r="V143" i="14"/>
  <c r="V147" i="14"/>
  <c r="V159" i="14"/>
  <c r="V125" i="14"/>
  <c r="M494" i="2"/>
  <c r="M614" i="2"/>
  <c r="M554" i="2"/>
  <c r="M434" i="2"/>
  <c r="Q860" i="8"/>
  <c r="Q861" i="8" s="1"/>
  <c r="L430" i="2"/>
  <c r="L550" i="2"/>
  <c r="L610" i="2"/>
  <c r="L490" i="2"/>
  <c r="R860" i="8"/>
  <c r="R861" i="8" s="1"/>
  <c r="M547" i="2"/>
  <c r="M487" i="2"/>
  <c r="M607" i="2"/>
  <c r="M427" i="2"/>
  <c r="Q75" i="17"/>
  <c r="N1682" i="8"/>
  <c r="N139" i="5"/>
  <c r="N648" i="2" s="1"/>
  <c r="V75" i="17"/>
  <c r="N168" i="14"/>
  <c r="N170" i="14" s="1"/>
  <c r="N160" i="14"/>
  <c r="N162" i="14" s="1"/>
  <c r="M39" i="8"/>
  <c r="M40" i="8" s="1"/>
  <c r="M14" i="12"/>
  <c r="N22" i="12"/>
  <c r="N59" i="8"/>
  <c r="N60" i="8" s="1"/>
  <c r="M49" i="12"/>
  <c r="N241" i="2"/>
  <c r="O241" i="2" s="1"/>
  <c r="M9" i="12"/>
  <c r="M19" i="8"/>
  <c r="M20" i="8" s="1"/>
  <c r="T379" i="2"/>
  <c r="T380" i="2" s="1"/>
  <c r="O119" i="2"/>
  <c r="P119" i="2" s="1"/>
  <c r="M15" i="8"/>
  <c r="M16" i="8" s="1"/>
  <c r="M8" i="12"/>
  <c r="P860" i="8"/>
  <c r="P861" i="8" s="1"/>
  <c r="N99" i="8"/>
  <c r="N100" i="8" s="1"/>
  <c r="Q381" i="2"/>
  <c r="Q328" i="2" s="1"/>
  <c r="S379" i="2"/>
  <c r="S380" i="2" s="1"/>
  <c r="S70" i="17" s="1"/>
  <c r="N71" i="8"/>
  <c r="N72" i="8" s="1"/>
  <c r="N25" i="12"/>
  <c r="R379" i="2"/>
  <c r="R380" i="2" s="1"/>
  <c r="R70" i="17" s="1"/>
  <c r="P400" i="2"/>
  <c r="S381" i="2"/>
  <c r="S1434" i="8" s="1"/>
  <c r="U339" i="2"/>
  <c r="U361" i="2" s="1"/>
  <c r="U400" i="2"/>
  <c r="U199" i="14" s="1"/>
  <c r="N23" i="12"/>
  <c r="O179" i="2"/>
  <c r="O99" i="8" s="1"/>
  <c r="O100" i="8" s="1"/>
  <c r="R372" i="2"/>
  <c r="Q372" i="2"/>
  <c r="N38" i="12"/>
  <c r="N111" i="8"/>
  <c r="N112" i="8" s="1"/>
  <c r="P379" i="2"/>
  <c r="P920" i="8" s="1"/>
  <c r="P921" i="8" s="1"/>
  <c r="AB1569" i="8"/>
  <c r="Q379" i="2"/>
  <c r="Q920" i="8" s="1"/>
  <c r="Q921" i="8" s="1"/>
  <c r="R381" i="2"/>
  <c r="R1434" i="8" s="1"/>
  <c r="P339" i="2"/>
  <c r="P361" i="2" s="1"/>
  <c r="U860" i="8"/>
  <c r="U861" i="8" s="1"/>
  <c r="Q400" i="2"/>
  <c r="Q1672" i="8" s="1"/>
  <c r="Y1569" i="8"/>
  <c r="R339" i="2"/>
  <c r="R361" i="2" s="1"/>
  <c r="Q339" i="2"/>
  <c r="Q361" i="2" s="1"/>
  <c r="U379" i="2"/>
  <c r="U920" i="8" s="1"/>
  <c r="U921" i="8" s="1"/>
  <c r="R400" i="2"/>
  <c r="R1672" i="8" s="1"/>
  <c r="M11" i="8"/>
  <c r="M12" i="8" s="1"/>
  <c r="AE1569" i="8"/>
  <c r="M7" i="12"/>
  <c r="U372" i="2"/>
  <c r="N95" i="8"/>
  <c r="N96" i="8" s="1"/>
  <c r="X1569" i="8"/>
  <c r="N34" i="12"/>
  <c r="Q1569" i="8"/>
  <c r="F1565" i="8"/>
  <c r="F1568" i="8"/>
  <c r="F1567" i="8"/>
  <c r="F1556" i="8"/>
  <c r="M27" i="12"/>
  <c r="F1599" i="8"/>
  <c r="AA1569" i="8"/>
  <c r="X1596" i="8"/>
  <c r="X1570" i="8"/>
  <c r="X224" i="13"/>
  <c r="X231" i="13"/>
  <c r="X228" i="13"/>
  <c r="X226" i="13"/>
  <c r="X227" i="13"/>
  <c r="X225" i="13"/>
  <c r="X223" i="13"/>
  <c r="X229" i="13"/>
  <c r="X230" i="13"/>
  <c r="AB1562" i="8"/>
  <c r="AB1561" i="8"/>
  <c r="AB138" i="13"/>
  <c r="T1596" i="8"/>
  <c r="T1570" i="8"/>
  <c r="T225" i="13"/>
  <c r="T228" i="13"/>
  <c r="T226" i="13"/>
  <c r="T231" i="13"/>
  <c r="T227" i="13"/>
  <c r="T223" i="13"/>
  <c r="T230" i="13"/>
  <c r="T229" i="13"/>
  <c r="T224" i="13"/>
  <c r="Q1596" i="8"/>
  <c r="Q1570" i="8"/>
  <c r="Q225" i="13"/>
  <c r="Q226" i="13"/>
  <c r="Q229" i="13"/>
  <c r="Q231" i="13"/>
  <c r="Q228" i="13"/>
  <c r="Q227" i="13"/>
  <c r="Q224" i="13"/>
  <c r="Q223" i="13"/>
  <c r="Q230" i="13"/>
  <c r="L1562" i="8"/>
  <c r="L1561" i="8"/>
  <c r="L138" i="13"/>
  <c r="L139" i="13" s="1"/>
  <c r="L1563" i="8" s="1"/>
  <c r="S1561" i="8"/>
  <c r="S1562" i="8"/>
  <c r="S138" i="13"/>
  <c r="P1561" i="8"/>
  <c r="P1562" i="8"/>
  <c r="P138" i="13"/>
  <c r="R1571" i="8"/>
  <c r="R1594" i="8"/>
  <c r="R1572" i="8"/>
  <c r="R277" i="13"/>
  <c r="N239" i="2"/>
  <c r="M47" i="12"/>
  <c r="M135" i="8"/>
  <c r="M136" i="8" s="1"/>
  <c r="P122" i="2"/>
  <c r="O26" i="12"/>
  <c r="O75" i="8"/>
  <c r="O76" i="8" s="1"/>
  <c r="Q1571" i="8"/>
  <c r="Q1572" i="8"/>
  <c r="Q1594" i="8"/>
  <c r="Q277" i="13"/>
  <c r="V1569" i="8"/>
  <c r="N238" i="2"/>
  <c r="M46" i="12"/>
  <c r="M131" i="8"/>
  <c r="M132" i="8" s="1"/>
  <c r="AA1562" i="8"/>
  <c r="AA1561" i="8"/>
  <c r="AA138" i="13"/>
  <c r="X1594" i="8"/>
  <c r="X1572" i="8"/>
  <c r="X1571" i="8"/>
  <c r="X277" i="13"/>
  <c r="M277" i="13"/>
  <c r="M1572" i="8"/>
  <c r="M1571" i="8"/>
  <c r="M1594" i="8"/>
  <c r="T1569" i="8"/>
  <c r="T1594" i="8"/>
  <c r="T1572" i="8"/>
  <c r="T1571" i="8"/>
  <c r="T277" i="13"/>
  <c r="O181" i="2"/>
  <c r="N107" i="8"/>
  <c r="N108" i="8" s="1"/>
  <c r="N37" i="12"/>
  <c r="AE1561" i="8"/>
  <c r="AE1562" i="8"/>
  <c r="AE138" i="13"/>
  <c r="N61" i="2"/>
  <c r="M35" i="8"/>
  <c r="M36" i="8" s="1"/>
  <c r="M13" i="12"/>
  <c r="AC1569" i="8"/>
  <c r="O115" i="2"/>
  <c r="N19" i="12"/>
  <c r="N47" i="8"/>
  <c r="N48" i="8" s="1"/>
  <c r="U1596" i="8"/>
  <c r="U1570" i="8"/>
  <c r="U229" i="13"/>
  <c r="U223" i="13"/>
  <c r="U231" i="13"/>
  <c r="U225" i="13"/>
  <c r="U228" i="13"/>
  <c r="U230" i="13"/>
  <c r="U227" i="13"/>
  <c r="U226" i="13"/>
  <c r="U224" i="13"/>
  <c r="W1594" i="8"/>
  <c r="W1572" i="8"/>
  <c r="W1571" i="8"/>
  <c r="W277" i="13"/>
  <c r="Y1562" i="8"/>
  <c r="Y1561" i="8"/>
  <c r="Y138" i="13"/>
  <c r="AC1596" i="8"/>
  <c r="AC1570" i="8"/>
  <c r="AC224" i="13"/>
  <c r="AC230" i="13"/>
  <c r="AC223" i="13"/>
  <c r="AC231" i="13"/>
  <c r="AC229" i="13"/>
  <c r="AC226" i="13"/>
  <c r="AC228" i="13"/>
  <c r="AC227" i="13"/>
  <c r="AC225" i="13"/>
  <c r="AE1571" i="8"/>
  <c r="AE1594" i="8"/>
  <c r="AE1572" i="8"/>
  <c r="AE277" i="13"/>
  <c r="AD1569" i="8"/>
  <c r="N58" i="2"/>
  <c r="M10" i="12"/>
  <c r="M23" i="8"/>
  <c r="M24" i="8" s="1"/>
  <c r="M39" i="12"/>
  <c r="M62" i="15" s="1"/>
  <c r="V1561" i="8"/>
  <c r="V1562" i="8"/>
  <c r="V138" i="13"/>
  <c r="U1594" i="8"/>
  <c r="U1572" i="8"/>
  <c r="U1571" i="8"/>
  <c r="U277" i="13"/>
  <c r="AD1571" i="8"/>
  <c r="AD1594" i="8"/>
  <c r="AD1572" i="8"/>
  <c r="AD277" i="13"/>
  <c r="Z1569" i="8"/>
  <c r="O174" i="2"/>
  <c r="N30" i="12"/>
  <c r="N79" i="8"/>
  <c r="N80" i="8" s="1"/>
  <c r="N183" i="2"/>
  <c r="V1594" i="8"/>
  <c r="V1572" i="8"/>
  <c r="V277" i="13"/>
  <c r="V1571" i="8"/>
  <c r="W1596" i="8"/>
  <c r="W1570" i="8"/>
  <c r="W228" i="13"/>
  <c r="W230" i="13"/>
  <c r="W229" i="13"/>
  <c r="W225" i="13"/>
  <c r="W227" i="13"/>
  <c r="W231" i="13"/>
  <c r="W224" i="13"/>
  <c r="W223" i="13"/>
  <c r="W226" i="13"/>
  <c r="AC1594" i="8"/>
  <c r="AC1571" i="8"/>
  <c r="AC1572" i="8"/>
  <c r="AC277" i="13"/>
  <c r="AE1596" i="8"/>
  <c r="AE1570" i="8"/>
  <c r="AE225" i="13"/>
  <c r="AE229" i="13"/>
  <c r="AE224" i="13"/>
  <c r="AE226" i="13"/>
  <c r="AE230" i="13"/>
  <c r="AE231" i="13"/>
  <c r="AE228" i="13"/>
  <c r="AE223" i="13"/>
  <c r="AE227" i="13"/>
  <c r="W1569" i="8"/>
  <c r="AD1561" i="8"/>
  <c r="AD1562" i="8"/>
  <c r="AD138" i="13"/>
  <c r="P182" i="2"/>
  <c r="O38" i="12"/>
  <c r="O111" i="8"/>
  <c r="O112" i="8" s="1"/>
  <c r="S1570" i="8"/>
  <c r="S1596" i="8"/>
  <c r="S227" i="13"/>
  <c r="S231" i="13"/>
  <c r="S223" i="13"/>
  <c r="S224" i="13"/>
  <c r="S230" i="13"/>
  <c r="S226" i="13"/>
  <c r="S228" i="13"/>
  <c r="S229" i="13"/>
  <c r="S225" i="13"/>
  <c r="O62" i="2"/>
  <c r="N39" i="8"/>
  <c r="N40" i="8" s="1"/>
  <c r="N14" i="12"/>
  <c r="O117" i="2"/>
  <c r="N55" i="8"/>
  <c r="N56" i="8" s="1"/>
  <c r="N21" i="12"/>
  <c r="S1571" i="8"/>
  <c r="S1594" i="8"/>
  <c r="S1572" i="8"/>
  <c r="S277" i="13"/>
  <c r="U1569" i="8"/>
  <c r="V1596" i="8"/>
  <c r="V1570" i="8"/>
  <c r="V228" i="13"/>
  <c r="V223" i="13"/>
  <c r="V231" i="13"/>
  <c r="V230" i="13"/>
  <c r="V224" i="13"/>
  <c r="V225" i="13"/>
  <c r="V226" i="13"/>
  <c r="V229" i="13"/>
  <c r="V227" i="13"/>
  <c r="U1561" i="8"/>
  <c r="U1562" i="8"/>
  <c r="U138" i="13"/>
  <c r="S1569" i="8"/>
  <c r="M1561" i="8"/>
  <c r="M1562" i="8"/>
  <c r="M138" i="13"/>
  <c r="M139" i="13" s="1"/>
  <c r="M1563" i="8" s="1"/>
  <c r="Q1561" i="8"/>
  <c r="Q1562" i="8"/>
  <c r="Q138" i="13"/>
  <c r="P118" i="2"/>
  <c r="O22" i="12"/>
  <c r="O59" i="8"/>
  <c r="O60" i="8" s="1"/>
  <c r="O56" i="2"/>
  <c r="N8" i="12"/>
  <c r="N15" i="8"/>
  <c r="N16" i="8" s="1"/>
  <c r="W1562" i="8"/>
  <c r="W1561" i="8"/>
  <c r="W138" i="13"/>
  <c r="Y1594" i="8"/>
  <c r="Y1572" i="8"/>
  <c r="Y1571" i="8"/>
  <c r="Y277" i="13"/>
  <c r="P178" i="2"/>
  <c r="O34" i="12"/>
  <c r="O95" i="8"/>
  <c r="O96" i="8" s="1"/>
  <c r="X1562" i="8"/>
  <c r="X1561" i="8"/>
  <c r="X138" i="13"/>
  <c r="N242" i="2"/>
  <c r="M147" i="8"/>
  <c r="M148" i="8" s="1"/>
  <c r="M50" i="12"/>
  <c r="O120" i="2"/>
  <c r="N24" i="12"/>
  <c r="N67" i="8"/>
  <c r="N68" i="8" s="1"/>
  <c r="N236" i="2"/>
  <c r="M123" i="8"/>
  <c r="M124" i="8" s="1"/>
  <c r="M44" i="12"/>
  <c r="O114" i="2"/>
  <c r="N18" i="12"/>
  <c r="N43" i="8"/>
  <c r="N44" i="8" s="1"/>
  <c r="N123" i="2"/>
  <c r="Y1596" i="8"/>
  <c r="Y1570" i="8"/>
  <c r="Y231" i="13"/>
  <c r="Y227" i="13"/>
  <c r="Y230" i="13"/>
  <c r="Y224" i="13"/>
  <c r="Y225" i="13"/>
  <c r="Y226" i="13"/>
  <c r="Y229" i="13"/>
  <c r="Y223" i="13"/>
  <c r="Y228" i="13"/>
  <c r="O180" i="2"/>
  <c r="N36" i="12"/>
  <c r="N103" i="8"/>
  <c r="N104" i="8" s="1"/>
  <c r="N234" i="2"/>
  <c r="M115" i="8"/>
  <c r="M116" i="8" s="1"/>
  <c r="M42" i="12"/>
  <c r="M243" i="2"/>
  <c r="Z1594" i="8"/>
  <c r="Z1572" i="8"/>
  <c r="Z1571" i="8"/>
  <c r="Z277" i="13"/>
  <c r="AB1596" i="8"/>
  <c r="AB1570" i="8"/>
  <c r="AB231" i="13"/>
  <c r="AB228" i="13"/>
  <c r="AB226" i="13"/>
  <c r="AB230" i="13"/>
  <c r="AB223" i="13"/>
  <c r="AB229" i="13"/>
  <c r="AB224" i="13"/>
  <c r="AB227" i="13"/>
  <c r="AB225" i="13"/>
  <c r="N60" i="2"/>
  <c r="M31" i="8"/>
  <c r="M32" i="8" s="1"/>
  <c r="M12" i="12"/>
  <c r="N59" i="2"/>
  <c r="M11" i="12"/>
  <c r="M27" i="8"/>
  <c r="M28" i="8" s="1"/>
  <c r="N1594" i="8"/>
  <c r="N1572" i="8"/>
  <c r="N277" i="13"/>
  <c r="N1571" i="8"/>
  <c r="O175" i="2"/>
  <c r="N31" i="12"/>
  <c r="N83" i="8"/>
  <c r="N84" i="8" s="1"/>
  <c r="N240" i="2"/>
  <c r="M48" i="12"/>
  <c r="M139" i="8"/>
  <c r="M140" i="8" s="1"/>
  <c r="Z1562" i="8"/>
  <c r="Z1561" i="8"/>
  <c r="Z138" i="13"/>
  <c r="N1561" i="8"/>
  <c r="N1562" i="8"/>
  <c r="N138" i="13"/>
  <c r="N139" i="13" s="1"/>
  <c r="N1563" i="8" s="1"/>
  <c r="P121" i="2"/>
  <c r="O71" i="8"/>
  <c r="O72" i="8" s="1"/>
  <c r="O25" i="12"/>
  <c r="F1559" i="8"/>
  <c r="O57" i="2"/>
  <c r="N9" i="12"/>
  <c r="N19" i="8"/>
  <c r="N20" i="8" s="1"/>
  <c r="Z1596" i="8"/>
  <c r="Z1570" i="8"/>
  <c r="Z230" i="13"/>
  <c r="Z229" i="13"/>
  <c r="Z227" i="13"/>
  <c r="Z225" i="13"/>
  <c r="Z226" i="13"/>
  <c r="Z231" i="13"/>
  <c r="Z228" i="13"/>
  <c r="Z223" i="13"/>
  <c r="Z224" i="13"/>
  <c r="AB1594" i="8"/>
  <c r="AB1572" i="8"/>
  <c r="AB277" i="13"/>
  <c r="AB1571" i="8"/>
  <c r="F1555" i="8"/>
  <c r="P1571" i="8"/>
  <c r="P1572" i="8"/>
  <c r="P277" i="13"/>
  <c r="P1594" i="8"/>
  <c r="AA1571" i="8"/>
  <c r="AA1594" i="8"/>
  <c r="AA1572" i="8"/>
  <c r="AA277" i="13"/>
  <c r="P116" i="2"/>
  <c r="O51" i="8"/>
  <c r="O52" i="8" s="1"/>
  <c r="O20" i="12"/>
  <c r="O1561" i="8"/>
  <c r="O1562" i="8"/>
  <c r="O138" i="13"/>
  <c r="O1571" i="8"/>
  <c r="O1594" i="8"/>
  <c r="O1572" i="8"/>
  <c r="O277" i="13"/>
  <c r="R1569" i="8"/>
  <c r="R1561" i="8"/>
  <c r="R1562" i="8"/>
  <c r="R138" i="13"/>
  <c r="N237" i="2"/>
  <c r="M45" i="12"/>
  <c r="M127" i="8"/>
  <c r="M128" i="8" s="1"/>
  <c r="O177" i="2"/>
  <c r="N33" i="12"/>
  <c r="N91" i="8"/>
  <c r="N92" i="8" s="1"/>
  <c r="AD1570" i="8"/>
  <c r="AD1596" i="8"/>
  <c r="AD230" i="13"/>
  <c r="AD225" i="13"/>
  <c r="AD228" i="13"/>
  <c r="AD226" i="13"/>
  <c r="AD224" i="13"/>
  <c r="AD229" i="13"/>
  <c r="AD231" i="13"/>
  <c r="AD227" i="13"/>
  <c r="AD223" i="13"/>
  <c r="L1594" i="8"/>
  <c r="L1572" i="8"/>
  <c r="L1571" i="8"/>
  <c r="L277" i="13"/>
  <c r="N54" i="2"/>
  <c r="M7" i="8"/>
  <c r="M8" i="8" s="1"/>
  <c r="M6" i="12"/>
  <c r="M63" i="2"/>
  <c r="N235" i="2"/>
  <c r="M43" i="12"/>
  <c r="M119" i="8"/>
  <c r="M120" i="8" s="1"/>
  <c r="AC1562" i="8"/>
  <c r="AC1561" i="8"/>
  <c r="AC138" i="13"/>
  <c r="R1596" i="8"/>
  <c r="R1570" i="8"/>
  <c r="R231" i="13"/>
  <c r="R224" i="13"/>
  <c r="R228" i="13"/>
  <c r="R223" i="13"/>
  <c r="R227" i="13"/>
  <c r="R230" i="13"/>
  <c r="R226" i="13"/>
  <c r="R225" i="13"/>
  <c r="R229" i="13"/>
  <c r="AA1596" i="8"/>
  <c r="AA1570" i="8"/>
  <c r="AA226" i="13"/>
  <c r="AA231" i="13"/>
  <c r="AA224" i="13"/>
  <c r="AA223" i="13"/>
  <c r="AA225" i="13"/>
  <c r="AA229" i="13"/>
  <c r="AA227" i="13"/>
  <c r="AA228" i="13"/>
  <c r="AA230" i="13"/>
  <c r="T1562" i="8"/>
  <c r="T1561" i="8"/>
  <c r="T138" i="13"/>
  <c r="O176" i="2"/>
  <c r="N32" i="12"/>
  <c r="N87" i="8"/>
  <c r="N88" i="8" s="1"/>
  <c r="O55" i="2"/>
  <c r="N11" i="8"/>
  <c r="N12" i="8" s="1"/>
  <c r="N7" i="12"/>
  <c r="T328" i="2"/>
  <c r="V372" i="2"/>
  <c r="V339" i="2"/>
  <c r="V361" i="2" s="1"/>
  <c r="X392" i="2"/>
  <c r="Z397" i="2"/>
  <c r="Z968" i="8" s="1"/>
  <c r="Z969" i="8" s="1"/>
  <c r="X297" i="2"/>
  <c r="X318" i="2"/>
  <c r="X717" i="2"/>
  <c r="X696" i="2"/>
  <c r="V400" i="2"/>
  <c r="V960" i="8"/>
  <c r="V961" i="8" s="1"/>
  <c r="W395" i="2"/>
  <c r="W960" i="8" s="1"/>
  <c r="W961" i="8" s="1"/>
  <c r="W296" i="2"/>
  <c r="W396" i="2"/>
  <c r="W964" i="8" s="1"/>
  <c r="W965" i="8" s="1"/>
  <c r="X284" i="2"/>
  <c r="X375" i="2"/>
  <c r="L1466" i="8"/>
  <c r="X856" i="8"/>
  <c r="X857" i="8" s="1"/>
  <c r="X683" i="2"/>
  <c r="X86" i="17" s="1"/>
  <c r="Y259" i="2"/>
  <c r="X394" i="2"/>
  <c r="X956" i="8" s="1"/>
  <c r="X957" i="8" s="1"/>
  <c r="X383" i="2"/>
  <c r="W398" i="2"/>
  <c r="W972" i="8" s="1"/>
  <c r="W973" i="8" s="1"/>
  <c r="X387" i="2"/>
  <c r="X932" i="8" s="1"/>
  <c r="X933" i="8" s="1"/>
  <c r="Y258" i="2"/>
  <c r="Y952" i="8"/>
  <c r="Y953" i="8" s="1"/>
  <c r="W840" i="8"/>
  <c r="W841" i="8" s="1"/>
  <c r="W382" i="2"/>
  <c r="X888" i="8"/>
  <c r="X889" i="8" s="1"/>
  <c r="X880" i="8"/>
  <c r="X881" i="8" s="1"/>
  <c r="Z868" i="8"/>
  <c r="Z869" i="8" s="1"/>
  <c r="X872" i="8"/>
  <c r="X873" i="8" s="1"/>
  <c r="X892" i="8"/>
  <c r="X893" i="8" s="1"/>
  <c r="AA357" i="2"/>
  <c r="AA848" i="8" s="1"/>
  <c r="AA849" i="8" s="1"/>
  <c r="Y354" i="2"/>
  <c r="Y836" i="8" s="1"/>
  <c r="Y837" i="8" s="1"/>
  <c r="Y359" i="2"/>
  <c r="Y376" i="2" s="1"/>
  <c r="Z353" i="2"/>
  <c r="Z832" i="8" s="1"/>
  <c r="Z833" i="8" s="1"/>
  <c r="X349" i="2"/>
  <c r="X824" i="8" s="1"/>
  <c r="X825" i="8" s="1"/>
  <c r="Y832" i="8"/>
  <c r="Y833" i="8" s="1"/>
  <c r="V860" i="8"/>
  <c r="V861" i="8" s="1"/>
  <c r="V381" i="2"/>
  <c r="X358" i="2"/>
  <c r="X852" i="8" s="1"/>
  <c r="X853" i="8" s="1"/>
  <c r="X356" i="2"/>
  <c r="X396" i="2" s="1"/>
  <c r="X355" i="2"/>
  <c r="X395" i="2" s="1"/>
  <c r="Y352" i="2"/>
  <c r="Y392" i="2" s="1"/>
  <c r="X772" i="8"/>
  <c r="X773" i="8" s="1"/>
  <c r="W389" i="2"/>
  <c r="W940" i="8" s="1"/>
  <c r="W941" i="8" s="1"/>
  <c r="X808" i="8"/>
  <c r="X809" i="8" s="1"/>
  <c r="Y345" i="2"/>
  <c r="Y334" i="2"/>
  <c r="Y49" i="14" s="1"/>
  <c r="Y612" i="8"/>
  <c r="Y613" i="8" s="1"/>
  <c r="V379" i="2"/>
  <c r="W371" i="2"/>
  <c r="W896" i="8" s="1"/>
  <c r="W897" i="8" s="1"/>
  <c r="X768" i="8"/>
  <c r="X769" i="8" s="1"/>
  <c r="AA1020" i="8"/>
  <c r="AA1021" i="8" s="1"/>
  <c r="AA736" i="2"/>
  <c r="AA259" i="14" s="1"/>
  <c r="AA747" i="2"/>
  <c r="W360" i="2"/>
  <c r="X780" i="8"/>
  <c r="X781" i="8" s="1"/>
  <c r="Z1216" i="8"/>
  <c r="Z1217" i="8" s="1"/>
  <c r="Y620" i="8"/>
  <c r="Y621" i="8" s="1"/>
  <c r="Y336" i="2"/>
  <c r="Y51" i="14" s="1"/>
  <c r="Y347" i="2"/>
  <c r="Y1016" i="8"/>
  <c r="Y1017" i="8" s="1"/>
  <c r="Y746" i="2"/>
  <c r="Y735" i="2"/>
  <c r="Y258" i="14" s="1"/>
  <c r="Z1180" i="8"/>
  <c r="Z1181" i="8" s="1"/>
  <c r="X864" i="8"/>
  <c r="X865" i="8" s="1"/>
  <c r="X1212" i="8"/>
  <c r="X1213" i="8" s="1"/>
  <c r="Y996" i="8"/>
  <c r="Y997" i="8" s="1"/>
  <c r="Y741" i="2"/>
  <c r="Y730" i="2"/>
  <c r="Y253" i="14" s="1"/>
  <c r="AA776" i="8"/>
  <c r="AA777" i="8" s="1"/>
  <c r="AA812" i="8"/>
  <c r="AA813" i="8" s="1"/>
  <c r="AA884" i="8"/>
  <c r="AA885" i="8" s="1"/>
  <c r="X1156" i="8"/>
  <c r="X1157" i="8" s="1"/>
  <c r="Y1172" i="8"/>
  <c r="Y1173" i="8" s="1"/>
  <c r="W374" i="2"/>
  <c r="W66" i="15" s="1"/>
  <c r="AB616" i="8"/>
  <c r="AB617" i="8" s="1"/>
  <c r="AB346" i="2"/>
  <c r="AB335" i="2"/>
  <c r="AB50" i="14" s="1"/>
  <c r="X1164" i="8"/>
  <c r="X1165" i="8" s="1"/>
  <c r="Y1208" i="8"/>
  <c r="Y1209" i="8" s="1"/>
  <c r="Y1204" i="8"/>
  <c r="Y1205" i="8" s="1"/>
  <c r="Y800" i="8"/>
  <c r="Y801" i="8" s="1"/>
  <c r="Y872" i="8"/>
  <c r="Y873" i="8" s="1"/>
  <c r="W378" i="2"/>
  <c r="X1192" i="8"/>
  <c r="X1193" i="8" s="1"/>
  <c r="X828" i="8"/>
  <c r="X829" i="8" s="1"/>
  <c r="Y1004" i="8"/>
  <c r="Y1005" i="8" s="1"/>
  <c r="Y732" i="2"/>
  <c r="Y255" i="14" s="1"/>
  <c r="Y743" i="2"/>
  <c r="X338" i="2"/>
  <c r="X788" i="8" s="1"/>
  <c r="X789" i="8" s="1"/>
  <c r="X1200" i="8"/>
  <c r="X1201" i="8" s="1"/>
  <c r="Y1168" i="8"/>
  <c r="Y1169" i="8" s="1"/>
  <c r="Y764" i="8"/>
  <c r="Y765" i="8" s="1"/>
  <c r="Y1152" i="8"/>
  <c r="Y1153" i="8" s="1"/>
  <c r="V390" i="2"/>
  <c r="V69" i="17" s="1"/>
  <c r="V84" i="17" s="1"/>
  <c r="Z1008" i="8"/>
  <c r="Z1009" i="8" s="1"/>
  <c r="Z744" i="2"/>
  <c r="Z733" i="2"/>
  <c r="Z256" i="14" s="1"/>
  <c r="Z796" i="8"/>
  <c r="Z797" i="8" s="1"/>
  <c r="Z992" i="8"/>
  <c r="Z993" i="8" s="1"/>
  <c r="Z729" i="2"/>
  <c r="Z740" i="2"/>
  <c r="X737" i="2"/>
  <c r="X1184" i="8" s="1"/>
  <c r="X1185" i="8" s="1"/>
  <c r="X376" i="2"/>
  <c r="Z604" i="8"/>
  <c r="Z605" i="8" s="1"/>
  <c r="Z332" i="2"/>
  <c r="Z47" i="14" s="1"/>
  <c r="Z343" i="2"/>
  <c r="X1160" i="8"/>
  <c r="X1161" i="8" s="1"/>
  <c r="Y756" i="8"/>
  <c r="Y757" i="8" s="1"/>
  <c r="Y1188" i="8"/>
  <c r="Y1189" i="8" s="1"/>
  <c r="Z624" i="8"/>
  <c r="Z625" i="8" s="1"/>
  <c r="Z348" i="2"/>
  <c r="Z337" i="2"/>
  <c r="Z52" i="14" s="1"/>
  <c r="W385" i="2"/>
  <c r="Z1012" i="8"/>
  <c r="Z1013" i="8" s="1"/>
  <c r="Z745" i="2"/>
  <c r="Z734" i="2"/>
  <c r="Z257" i="14" s="1"/>
  <c r="X1196" i="8"/>
  <c r="X1197" i="8" s="1"/>
  <c r="Z760" i="8"/>
  <c r="Z761" i="8" s="1"/>
  <c r="Y333" i="2"/>
  <c r="Y48" i="14" s="1"/>
  <c r="Y608" i="8"/>
  <c r="Y609" i="8" s="1"/>
  <c r="Y344" i="2"/>
  <c r="X748" i="2"/>
  <c r="X1220" i="8" s="1"/>
  <c r="X1221" i="8" s="1"/>
  <c r="Y792" i="8"/>
  <c r="Y793" i="8" s="1"/>
  <c r="Y784" i="8"/>
  <c r="Y785" i="8" s="1"/>
  <c r="X1176" i="8"/>
  <c r="X1177" i="8" s="1"/>
  <c r="Y1000" i="8"/>
  <c r="Y1001" i="8" s="1"/>
  <c r="Y742" i="2"/>
  <c r="Y731" i="2"/>
  <c r="Y254" i="14" s="1"/>
  <c r="AA331" i="2"/>
  <c r="AA46" i="14" s="1"/>
  <c r="AA600" i="8"/>
  <c r="AA601" i="8" s="1"/>
  <c r="AA342" i="2"/>
  <c r="X804" i="8"/>
  <c r="X805" i="8" s="1"/>
  <c r="X876" i="8"/>
  <c r="X877" i="8" s="1"/>
  <c r="Z341" i="2"/>
  <c r="Z596" i="8"/>
  <c r="Z597" i="8" s="1"/>
  <c r="Z330" i="2"/>
  <c r="X386" i="2"/>
  <c r="X928" i="8" s="1"/>
  <c r="X929" i="8" s="1"/>
  <c r="Y820" i="8"/>
  <c r="Y821" i="8" s="1"/>
  <c r="X816" i="8"/>
  <c r="X817" i="8" s="1"/>
  <c r="U41" i="18" l="1"/>
  <c r="Q37" i="18"/>
  <c r="R37" i="18"/>
  <c r="L660" i="2"/>
  <c r="L38" i="15" s="1"/>
  <c r="L659" i="2"/>
  <c r="L37" i="15" s="1"/>
  <c r="N660" i="2"/>
  <c r="N38" i="15" s="1"/>
  <c r="N659" i="2"/>
  <c r="N37" i="15" s="1"/>
  <c r="M660" i="2"/>
  <c r="M38" i="15" s="1"/>
  <c r="M659" i="2"/>
  <c r="M37" i="15" s="1"/>
  <c r="O920" i="8"/>
  <c r="O921" i="8" s="1"/>
  <c r="F1697" i="8"/>
  <c r="T285" i="2"/>
  <c r="T70" i="17"/>
  <c r="M63" i="15"/>
  <c r="M1849" i="8" s="1"/>
  <c r="M64" i="15"/>
  <c r="Z252" i="14"/>
  <c r="Q24" i="15"/>
  <c r="Q1836" i="8"/>
  <c r="W916" i="8"/>
  <c r="W917" i="8" s="1"/>
  <c r="W56" i="15"/>
  <c r="M1838" i="8"/>
  <c r="M27" i="15"/>
  <c r="M1835" i="8" s="1"/>
  <c r="R24" i="15"/>
  <c r="R1836" i="8"/>
  <c r="Z45" i="14"/>
  <c r="V944" i="8"/>
  <c r="V22" i="15"/>
  <c r="L1844" i="8"/>
  <c r="L1840" i="8"/>
  <c r="O24" i="15"/>
  <c r="O1836" i="8"/>
  <c r="U24" i="15"/>
  <c r="U1836" i="8"/>
  <c r="S24" i="15"/>
  <c r="S1836" i="8"/>
  <c r="M1523" i="8"/>
  <c r="M57" i="15"/>
  <c r="X908" i="8"/>
  <c r="X909" i="8" s="1"/>
  <c r="X61" i="15"/>
  <c r="P24" i="15"/>
  <c r="P1836" i="8"/>
  <c r="M1844" i="8"/>
  <c r="M1840" i="8"/>
  <c r="X904" i="8"/>
  <c r="X905" i="8" s="1"/>
  <c r="X51" i="15"/>
  <c r="Y908" i="8"/>
  <c r="Y909" i="8" s="1"/>
  <c r="Y61" i="15"/>
  <c r="L27" i="15"/>
  <c r="L1835" i="8" s="1"/>
  <c r="L1838" i="8"/>
  <c r="X23" i="15"/>
  <c r="X1842" i="8" s="1"/>
  <c r="T24" i="15"/>
  <c r="T1836" i="8"/>
  <c r="M198" i="14"/>
  <c r="S1431" i="8"/>
  <c r="O1434" i="8"/>
  <c r="T980" i="8"/>
  <c r="T981" i="8" s="1"/>
  <c r="Y119" i="14"/>
  <c r="M194" i="14"/>
  <c r="M196" i="14" s="1"/>
  <c r="S1672" i="8"/>
  <c r="W1705" i="8"/>
  <c r="O1432" i="8"/>
  <c r="O1431" i="8"/>
  <c r="O980" i="8"/>
  <c r="O981" i="8" s="1"/>
  <c r="O1672" i="8"/>
  <c r="W332" i="14"/>
  <c r="W335" i="14" s="1"/>
  <c r="W337" i="14" s="1"/>
  <c r="O199" i="14"/>
  <c r="O200" i="14" s="1"/>
  <c r="W649" i="2"/>
  <c r="W1677" i="8" s="1"/>
  <c r="T137" i="13"/>
  <c r="T139" i="13" s="1"/>
  <c r="T1563" i="8" s="1"/>
  <c r="T1432" i="8"/>
  <c r="T1431" i="8"/>
  <c r="M579" i="2"/>
  <c r="N579" i="2" s="1"/>
  <c r="M639" i="2"/>
  <c r="N639" i="2" s="1"/>
  <c r="X121" i="14"/>
  <c r="X122" i="14" s="1"/>
  <c r="M514" i="2"/>
  <c r="N514" i="2" s="1"/>
  <c r="S199" i="14"/>
  <c r="S200" i="14" s="1"/>
  <c r="S137" i="13"/>
  <c r="S139" i="13" s="1"/>
  <c r="S1563" i="8" s="1"/>
  <c r="S1432" i="8"/>
  <c r="M458" i="2"/>
  <c r="N458" i="2" s="1"/>
  <c r="T1672" i="8"/>
  <c r="N169" i="14"/>
  <c r="M577" i="2"/>
  <c r="M239" i="8" s="1"/>
  <c r="M240" i="8" s="1"/>
  <c r="M518" i="2"/>
  <c r="M207" i="8" s="1"/>
  <c r="M208" i="8" s="1"/>
  <c r="M521" i="2"/>
  <c r="N521" i="2" s="1"/>
  <c r="M641" i="2"/>
  <c r="M291" i="8" s="1"/>
  <c r="M292" i="8" s="1"/>
  <c r="N185" i="14"/>
  <c r="U328" i="2"/>
  <c r="M576" i="2"/>
  <c r="M84" i="12" s="1"/>
  <c r="M517" i="2"/>
  <c r="M203" i="8" s="1"/>
  <c r="M204" i="8" s="1"/>
  <c r="X328" i="14"/>
  <c r="X75" i="17" s="1"/>
  <c r="Y327" i="14"/>
  <c r="L198" i="14"/>
  <c r="M519" i="2"/>
  <c r="N519" i="2" s="1"/>
  <c r="L1671" i="8"/>
  <c r="N145" i="14"/>
  <c r="N141" i="14"/>
  <c r="M580" i="2"/>
  <c r="N580" i="2" s="1"/>
  <c r="Y124" i="14"/>
  <c r="Y120" i="14"/>
  <c r="M574" i="2"/>
  <c r="N574" i="2" s="1"/>
  <c r="M454" i="2"/>
  <c r="N149" i="14"/>
  <c r="N129" i="14"/>
  <c r="L196" i="14"/>
  <c r="Y331" i="14"/>
  <c r="N161" i="14"/>
  <c r="M578" i="2"/>
  <c r="N578" i="2" s="1"/>
  <c r="M455" i="2"/>
  <c r="N455" i="2" s="1"/>
  <c r="M457" i="2"/>
  <c r="N457" i="2" s="1"/>
  <c r="N167" i="8" s="1"/>
  <c r="N168" i="8" s="1"/>
  <c r="N165" i="14"/>
  <c r="M635" i="2"/>
  <c r="Q1705" i="8"/>
  <c r="Q649" i="2"/>
  <c r="Q1677" i="8" s="1"/>
  <c r="Q374" i="14"/>
  <c r="Q390" i="14"/>
  <c r="Q362" i="14"/>
  <c r="Q366" i="14"/>
  <c r="Q394" i="14"/>
  <c r="Q397" i="14" s="1"/>
  <c r="Q386" i="14"/>
  <c r="Q382" i="14"/>
  <c r="Q342" i="14"/>
  <c r="Q338" i="14"/>
  <c r="Q358" i="14"/>
  <c r="Q346" i="14"/>
  <c r="Q354" i="14"/>
  <c r="Q378" i="14"/>
  <c r="Q350" i="14"/>
  <c r="Q332" i="14"/>
  <c r="Q370" i="14"/>
  <c r="V1669" i="8"/>
  <c r="V211" i="14"/>
  <c r="V209" i="14"/>
  <c r="V207" i="14"/>
  <c r="V205" i="14"/>
  <c r="V203" i="14"/>
  <c r="V206" i="14"/>
  <c r="V204" i="14"/>
  <c r="V210" i="14"/>
  <c r="V208" i="14"/>
  <c r="V192" i="14"/>
  <c r="V193" i="14"/>
  <c r="T148" i="14"/>
  <c r="T150" i="14" s="1"/>
  <c r="M515" i="2"/>
  <c r="L1683" i="8"/>
  <c r="L751" i="2"/>
  <c r="L658" i="2"/>
  <c r="L657" i="2"/>
  <c r="L752" i="2"/>
  <c r="L755" i="2"/>
  <c r="L758" i="2"/>
  <c r="L757" i="2"/>
  <c r="L753" i="2"/>
  <c r="L754" i="2"/>
  <c r="L756" i="2"/>
  <c r="L765" i="2"/>
  <c r="L769" i="2"/>
  <c r="L762" i="2"/>
  <c r="L767" i="2"/>
  <c r="L1280" i="8" s="1"/>
  <c r="L1281" i="8" s="1"/>
  <c r="L768" i="2"/>
  <c r="L1284" i="8" s="1"/>
  <c r="L1285" i="8" s="1"/>
  <c r="L764" i="2"/>
  <c r="L1268" i="8" s="1"/>
  <c r="L1269" i="8" s="1"/>
  <c r="L763" i="2"/>
  <c r="L1264" i="8" s="1"/>
  <c r="L1265" i="8" s="1"/>
  <c r="L766" i="2"/>
  <c r="N133" i="14"/>
  <c r="T128" i="14"/>
  <c r="T130" i="14" s="1"/>
  <c r="V199" i="14"/>
  <c r="V200" i="14" s="1"/>
  <c r="V1672" i="8"/>
  <c r="M1578" i="8"/>
  <c r="M1684" i="8"/>
  <c r="M1581" i="8"/>
  <c r="M1687" i="8"/>
  <c r="U200" i="14"/>
  <c r="V184" i="14"/>
  <c r="V186" i="14" s="1"/>
  <c r="M638" i="2"/>
  <c r="T164" i="14"/>
  <c r="T166" i="14" s="1"/>
  <c r="N177" i="14"/>
  <c r="M634" i="2"/>
  <c r="M575" i="2"/>
  <c r="N153" i="14"/>
  <c r="M459" i="2"/>
  <c r="R137" i="13"/>
  <c r="R139" i="13" s="1"/>
  <c r="R1563" i="8" s="1"/>
  <c r="R199" i="14"/>
  <c r="R200" i="14" s="1"/>
  <c r="N1707" i="8"/>
  <c r="N405" i="14"/>
  <c r="N401" i="14"/>
  <c r="V168" i="14"/>
  <c r="V170" i="14" s="1"/>
  <c r="U250" i="2"/>
  <c r="U1673" i="8" s="1"/>
  <c r="U179" i="14"/>
  <c r="U151" i="14"/>
  <c r="U167" i="14"/>
  <c r="U139" i="14"/>
  <c r="U183" i="14"/>
  <c r="U187" i="14"/>
  <c r="U190" i="14" s="1"/>
  <c r="U197" i="14" s="1"/>
  <c r="U159" i="14"/>
  <c r="U131" i="14"/>
  <c r="U163" i="14"/>
  <c r="U171" i="14"/>
  <c r="U143" i="14"/>
  <c r="U147" i="14"/>
  <c r="U155" i="14"/>
  <c r="U175" i="14"/>
  <c r="U125" i="14"/>
  <c r="U135" i="14"/>
  <c r="T144" i="14"/>
  <c r="T146" i="14" s="1"/>
  <c r="M456" i="2"/>
  <c r="U1705" i="8"/>
  <c r="U649" i="2"/>
  <c r="U1677" i="8" s="1"/>
  <c r="U332" i="14"/>
  <c r="T1669" i="8"/>
  <c r="T210" i="14"/>
  <c r="T208" i="14"/>
  <c r="T206" i="14"/>
  <c r="T204" i="14"/>
  <c r="T209" i="14"/>
  <c r="T203" i="14"/>
  <c r="T207" i="14"/>
  <c r="T211" i="14"/>
  <c r="T205" i="14"/>
  <c r="T192" i="14"/>
  <c r="T193" i="14"/>
  <c r="P137" i="13"/>
  <c r="P139" i="13" s="1"/>
  <c r="P1563" i="8" s="1"/>
  <c r="P199" i="14"/>
  <c r="P200" i="14" s="1"/>
  <c r="U1672" i="8"/>
  <c r="T172" i="14"/>
  <c r="T174" i="14" s="1"/>
  <c r="T1705" i="8"/>
  <c r="T649" i="2"/>
  <c r="T1677" i="8" s="1"/>
  <c r="T332" i="14"/>
  <c r="N137" i="14"/>
  <c r="N157" i="14"/>
  <c r="O1705" i="8"/>
  <c r="O649" i="2"/>
  <c r="O1677" i="8" s="1"/>
  <c r="O390" i="14"/>
  <c r="O362" i="14"/>
  <c r="O378" i="14"/>
  <c r="O350" i="14"/>
  <c r="O370" i="14"/>
  <c r="O358" i="14"/>
  <c r="O338" i="14"/>
  <c r="O394" i="14"/>
  <c r="O397" i="14" s="1"/>
  <c r="O386" i="14"/>
  <c r="O366" i="14"/>
  <c r="O354" i="14"/>
  <c r="O374" i="14"/>
  <c r="O346" i="14"/>
  <c r="O382" i="14"/>
  <c r="O332" i="14"/>
  <c r="O342" i="14"/>
  <c r="M460" i="2"/>
  <c r="R250" i="2"/>
  <c r="R1673" i="8" s="1"/>
  <c r="R167" i="14"/>
  <c r="R139" i="14"/>
  <c r="R183" i="14"/>
  <c r="R155" i="14"/>
  <c r="R171" i="14"/>
  <c r="R143" i="14"/>
  <c r="R187" i="14"/>
  <c r="R190" i="14" s="1"/>
  <c r="R197" i="14" s="1"/>
  <c r="R159" i="14"/>
  <c r="R131" i="14"/>
  <c r="R125" i="14"/>
  <c r="R175" i="14"/>
  <c r="R151" i="14"/>
  <c r="R147" i="14"/>
  <c r="R163" i="14"/>
  <c r="R135" i="14"/>
  <c r="R179" i="14"/>
  <c r="T180" i="14"/>
  <c r="T182" i="14" s="1"/>
  <c r="V132" i="14"/>
  <c r="V134" i="14" s="1"/>
  <c r="T136" i="14"/>
  <c r="T138" i="14" s="1"/>
  <c r="O139" i="13"/>
  <c r="O1563" i="8" s="1"/>
  <c r="N1579" i="8"/>
  <c r="N1685" i="8"/>
  <c r="V197" i="14"/>
  <c r="V152" i="14"/>
  <c r="V154" i="14" s="1"/>
  <c r="T156" i="14"/>
  <c r="T158" i="14" s="1"/>
  <c r="P1672" i="8"/>
  <c r="M516" i="2"/>
  <c r="N181" i="14"/>
  <c r="M520" i="2"/>
  <c r="N1580" i="8"/>
  <c r="N1686" i="8"/>
  <c r="V172" i="14"/>
  <c r="V174" i="14" s="1"/>
  <c r="M1681" i="8"/>
  <c r="M1577" i="8"/>
  <c r="S250" i="2"/>
  <c r="S1673" i="8" s="1"/>
  <c r="S167" i="14"/>
  <c r="S183" i="14"/>
  <c r="S155" i="14"/>
  <c r="S175" i="14"/>
  <c r="S147" i="14"/>
  <c r="S179" i="14"/>
  <c r="S139" i="14"/>
  <c r="S171" i="14"/>
  <c r="S125" i="14"/>
  <c r="S143" i="14"/>
  <c r="S159" i="14"/>
  <c r="S187" i="14"/>
  <c r="S190" i="14" s="1"/>
  <c r="S197" i="14" s="1"/>
  <c r="S151" i="14"/>
  <c r="S163" i="14"/>
  <c r="S135" i="14"/>
  <c r="S131" i="14"/>
  <c r="Y326" i="14"/>
  <c r="N173" i="14"/>
  <c r="V156" i="14"/>
  <c r="V158" i="14" s="1"/>
  <c r="V140" i="14"/>
  <c r="V142" i="14" s="1"/>
  <c r="V128" i="14"/>
  <c r="V130" i="14" s="1"/>
  <c r="V180" i="14"/>
  <c r="V182" i="14" s="1"/>
  <c r="T184" i="14"/>
  <c r="T186" i="14" s="1"/>
  <c r="P250" i="2"/>
  <c r="P1673" i="8" s="1"/>
  <c r="P183" i="14"/>
  <c r="P155" i="14"/>
  <c r="P171" i="14"/>
  <c r="P143" i="14"/>
  <c r="P187" i="14"/>
  <c r="P190" i="14" s="1"/>
  <c r="P159" i="14"/>
  <c r="P175" i="14"/>
  <c r="P147" i="14"/>
  <c r="P167" i="14"/>
  <c r="P125" i="14"/>
  <c r="P135" i="14"/>
  <c r="P179" i="14"/>
  <c r="P151" i="14"/>
  <c r="P131" i="14"/>
  <c r="P163" i="14"/>
  <c r="P139" i="14"/>
  <c r="M636" i="2"/>
  <c r="L1678" i="8"/>
  <c r="L1574" i="8"/>
  <c r="M453" i="2"/>
  <c r="R1705" i="8"/>
  <c r="R649" i="2"/>
  <c r="R1677" i="8" s="1"/>
  <c r="R332" i="14"/>
  <c r="O250" i="2"/>
  <c r="O1673" i="8" s="1"/>
  <c r="O171" i="14"/>
  <c r="O187" i="14"/>
  <c r="O190" i="14" s="1"/>
  <c r="O159" i="14"/>
  <c r="O175" i="14"/>
  <c r="O179" i="14"/>
  <c r="O151" i="14"/>
  <c r="O135" i="14"/>
  <c r="O147" i="14"/>
  <c r="O131" i="14"/>
  <c r="O155" i="14"/>
  <c r="O163" i="14"/>
  <c r="O143" i="14"/>
  <c r="O139" i="14"/>
  <c r="O167" i="14"/>
  <c r="O183" i="14"/>
  <c r="O125" i="14"/>
  <c r="M1683" i="8"/>
  <c r="M658" i="2"/>
  <c r="M751" i="2"/>
  <c r="M752" i="2"/>
  <c r="M758" i="2"/>
  <c r="M756" i="2"/>
  <c r="M755" i="2"/>
  <c r="M753" i="2"/>
  <c r="M754" i="2"/>
  <c r="M757" i="2"/>
  <c r="M657" i="2"/>
  <c r="M769" i="2"/>
  <c r="M765" i="2"/>
  <c r="M768" i="2"/>
  <c r="M1284" i="8" s="1"/>
  <c r="M1285" i="8" s="1"/>
  <c r="M764" i="2"/>
  <c r="M1268" i="8" s="1"/>
  <c r="M1269" i="8" s="1"/>
  <c r="M763" i="2"/>
  <c r="M1264" i="8" s="1"/>
  <c r="M1265" i="8" s="1"/>
  <c r="M762" i="2"/>
  <c r="M767" i="2"/>
  <c r="M1280" i="8" s="1"/>
  <c r="M1281" i="8" s="1"/>
  <c r="M766" i="2"/>
  <c r="M640" i="2"/>
  <c r="N1683" i="8"/>
  <c r="N758" i="2"/>
  <c r="N754" i="2"/>
  <c r="N755" i="2"/>
  <c r="N757" i="2"/>
  <c r="N753" i="2"/>
  <c r="N751" i="2"/>
  <c r="N752" i="2"/>
  <c r="N657" i="2"/>
  <c r="N756" i="2"/>
  <c r="N658" i="2"/>
  <c r="N769" i="2"/>
  <c r="N765" i="2"/>
  <c r="N768" i="2"/>
  <c r="N1284" i="8" s="1"/>
  <c r="N1285" i="8" s="1"/>
  <c r="N764" i="2"/>
  <c r="N1268" i="8" s="1"/>
  <c r="N1269" i="8" s="1"/>
  <c r="N763" i="2"/>
  <c r="N1264" i="8" s="1"/>
  <c r="N1265" i="8" s="1"/>
  <c r="N766" i="2"/>
  <c r="N762" i="2"/>
  <c r="N767" i="2"/>
  <c r="N1280" i="8" s="1"/>
  <c r="N1281" i="8" s="1"/>
  <c r="Q250" i="2"/>
  <c r="Q1673" i="8" s="1"/>
  <c r="Q183" i="14"/>
  <c r="Q155" i="14"/>
  <c r="Q171" i="14"/>
  <c r="Q143" i="14"/>
  <c r="Q187" i="14"/>
  <c r="Q190" i="14" s="1"/>
  <c r="Q197" i="14" s="1"/>
  <c r="Q163" i="14"/>
  <c r="Q139" i="14"/>
  <c r="Q167" i="14"/>
  <c r="Q125" i="14"/>
  <c r="Q175" i="14"/>
  <c r="Q135" i="14"/>
  <c r="Q147" i="14"/>
  <c r="Q159" i="14"/>
  <c r="Q179" i="14"/>
  <c r="Q151" i="14"/>
  <c r="Q131" i="14"/>
  <c r="P328" i="2"/>
  <c r="V160" i="14"/>
  <c r="V162" i="14" s="1"/>
  <c r="V136" i="14"/>
  <c r="V138" i="14" s="1"/>
  <c r="T140" i="14"/>
  <c r="T142" i="14" s="1"/>
  <c r="N1681" i="8"/>
  <c r="N1577" i="8"/>
  <c r="L1680" i="8"/>
  <c r="L1576" i="8"/>
  <c r="M573" i="2"/>
  <c r="Q137" i="13"/>
  <c r="Q139" i="13" s="1"/>
  <c r="Q1563" i="8" s="1"/>
  <c r="Q199" i="14"/>
  <c r="Q200" i="14" s="1"/>
  <c r="V148" i="14"/>
  <c r="V150" i="14" s="1"/>
  <c r="V164" i="14"/>
  <c r="V166" i="14" s="1"/>
  <c r="T176" i="14"/>
  <c r="T178" i="14" s="1"/>
  <c r="T168" i="14"/>
  <c r="T170" i="14" s="1"/>
  <c r="S1705" i="8"/>
  <c r="S649" i="2"/>
  <c r="S1677" i="8" s="1"/>
  <c r="S332" i="14"/>
  <c r="M1679" i="8"/>
  <c r="M1575" i="8"/>
  <c r="N1678" i="8"/>
  <c r="N1574" i="8"/>
  <c r="L1679" i="8"/>
  <c r="L1575" i="8"/>
  <c r="M513" i="2"/>
  <c r="V1705" i="8"/>
  <c r="V649" i="2"/>
  <c r="V1677" i="8" s="1"/>
  <c r="V332" i="14"/>
  <c r="V144" i="14"/>
  <c r="V146" i="14" s="1"/>
  <c r="T132" i="14"/>
  <c r="T134" i="14" s="1"/>
  <c r="W250" i="2"/>
  <c r="W1673" i="8" s="1"/>
  <c r="W163" i="14"/>
  <c r="W179" i="14"/>
  <c r="W151" i="14"/>
  <c r="W171" i="14"/>
  <c r="W143" i="14"/>
  <c r="W187" i="14"/>
  <c r="W190" i="14" s="1"/>
  <c r="W197" i="14" s="1"/>
  <c r="W167" i="14"/>
  <c r="W139" i="14"/>
  <c r="W131" i="14"/>
  <c r="W183" i="14"/>
  <c r="W125" i="14"/>
  <c r="W147" i="14"/>
  <c r="W159" i="14"/>
  <c r="W155" i="14"/>
  <c r="W135" i="14"/>
  <c r="W175" i="14"/>
  <c r="M1678" i="8"/>
  <c r="M1574" i="8"/>
  <c r="N1679" i="8"/>
  <c r="N1575" i="8"/>
  <c r="L1681" i="8"/>
  <c r="L1577" i="8"/>
  <c r="M633" i="2"/>
  <c r="L1707" i="8"/>
  <c r="L405" i="14"/>
  <c r="L401" i="14"/>
  <c r="N191" i="14"/>
  <c r="M461" i="2"/>
  <c r="M637" i="2"/>
  <c r="V176" i="14"/>
  <c r="V178" i="14" s="1"/>
  <c r="T160" i="14"/>
  <c r="T162" i="14" s="1"/>
  <c r="T152" i="14"/>
  <c r="T154" i="14" s="1"/>
  <c r="M1680" i="8"/>
  <c r="M1576" i="8"/>
  <c r="N1680" i="8"/>
  <c r="N1576" i="8"/>
  <c r="P1705" i="8"/>
  <c r="P649" i="2"/>
  <c r="P1677" i="8" s="1"/>
  <c r="P390" i="14"/>
  <c r="P358" i="14"/>
  <c r="P366" i="14"/>
  <c r="P370" i="14"/>
  <c r="P338" i="14"/>
  <c r="P346" i="14"/>
  <c r="P342" i="14"/>
  <c r="P378" i="14"/>
  <c r="P374" i="14"/>
  <c r="P394" i="14"/>
  <c r="P397" i="14" s="1"/>
  <c r="P404" i="14" s="1"/>
  <c r="P1712" i="8" s="1"/>
  <c r="P386" i="14"/>
  <c r="P350" i="14"/>
  <c r="P362" i="14"/>
  <c r="P354" i="14"/>
  <c r="P382" i="14"/>
  <c r="P332" i="14"/>
  <c r="M1707" i="8"/>
  <c r="M405" i="14"/>
  <c r="M401" i="14"/>
  <c r="M581" i="2"/>
  <c r="Q1434" i="8"/>
  <c r="Q380" i="2"/>
  <c r="M1535" i="8"/>
  <c r="M1536" i="8" s="1"/>
  <c r="R920" i="8"/>
  <c r="R921" i="8" s="1"/>
  <c r="S920" i="8"/>
  <c r="S921" i="8" s="1"/>
  <c r="N143" i="8"/>
  <c r="N144" i="8" s="1"/>
  <c r="F1497" i="8"/>
  <c r="N49" i="12"/>
  <c r="P980" i="8"/>
  <c r="P981" i="8" s="1"/>
  <c r="O35" i="12"/>
  <c r="R328" i="2"/>
  <c r="P179" i="2"/>
  <c r="P35" i="12" s="1"/>
  <c r="U980" i="8"/>
  <c r="U981" i="8" s="1"/>
  <c r="U1431" i="8"/>
  <c r="T920" i="8"/>
  <c r="T921" i="8" s="1"/>
  <c r="T1433" i="8"/>
  <c r="T286" i="2"/>
  <c r="T1466" i="8" s="1"/>
  <c r="T1445" i="8"/>
  <c r="O63" i="8"/>
  <c r="O64" i="8" s="1"/>
  <c r="O23" i="12"/>
  <c r="U137" i="13"/>
  <c r="U139" i="13" s="1"/>
  <c r="U1563" i="8" s="1"/>
  <c r="U1432" i="8"/>
  <c r="P380" i="2"/>
  <c r="S328" i="2"/>
  <c r="U380" i="2"/>
  <c r="R1431" i="8"/>
  <c r="R1432" i="8"/>
  <c r="P1431" i="8"/>
  <c r="P1432" i="8"/>
  <c r="R980" i="8"/>
  <c r="R981" i="8" s="1"/>
  <c r="Q1432" i="8"/>
  <c r="Q980" i="8"/>
  <c r="Q981" i="8" s="1"/>
  <c r="Q1431" i="8"/>
  <c r="F1569" i="8"/>
  <c r="F1571" i="8"/>
  <c r="M15" i="12"/>
  <c r="AD1566" i="8"/>
  <c r="U1566" i="8"/>
  <c r="N39" i="12"/>
  <c r="N27" i="12"/>
  <c r="P175" i="2"/>
  <c r="O31" i="12"/>
  <c r="O83" i="8"/>
  <c r="O84" i="8" s="1"/>
  <c r="F1570" i="8"/>
  <c r="P56" i="2"/>
  <c r="O8" i="12"/>
  <c r="O15" i="8"/>
  <c r="O16" i="8" s="1"/>
  <c r="R1566" i="8"/>
  <c r="P115" i="2"/>
  <c r="O47" i="8"/>
  <c r="O48" i="8" s="1"/>
  <c r="O19" i="12"/>
  <c r="P176" i="2"/>
  <c r="O32" i="12"/>
  <c r="O87" i="8"/>
  <c r="O88" i="8" s="1"/>
  <c r="O54" i="2"/>
  <c r="N6" i="12"/>
  <c r="N7" i="8"/>
  <c r="N8" i="8" s="1"/>
  <c r="N63" i="2"/>
  <c r="P177" i="2"/>
  <c r="O33" i="12"/>
  <c r="O91" i="8"/>
  <c r="O92" i="8" s="1"/>
  <c r="V1566" i="8"/>
  <c r="M1524" i="8"/>
  <c r="M1538" i="8"/>
  <c r="M1539" i="8" s="1"/>
  <c r="O238" i="2"/>
  <c r="N46" i="12"/>
  <c r="N131" i="8"/>
  <c r="N132" i="8" s="1"/>
  <c r="O239" i="2"/>
  <c r="N135" i="8"/>
  <c r="N136" i="8" s="1"/>
  <c r="N47" i="12"/>
  <c r="Q119" i="2"/>
  <c r="P23" i="12"/>
  <c r="P63" i="8"/>
  <c r="P64" i="8" s="1"/>
  <c r="P241" i="2"/>
  <c r="O143" i="8"/>
  <c r="O144" i="8" s="1"/>
  <c r="O49" i="12"/>
  <c r="AE1566" i="8"/>
  <c r="AA1566" i="8"/>
  <c r="Z1566" i="8"/>
  <c r="AB1566" i="8"/>
  <c r="O234" i="2"/>
  <c r="N42" i="12"/>
  <c r="N115" i="8"/>
  <c r="N116" i="8" s="1"/>
  <c r="N243" i="2"/>
  <c r="Q1566" i="8"/>
  <c r="F1572" i="8"/>
  <c r="F1596" i="8"/>
  <c r="Q122" i="2"/>
  <c r="P75" i="8"/>
  <c r="P76" i="8" s="1"/>
  <c r="P26" i="12"/>
  <c r="Q182" i="2"/>
  <c r="P38" i="12"/>
  <c r="P111" i="8"/>
  <c r="P112" i="8" s="1"/>
  <c r="Q116" i="2"/>
  <c r="P20" i="12"/>
  <c r="P51" i="8"/>
  <c r="P52" i="8" s="1"/>
  <c r="O236" i="2"/>
  <c r="N44" i="12"/>
  <c r="N123" i="8"/>
  <c r="N124" i="8" s="1"/>
  <c r="AC1566" i="8"/>
  <c r="P181" i="2"/>
  <c r="O107" i="8"/>
  <c r="O108" i="8" s="1"/>
  <c r="O37" i="12"/>
  <c r="O235" i="2"/>
  <c r="N119" i="8"/>
  <c r="N120" i="8" s="1"/>
  <c r="N43" i="12"/>
  <c r="F1594" i="8"/>
  <c r="P62" i="2"/>
  <c r="O14" i="12"/>
  <c r="O39" i="8"/>
  <c r="O40" i="8" s="1"/>
  <c r="F1561" i="8"/>
  <c r="P57" i="2"/>
  <c r="O9" i="12"/>
  <c r="O19" i="8"/>
  <c r="O20" i="8" s="1"/>
  <c r="F1562" i="8"/>
  <c r="Q121" i="2"/>
  <c r="P25" i="12"/>
  <c r="P71" i="8"/>
  <c r="P72" i="8" s="1"/>
  <c r="M51" i="12"/>
  <c r="M67" i="15" s="1"/>
  <c r="Q118" i="2"/>
  <c r="P22" i="12"/>
  <c r="P59" i="8"/>
  <c r="P60" i="8" s="1"/>
  <c r="O58" i="2"/>
  <c r="N10" i="12"/>
  <c r="N23" i="8"/>
  <c r="N24" i="8" s="1"/>
  <c r="O61" i="2"/>
  <c r="N35" i="8"/>
  <c r="N36" i="8" s="1"/>
  <c r="N13" i="12"/>
  <c r="P55" i="2"/>
  <c r="O11" i="8"/>
  <c r="O12" i="8" s="1"/>
  <c r="O7" i="12"/>
  <c r="V137" i="13"/>
  <c r="V139" i="13" s="1"/>
  <c r="V1563" i="8" s="1"/>
  <c r="O237" i="2"/>
  <c r="N45" i="12"/>
  <c r="N127" i="8"/>
  <c r="N128" i="8" s="1"/>
  <c r="O240" i="2"/>
  <c r="N139" i="8"/>
  <c r="N140" i="8" s="1"/>
  <c r="N48" i="12"/>
  <c r="P180" i="2"/>
  <c r="O36" i="12"/>
  <c r="O103" i="8"/>
  <c r="O104" i="8" s="1"/>
  <c r="P174" i="2"/>
  <c r="O30" i="12"/>
  <c r="O79" i="8"/>
  <c r="O80" i="8" s="1"/>
  <c r="O183" i="2"/>
  <c r="O59" i="2"/>
  <c r="N11" i="12"/>
  <c r="N27" i="8"/>
  <c r="N28" i="8" s="1"/>
  <c r="P114" i="2"/>
  <c r="O18" i="12"/>
  <c r="O43" i="8"/>
  <c r="O44" i="8" s="1"/>
  <c r="O123" i="2"/>
  <c r="P120" i="2"/>
  <c r="O67" i="8"/>
  <c r="O68" i="8" s="1"/>
  <c r="O24" i="12"/>
  <c r="Q178" i="2"/>
  <c r="P34" i="12"/>
  <c r="P95" i="8"/>
  <c r="P96" i="8" s="1"/>
  <c r="S1566" i="8"/>
  <c r="W1566" i="8"/>
  <c r="P117" i="2"/>
  <c r="O21" i="12"/>
  <c r="O55" i="8"/>
  <c r="O56" i="8" s="1"/>
  <c r="Y1566" i="8"/>
  <c r="T1566" i="8"/>
  <c r="O60" i="2"/>
  <c r="N31" i="8"/>
  <c r="N32" i="8" s="1"/>
  <c r="N12" i="12"/>
  <c r="O242" i="2"/>
  <c r="N50" i="12"/>
  <c r="N147" i="8"/>
  <c r="N148" i="8" s="1"/>
  <c r="X1566" i="8"/>
  <c r="O1433" i="8"/>
  <c r="O1445" i="8"/>
  <c r="O285" i="2"/>
  <c r="O286" i="2"/>
  <c r="O1466" i="8" s="1"/>
  <c r="X948" i="8"/>
  <c r="X949" i="8" s="1"/>
  <c r="X844" i="8"/>
  <c r="X845" i="8" s="1"/>
  <c r="V980" i="8"/>
  <c r="V981" i="8" s="1"/>
  <c r="V1432" i="8"/>
  <c r="W372" i="2"/>
  <c r="V1431" i="8"/>
  <c r="W339" i="2"/>
  <c r="R285" i="2"/>
  <c r="R286" i="2"/>
  <c r="R1466" i="8" s="1"/>
  <c r="R1433" i="8"/>
  <c r="R1445" i="8"/>
  <c r="Y717" i="2"/>
  <c r="Y706" i="2" s="1"/>
  <c r="Y90" i="17" s="1"/>
  <c r="S286" i="2"/>
  <c r="S1466" i="8" s="1"/>
  <c r="S1445" i="8"/>
  <c r="S1433" i="8"/>
  <c r="S285" i="2"/>
  <c r="Y297" i="2"/>
  <c r="Y318" i="2"/>
  <c r="Y307" i="2" s="1"/>
  <c r="X307" i="2"/>
  <c r="V1434" i="8"/>
  <c r="V328" i="2"/>
  <c r="X706" i="2"/>
  <c r="X90" i="17" s="1"/>
  <c r="AA397" i="2"/>
  <c r="AA968" i="8" s="1"/>
  <c r="AA969" i="8" s="1"/>
  <c r="Y399" i="2"/>
  <c r="Y976" i="8" s="1"/>
  <c r="Y977" i="8" s="1"/>
  <c r="Z393" i="2"/>
  <c r="Z952" i="8" s="1"/>
  <c r="Z953" i="8" s="1"/>
  <c r="X840" i="8"/>
  <c r="X841" i="8" s="1"/>
  <c r="Y683" i="2"/>
  <c r="Y86" i="17" s="1"/>
  <c r="X296" i="2"/>
  <c r="Y696" i="2"/>
  <c r="Y383" i="2"/>
  <c r="Y284" i="2"/>
  <c r="W400" i="2"/>
  <c r="X382" i="2"/>
  <c r="X398" i="2"/>
  <c r="X972" i="8" s="1"/>
  <c r="X973" i="8" s="1"/>
  <c r="Y394" i="2"/>
  <c r="Y956" i="8" s="1"/>
  <c r="Y957" i="8" s="1"/>
  <c r="X960" i="8"/>
  <c r="X961" i="8" s="1"/>
  <c r="Z259" i="2"/>
  <c r="Z258" i="2"/>
  <c r="Y892" i="8"/>
  <c r="Y893" i="8" s="1"/>
  <c r="AB884" i="8"/>
  <c r="AB885" i="8" s="1"/>
  <c r="AA868" i="8"/>
  <c r="AA869" i="8" s="1"/>
  <c r="Y876" i="8"/>
  <c r="Y877" i="8" s="1"/>
  <c r="X964" i="8"/>
  <c r="X965" i="8" s="1"/>
  <c r="Z892" i="8"/>
  <c r="Z893" i="8" s="1"/>
  <c r="Z359" i="2"/>
  <c r="Z399" i="2" s="1"/>
  <c r="Y856" i="8"/>
  <c r="Y857" i="8" s="1"/>
  <c r="Y375" i="2"/>
  <c r="X374" i="2"/>
  <c r="V920" i="8"/>
  <c r="V921" i="8" s="1"/>
  <c r="V380" i="2"/>
  <c r="V70" i="17" s="1"/>
  <c r="Y356" i="2"/>
  <c r="AB357" i="2"/>
  <c r="AB397" i="2" s="1"/>
  <c r="Y358" i="2"/>
  <c r="Y852" i="8" s="1"/>
  <c r="Y853" i="8" s="1"/>
  <c r="Z352" i="2"/>
  <c r="Z392" i="2" s="1"/>
  <c r="W860" i="8"/>
  <c r="W861" i="8" s="1"/>
  <c r="W381" i="2"/>
  <c r="AA353" i="2"/>
  <c r="AA832" i="8" s="1"/>
  <c r="AA833" i="8" s="1"/>
  <c r="Z354" i="2"/>
  <c r="Z394" i="2" s="1"/>
  <c r="Y386" i="2"/>
  <c r="Y928" i="8" s="1"/>
  <c r="Y929" i="8" s="1"/>
  <c r="X389" i="2"/>
  <c r="X940" i="8" s="1"/>
  <c r="X941" i="8" s="1"/>
  <c r="Y349" i="2"/>
  <c r="Y824" i="8" s="1"/>
  <c r="Y825" i="8" s="1"/>
  <c r="Y338" i="2"/>
  <c r="Y788" i="8" s="1"/>
  <c r="Y789" i="8" s="1"/>
  <c r="Y355" i="2"/>
  <c r="Y395" i="2" s="1"/>
  <c r="Y748" i="2"/>
  <c r="Y1220" i="8" s="1"/>
  <c r="Y1221" i="8" s="1"/>
  <c r="Y737" i="2"/>
  <c r="Y1184" i="8" s="1"/>
  <c r="Y1185" i="8" s="1"/>
  <c r="X360" i="2"/>
  <c r="Y772" i="8"/>
  <c r="Y773" i="8" s="1"/>
  <c r="Y808" i="8"/>
  <c r="Y809" i="8" s="1"/>
  <c r="Z334" i="2"/>
  <c r="Z49" i="14" s="1"/>
  <c r="Z612" i="8"/>
  <c r="Z613" i="8" s="1"/>
  <c r="Z345" i="2"/>
  <c r="X385" i="2"/>
  <c r="X924" i="8" s="1"/>
  <c r="X925" i="8" s="1"/>
  <c r="Y780" i="8"/>
  <c r="Y781" i="8" s="1"/>
  <c r="Z792" i="8"/>
  <c r="Z793" i="8" s="1"/>
  <c r="Y1196" i="8"/>
  <c r="Y1197" i="8" s="1"/>
  <c r="Z1172" i="8"/>
  <c r="Z1173" i="8" s="1"/>
  <c r="AA1008" i="8"/>
  <c r="AA1009" i="8" s="1"/>
  <c r="AA733" i="2"/>
  <c r="AA256" i="14" s="1"/>
  <c r="AA744" i="2"/>
  <c r="AA596" i="8"/>
  <c r="AA597" i="8" s="1"/>
  <c r="AA341" i="2"/>
  <c r="AA330" i="2"/>
  <c r="Y948" i="8"/>
  <c r="Y949" i="8" s="1"/>
  <c r="Z1208" i="8"/>
  <c r="Z1209" i="8" s="1"/>
  <c r="X371" i="2"/>
  <c r="X896" i="8" s="1"/>
  <c r="X897" i="8" s="1"/>
  <c r="W924" i="8"/>
  <c r="W925" i="8" s="1"/>
  <c r="W390" i="2"/>
  <c r="W69" i="17" s="1"/>
  <c r="W84" i="17" s="1"/>
  <c r="AA992" i="8"/>
  <c r="AA993" i="8" s="1"/>
  <c r="AA729" i="2"/>
  <c r="AA740" i="2"/>
  <c r="Z1004" i="8"/>
  <c r="Z1005" i="8" s="1"/>
  <c r="Z732" i="2"/>
  <c r="Z255" i="14" s="1"/>
  <c r="Z743" i="2"/>
  <c r="Y387" i="2"/>
  <c r="Y932" i="8" s="1"/>
  <c r="Y933" i="8" s="1"/>
  <c r="Y804" i="8"/>
  <c r="Y805" i="8" s="1"/>
  <c r="Y1200" i="8"/>
  <c r="Y1201" i="8" s="1"/>
  <c r="AC335" i="2"/>
  <c r="AC50" i="14" s="1"/>
  <c r="AC616" i="8"/>
  <c r="AC617" i="8" s="1"/>
  <c r="AC346" i="2"/>
  <c r="AA1216" i="8"/>
  <c r="AA1217" i="8" s="1"/>
  <c r="Y864" i="8"/>
  <c r="Y865" i="8" s="1"/>
  <c r="Z1152" i="8"/>
  <c r="Z1153" i="8" s="1"/>
  <c r="AA624" i="8"/>
  <c r="AA625" i="8" s="1"/>
  <c r="AA348" i="2"/>
  <c r="AA337" i="2"/>
  <c r="AA52" i="14" s="1"/>
  <c r="Y1164" i="8"/>
  <c r="Y1165" i="8" s="1"/>
  <c r="W900" i="8"/>
  <c r="W901" i="8" s="1"/>
  <c r="W379" i="2"/>
  <c r="AA1180" i="8"/>
  <c r="AA1181" i="8" s="1"/>
  <c r="AA1012" i="8"/>
  <c r="AA1013" i="8" s="1"/>
  <c r="AA734" i="2"/>
  <c r="AA257" i="14" s="1"/>
  <c r="AA745" i="2"/>
  <c r="Y828" i="8"/>
  <c r="Y829" i="8" s="1"/>
  <c r="Z1188" i="8"/>
  <c r="Z1189" i="8" s="1"/>
  <c r="AB812" i="8"/>
  <c r="AB813" i="8" s="1"/>
  <c r="Y768" i="8"/>
  <c r="Y769" i="8" s="1"/>
  <c r="Z784" i="8"/>
  <c r="Z785" i="8" s="1"/>
  <c r="Y1176" i="8"/>
  <c r="Y1177" i="8" s="1"/>
  <c r="AB1020" i="8"/>
  <c r="AB1021" i="8" s="1"/>
  <c r="AB736" i="2"/>
  <c r="AB259" i="14" s="1"/>
  <c r="AB747" i="2"/>
  <c r="AA796" i="8"/>
  <c r="AA797" i="8" s="1"/>
  <c r="Z333" i="2"/>
  <c r="Z48" i="14" s="1"/>
  <c r="Z608" i="8"/>
  <c r="Z609" i="8" s="1"/>
  <c r="Z344" i="2"/>
  <c r="Z820" i="8"/>
  <c r="Z821" i="8" s="1"/>
  <c r="Z996" i="8"/>
  <c r="Z997" i="8" s="1"/>
  <c r="Z730" i="2"/>
  <c r="Z253" i="14" s="1"/>
  <c r="Z741" i="2"/>
  <c r="Z1016" i="8"/>
  <c r="Z1017" i="8" s="1"/>
  <c r="Z746" i="2"/>
  <c r="Z735" i="2"/>
  <c r="Z258" i="14" s="1"/>
  <c r="AB600" i="8"/>
  <c r="AB601" i="8" s="1"/>
  <c r="AB331" i="2"/>
  <c r="AB46" i="14" s="1"/>
  <c r="AB342" i="2"/>
  <c r="Z800" i="8"/>
  <c r="Z801" i="8" s="1"/>
  <c r="Z872" i="8"/>
  <c r="Z873" i="8" s="1"/>
  <c r="Y1156" i="8"/>
  <c r="Y1157" i="8" s="1"/>
  <c r="Y1212" i="8"/>
  <c r="Y1213" i="8" s="1"/>
  <c r="X378" i="2"/>
  <c r="Z1000" i="8"/>
  <c r="Z1001" i="8" s="1"/>
  <c r="Z742" i="2"/>
  <c r="Z731" i="2"/>
  <c r="Z254" i="14" s="1"/>
  <c r="AA343" i="2"/>
  <c r="AA604" i="8"/>
  <c r="AA605" i="8" s="1"/>
  <c r="AA332" i="2"/>
  <c r="AA47" i="14" s="1"/>
  <c r="Y1192" i="8"/>
  <c r="Y1193" i="8" s="1"/>
  <c r="AA760" i="8"/>
  <c r="AA761" i="8" s="1"/>
  <c r="Z764" i="8"/>
  <c r="Z765" i="8" s="1"/>
  <c r="Z1168" i="8"/>
  <c r="Z1169" i="8" s="1"/>
  <c r="Y816" i="8"/>
  <c r="Y817" i="8" s="1"/>
  <c r="Y888" i="8"/>
  <c r="Y889" i="8" s="1"/>
  <c r="AB776" i="8"/>
  <c r="AB777" i="8" s="1"/>
  <c r="Z756" i="8"/>
  <c r="Z757" i="8" s="1"/>
  <c r="Y1160" i="8"/>
  <c r="Y1161" i="8" s="1"/>
  <c r="Z1204" i="8"/>
  <c r="Z1205" i="8" s="1"/>
  <c r="Z620" i="8"/>
  <c r="Z621" i="8" s="1"/>
  <c r="Z336" i="2"/>
  <c r="Z51" i="14" s="1"/>
  <c r="Z347" i="2"/>
  <c r="P285" i="2" l="1"/>
  <c r="P70" i="17"/>
  <c r="U1433" i="8"/>
  <c r="U70" i="17"/>
  <c r="Q285" i="2"/>
  <c r="Q70" i="17"/>
  <c r="M85" i="12"/>
  <c r="W944" i="8"/>
  <c r="W22" i="15"/>
  <c r="M58" i="15"/>
  <c r="M1848" i="8" s="1"/>
  <c r="M59" i="15"/>
  <c r="M1532" i="8"/>
  <c r="M1533" i="8" s="1"/>
  <c r="M52" i="15"/>
  <c r="M17" i="15"/>
  <c r="X900" i="8"/>
  <c r="X901" i="8" s="1"/>
  <c r="X66" i="15"/>
  <c r="L40" i="15"/>
  <c r="AA252" i="14"/>
  <c r="Y904" i="8"/>
  <c r="Y905" i="8" s="1"/>
  <c r="Y51" i="15"/>
  <c r="N1523" i="8"/>
  <c r="N57" i="15"/>
  <c r="N40" i="15"/>
  <c r="N1524" i="8"/>
  <c r="N62" i="15"/>
  <c r="X916" i="8"/>
  <c r="X917" i="8" s="1"/>
  <c r="X56" i="15"/>
  <c r="M40" i="15"/>
  <c r="V24" i="15"/>
  <c r="V1836" i="8"/>
  <c r="M69" i="15"/>
  <c r="M68" i="15"/>
  <c r="M1850" i="8" s="1"/>
  <c r="AA45" i="14"/>
  <c r="Y23" i="15"/>
  <c r="Y1842" i="8" s="1"/>
  <c r="M195" i="14"/>
  <c r="M1670" i="8" s="1"/>
  <c r="M75" i="12"/>
  <c r="M211" i="8"/>
  <c r="M212" i="8" s="1"/>
  <c r="Y328" i="14"/>
  <c r="Y75" i="17" s="1"/>
  <c r="Y121" i="14"/>
  <c r="Y122" i="14" s="1"/>
  <c r="Y135" i="14" s="1"/>
  <c r="M62" i="12"/>
  <c r="M87" i="12"/>
  <c r="N577" i="2"/>
  <c r="N85" i="12" s="1"/>
  <c r="M247" i="8"/>
  <c r="M248" i="8" s="1"/>
  <c r="M99" i="12"/>
  <c r="M74" i="12"/>
  <c r="N61" i="12"/>
  <c r="M171" i="8"/>
  <c r="M172" i="8" s="1"/>
  <c r="M77" i="12"/>
  <c r="M283" i="8"/>
  <c r="M284" i="8" s="1"/>
  <c r="N517" i="2"/>
  <c r="N73" i="12" s="1"/>
  <c r="M235" i="8"/>
  <c r="M236" i="8" s="1"/>
  <c r="M82" i="12"/>
  <c r="N576" i="2"/>
  <c r="N235" i="8" s="1"/>
  <c r="N236" i="8" s="1"/>
  <c r="M227" i="8"/>
  <c r="M228" i="8" s="1"/>
  <c r="N283" i="8"/>
  <c r="N284" i="8" s="1"/>
  <c r="N99" i="12"/>
  <c r="M70" i="12"/>
  <c r="M191" i="8"/>
  <c r="M192" i="8" s="1"/>
  <c r="N171" i="8"/>
  <c r="N172" i="8" s="1"/>
  <c r="N62" i="12"/>
  <c r="M219" i="8"/>
  <c r="M220" i="8" s="1"/>
  <c r="M243" i="8"/>
  <c r="M244" i="8" s="1"/>
  <c r="M86" i="12"/>
  <c r="N518" i="2"/>
  <c r="N207" i="8" s="1"/>
  <c r="N208" i="8" s="1"/>
  <c r="M101" i="12"/>
  <c r="M61" i="12"/>
  <c r="M159" i="8"/>
  <c r="M160" i="8" s="1"/>
  <c r="Z119" i="14"/>
  <c r="V137" i="14"/>
  <c r="T181" i="14"/>
  <c r="T191" i="14"/>
  <c r="T194" i="14" s="1"/>
  <c r="T195" i="14" s="1"/>
  <c r="T1670" i="8" s="1"/>
  <c r="N641" i="2"/>
  <c r="N291" i="8" s="1"/>
  <c r="N292" i="8" s="1"/>
  <c r="M251" i="8"/>
  <c r="M252" i="8" s="1"/>
  <c r="M73" i="12"/>
  <c r="M59" i="12"/>
  <c r="V191" i="14"/>
  <c r="V194" i="14" s="1"/>
  <c r="V195" i="14" s="1"/>
  <c r="V1670" i="8" s="1"/>
  <c r="N454" i="2"/>
  <c r="M58" i="12"/>
  <c r="M155" i="8"/>
  <c r="M156" i="8" s="1"/>
  <c r="T145" i="14"/>
  <c r="M167" i="8"/>
  <c r="M168" i="8" s="1"/>
  <c r="N635" i="2"/>
  <c r="M95" i="12"/>
  <c r="M267" i="8"/>
  <c r="M268" i="8" s="1"/>
  <c r="N59" i="12"/>
  <c r="N159" i="8"/>
  <c r="N160" i="8" s="1"/>
  <c r="Z327" i="14"/>
  <c r="T185" i="14"/>
  <c r="Z331" i="14"/>
  <c r="M88" i="12"/>
  <c r="Z326" i="14"/>
  <c r="T177" i="14"/>
  <c r="V181" i="14"/>
  <c r="Z124" i="14"/>
  <c r="W336" i="14"/>
  <c r="W338" i="14" s="1"/>
  <c r="Z120" i="14"/>
  <c r="T137" i="14"/>
  <c r="L1276" i="8"/>
  <c r="L1277" i="8" s="1"/>
  <c r="L784" i="2"/>
  <c r="L1710" i="8"/>
  <c r="L402" i="14"/>
  <c r="L1674" i="8" s="1"/>
  <c r="L403" i="14"/>
  <c r="L1711" i="8" s="1"/>
  <c r="S128" i="14"/>
  <c r="S130" i="14" s="1"/>
  <c r="V153" i="14"/>
  <c r="W164" i="14"/>
  <c r="W166" i="14" s="1"/>
  <c r="O172" i="14"/>
  <c r="O174" i="14" s="1"/>
  <c r="V141" i="14"/>
  <c r="N227" i="8"/>
  <c r="N228" i="8" s="1"/>
  <c r="N82" i="12"/>
  <c r="O339" i="14"/>
  <c r="O341" i="14" s="1"/>
  <c r="Q367" i="14"/>
  <c r="Q369" i="14" s="1"/>
  <c r="P335" i="14"/>
  <c r="P337" i="14" s="1"/>
  <c r="P359" i="14"/>
  <c r="P361" i="14" s="1"/>
  <c r="W148" i="14"/>
  <c r="W150" i="14" s="1"/>
  <c r="Q1669" i="8"/>
  <c r="Q210" i="14"/>
  <c r="Q208" i="14"/>
  <c r="Q206" i="14"/>
  <c r="Q204" i="14"/>
  <c r="Q211" i="14"/>
  <c r="Q209" i="14"/>
  <c r="Q207" i="14"/>
  <c r="Q205" i="14"/>
  <c r="Q203" i="14"/>
  <c r="Q193" i="14"/>
  <c r="Q192" i="14"/>
  <c r="M1236" i="8"/>
  <c r="M1237" i="8" s="1"/>
  <c r="M777" i="2"/>
  <c r="M794" i="2"/>
  <c r="M1356" i="8" s="1"/>
  <c r="M1357" i="8" s="1"/>
  <c r="O164" i="14"/>
  <c r="O166" i="14" s="1"/>
  <c r="P132" i="14"/>
  <c r="P134" i="14" s="1"/>
  <c r="P156" i="14"/>
  <c r="P158" i="14" s="1"/>
  <c r="V157" i="14"/>
  <c r="S180" i="14"/>
  <c r="S182" i="14" s="1"/>
  <c r="R176" i="14"/>
  <c r="R178" i="14" s="1"/>
  <c r="O359" i="14"/>
  <c r="O361" i="14" s="1"/>
  <c r="U172" i="14"/>
  <c r="U174" i="14" s="1"/>
  <c r="N191" i="8"/>
  <c r="N192" i="8" s="1"/>
  <c r="N70" i="12"/>
  <c r="T149" i="14"/>
  <c r="Q371" i="14"/>
  <c r="Q373" i="14" s="1"/>
  <c r="Q363" i="14"/>
  <c r="Q365" i="14" s="1"/>
  <c r="L1240" i="8"/>
  <c r="L1241" i="8" s="1"/>
  <c r="L773" i="2"/>
  <c r="L90" i="15" s="1"/>
  <c r="L92" i="15" s="1"/>
  <c r="L1854" i="8" s="1"/>
  <c r="L795" i="2"/>
  <c r="L1360" i="8" s="1"/>
  <c r="L1361" i="8" s="1"/>
  <c r="P371" i="14"/>
  <c r="P373" i="14" s="1"/>
  <c r="R148" i="14"/>
  <c r="R150" i="14" s="1"/>
  <c r="O1699" i="8"/>
  <c r="O1706" i="8"/>
  <c r="O49" i="10"/>
  <c r="O418" i="14"/>
  <c r="O89" i="5" s="1"/>
  <c r="O414" i="14"/>
  <c r="O85" i="5" s="1"/>
  <c r="O412" i="14"/>
  <c r="O83" i="5" s="1"/>
  <c r="O410" i="14"/>
  <c r="O81" i="5" s="1"/>
  <c r="O417" i="14"/>
  <c r="O88" i="5" s="1"/>
  <c r="O416" i="14"/>
  <c r="O87" i="5" s="1"/>
  <c r="O415" i="14"/>
  <c r="O86" i="5" s="1"/>
  <c r="O411" i="14"/>
  <c r="O82" i="5" s="1"/>
  <c r="O413" i="14"/>
  <c r="O84" i="5" s="1"/>
  <c r="O400" i="14"/>
  <c r="O1709" i="8" s="1"/>
  <c r="O399" i="14"/>
  <c r="N515" i="2"/>
  <c r="M195" i="8"/>
  <c r="M196" i="8" s="1"/>
  <c r="M71" i="12"/>
  <c r="S140" i="14"/>
  <c r="S142" i="14" s="1"/>
  <c r="R152" i="14"/>
  <c r="R154" i="14" s="1"/>
  <c r="U144" i="14"/>
  <c r="U146" i="14" s="1"/>
  <c r="V169" i="14"/>
  <c r="P383" i="14"/>
  <c r="P385" i="14" s="1"/>
  <c r="T153" i="14"/>
  <c r="M642" i="2"/>
  <c r="M1703" i="8" s="1"/>
  <c r="M93" i="12"/>
  <c r="N633" i="2"/>
  <c r="M259" i="8"/>
  <c r="M260" i="8" s="1"/>
  <c r="W128" i="14"/>
  <c r="W130" i="14" s="1"/>
  <c r="T133" i="14"/>
  <c r="Q132" i="14"/>
  <c r="Q134" i="14" s="1"/>
  <c r="Q144" i="14"/>
  <c r="Q146" i="14" s="1"/>
  <c r="M100" i="12"/>
  <c r="M287" i="8"/>
  <c r="M288" i="8" s="1"/>
  <c r="N640" i="2"/>
  <c r="M1232" i="8"/>
  <c r="M1233" i="8" s="1"/>
  <c r="M793" i="2"/>
  <c r="M1352" i="8" s="1"/>
  <c r="M1353" i="8" s="1"/>
  <c r="O156" i="14"/>
  <c r="O158" i="14" s="1"/>
  <c r="P152" i="14"/>
  <c r="P154" i="14" s="1"/>
  <c r="P184" i="14"/>
  <c r="P186" i="14" s="1"/>
  <c r="S148" i="14"/>
  <c r="S150" i="14" s="1"/>
  <c r="R128" i="14"/>
  <c r="R130" i="14" s="1"/>
  <c r="O371" i="14"/>
  <c r="O373" i="14" s="1"/>
  <c r="N456" i="2"/>
  <c r="M163" i="8"/>
  <c r="M164" i="8" s="1"/>
  <c r="M60" i="12"/>
  <c r="U164" i="14"/>
  <c r="U166" i="14" s="1"/>
  <c r="M63" i="12"/>
  <c r="N459" i="2"/>
  <c r="M175" i="8"/>
  <c r="M176" i="8" s="1"/>
  <c r="L1224" i="8"/>
  <c r="L1225" i="8" s="1"/>
  <c r="L781" i="2"/>
  <c r="L759" i="2"/>
  <c r="L695" i="2"/>
  <c r="L791" i="2"/>
  <c r="Q335" i="14"/>
  <c r="Q337" i="14" s="1"/>
  <c r="Q391" i="14"/>
  <c r="Q393" i="14" s="1"/>
  <c r="P347" i="14"/>
  <c r="P349" i="14" s="1"/>
  <c r="N198" i="14"/>
  <c r="N1671" i="8"/>
  <c r="N194" i="14"/>
  <c r="Q168" i="14"/>
  <c r="Q170" i="14" s="1"/>
  <c r="N784" i="2"/>
  <c r="N1276" i="8"/>
  <c r="N1277" i="8" s="1"/>
  <c r="M1288" i="8"/>
  <c r="M1289" i="8" s="1"/>
  <c r="M786" i="2"/>
  <c r="M1328" i="8" s="1"/>
  <c r="M1329" i="8" s="1"/>
  <c r="O168" i="14"/>
  <c r="O170" i="14" s="1"/>
  <c r="O1669" i="8"/>
  <c r="O210" i="14"/>
  <c r="O208" i="14"/>
  <c r="O206" i="14"/>
  <c r="O204" i="14"/>
  <c r="O207" i="14"/>
  <c r="O211" i="14"/>
  <c r="O209" i="14"/>
  <c r="O203" i="14"/>
  <c r="O205" i="14"/>
  <c r="O193" i="14"/>
  <c r="O192" i="14"/>
  <c r="N636" i="2"/>
  <c r="M271" i="8"/>
  <c r="M272" i="8" s="1"/>
  <c r="M96" i="12"/>
  <c r="P1669" i="8"/>
  <c r="P210" i="14"/>
  <c r="P208" i="14"/>
  <c r="P206" i="14"/>
  <c r="P204" i="14"/>
  <c r="P203" i="14"/>
  <c r="P207" i="14"/>
  <c r="P211" i="14"/>
  <c r="P209" i="14"/>
  <c r="P205" i="14"/>
  <c r="P193" i="14"/>
  <c r="P192" i="14"/>
  <c r="O387" i="14"/>
  <c r="O389" i="14" s="1"/>
  <c r="X250" i="2"/>
  <c r="X1673" i="8" s="1"/>
  <c r="X175" i="14"/>
  <c r="X147" i="14"/>
  <c r="X163" i="14"/>
  <c r="X135" i="14"/>
  <c r="X179" i="14"/>
  <c r="X151" i="14"/>
  <c r="X167" i="14"/>
  <c r="X139" i="14"/>
  <c r="X159" i="14"/>
  <c r="X187" i="14"/>
  <c r="X190" i="14" s="1"/>
  <c r="X197" i="14" s="1"/>
  <c r="X131" i="14"/>
  <c r="X143" i="14"/>
  <c r="X171" i="14"/>
  <c r="X155" i="14"/>
  <c r="X125" i="14"/>
  <c r="X183" i="14"/>
  <c r="W156" i="14"/>
  <c r="W158" i="14" s="1"/>
  <c r="V161" i="14"/>
  <c r="Q140" i="14"/>
  <c r="Q142" i="14" s="1"/>
  <c r="N1236" i="8"/>
  <c r="N1237" i="8" s="1"/>
  <c r="N777" i="2"/>
  <c r="N794" i="2"/>
  <c r="N1356" i="8" s="1"/>
  <c r="N1357" i="8" s="1"/>
  <c r="P144" i="14"/>
  <c r="P146" i="14" s="1"/>
  <c r="S172" i="14"/>
  <c r="S174" i="14" s="1"/>
  <c r="V173" i="14"/>
  <c r="V185" i="14"/>
  <c r="Q1699" i="8"/>
  <c r="Q1706" i="8"/>
  <c r="Q418" i="14"/>
  <c r="Q89" i="5" s="1"/>
  <c r="Q412" i="14"/>
  <c r="Q83" i="5" s="1"/>
  <c r="Q49" i="10"/>
  <c r="Q417" i="14"/>
  <c r="Q88" i="5" s="1"/>
  <c r="Q416" i="14"/>
  <c r="Q87" i="5" s="1"/>
  <c r="Q410" i="14"/>
  <c r="Q81" i="5" s="1"/>
  <c r="Q411" i="14"/>
  <c r="Q82" i="5" s="1"/>
  <c r="Q415" i="14"/>
  <c r="Q86" i="5" s="1"/>
  <c r="Q413" i="14"/>
  <c r="Q84" i="5" s="1"/>
  <c r="Q414" i="14"/>
  <c r="Q85" i="5" s="1"/>
  <c r="Q400" i="14"/>
  <c r="Q1709" i="8" s="1"/>
  <c r="Q399" i="14"/>
  <c r="M582" i="2"/>
  <c r="M1702" i="8" s="1"/>
  <c r="M223" i="8"/>
  <c r="M224" i="8" s="1"/>
  <c r="M81" i="12"/>
  <c r="N573" i="2"/>
  <c r="O144" i="14"/>
  <c r="O146" i="14" s="1"/>
  <c r="P355" i="14"/>
  <c r="P357" i="14" s="1"/>
  <c r="P391" i="14"/>
  <c r="P393" i="14" s="1"/>
  <c r="W184" i="14"/>
  <c r="W186" i="14" s="1"/>
  <c r="N219" i="8"/>
  <c r="N220" i="8" s="1"/>
  <c r="N77" i="12"/>
  <c r="Q152" i="14"/>
  <c r="Q154" i="14" s="1"/>
  <c r="Q172" i="14"/>
  <c r="Q174" i="14" s="1"/>
  <c r="N1272" i="8"/>
  <c r="N1273" i="8" s="1"/>
  <c r="N788" i="2"/>
  <c r="N1336" i="8" s="1"/>
  <c r="N1337" i="8" s="1"/>
  <c r="M1240" i="8"/>
  <c r="M1241" i="8" s="1"/>
  <c r="M773" i="2"/>
  <c r="M90" i="15" s="1"/>
  <c r="M795" i="2"/>
  <c r="M1360" i="8" s="1"/>
  <c r="M1361" i="8" s="1"/>
  <c r="O132" i="14"/>
  <c r="O134" i="14" s="1"/>
  <c r="P180" i="14"/>
  <c r="P182" i="14" s="1"/>
  <c r="S176" i="14"/>
  <c r="S178" i="14" s="1"/>
  <c r="N520" i="2"/>
  <c r="M215" i="8"/>
  <c r="M216" i="8" s="1"/>
  <c r="M76" i="12"/>
  <c r="R132" i="14"/>
  <c r="R134" i="14" s="1"/>
  <c r="M64" i="12"/>
  <c r="N460" i="2"/>
  <c r="M179" i="8"/>
  <c r="M180" i="8" s="1"/>
  <c r="O404" i="14"/>
  <c r="O1712" i="8" s="1"/>
  <c r="T335" i="14"/>
  <c r="T337" i="14" s="1"/>
  <c r="U132" i="14"/>
  <c r="U134" i="14" s="1"/>
  <c r="T129" i="14"/>
  <c r="Q351" i="14"/>
  <c r="Q353" i="14" s="1"/>
  <c r="Q375" i="14"/>
  <c r="Q377" i="14" s="1"/>
  <c r="R164" i="14"/>
  <c r="R166" i="14" s="1"/>
  <c r="R168" i="14"/>
  <c r="R170" i="14" s="1"/>
  <c r="U156" i="14"/>
  <c r="U158" i="14" s="1"/>
  <c r="U180" i="14"/>
  <c r="U182" i="14" s="1"/>
  <c r="N773" i="2"/>
  <c r="N90" i="15" s="1"/>
  <c r="N1240" i="8"/>
  <c r="N1241" i="8" s="1"/>
  <c r="N795" i="2"/>
  <c r="N1360" i="8" s="1"/>
  <c r="N1361" i="8" s="1"/>
  <c r="Q387" i="14"/>
  <c r="Q389" i="14" s="1"/>
  <c r="O1579" i="8"/>
  <c r="O1685" i="8"/>
  <c r="O140" i="14"/>
  <c r="O142" i="14" s="1"/>
  <c r="P140" i="14"/>
  <c r="P142" i="14" s="1"/>
  <c r="U148" i="14"/>
  <c r="U150" i="14" s="1"/>
  <c r="L1228" i="8"/>
  <c r="L1229" i="8" s="1"/>
  <c r="L792" i="2"/>
  <c r="L1348" i="8" s="1"/>
  <c r="L1349" i="8" s="1"/>
  <c r="P367" i="14"/>
  <c r="P369" i="14" s="1"/>
  <c r="W160" i="14"/>
  <c r="W162" i="14" s="1"/>
  <c r="Q164" i="14"/>
  <c r="Q166" i="14" s="1"/>
  <c r="N775" i="2"/>
  <c r="N1252" i="8"/>
  <c r="N1253" i="8" s="1"/>
  <c r="N798" i="2"/>
  <c r="N1372" i="8" s="1"/>
  <c r="N1373" i="8" s="1"/>
  <c r="M1248" i="8"/>
  <c r="M1249" i="8" s="1"/>
  <c r="M797" i="2"/>
  <c r="M1368" i="8" s="1"/>
  <c r="M1369" i="8" s="1"/>
  <c r="P164" i="14"/>
  <c r="P166" i="14" s="1"/>
  <c r="P172" i="14"/>
  <c r="P174" i="14" s="1"/>
  <c r="P363" i="14"/>
  <c r="P365" i="14" s="1"/>
  <c r="T161" i="14"/>
  <c r="W132" i="14"/>
  <c r="W134" i="14" s="1"/>
  <c r="V145" i="14"/>
  <c r="N513" i="2"/>
  <c r="M187" i="8"/>
  <c r="M188" i="8" s="1"/>
  <c r="M522" i="2"/>
  <c r="M1701" i="8" s="1"/>
  <c r="M69" i="12"/>
  <c r="T169" i="14"/>
  <c r="Q156" i="14"/>
  <c r="Q158" i="14" s="1"/>
  <c r="N1288" i="8"/>
  <c r="N1289" i="8" s="1"/>
  <c r="N786" i="2"/>
  <c r="N1328" i="8" s="1"/>
  <c r="N1329" i="8" s="1"/>
  <c r="M784" i="2"/>
  <c r="M1276" i="8"/>
  <c r="M1277" i="8" s="1"/>
  <c r="M1244" i="8"/>
  <c r="M1245" i="8" s="1"/>
  <c r="M796" i="2"/>
  <c r="M1364" i="8" s="1"/>
  <c r="M1365" i="8" s="1"/>
  <c r="O148" i="14"/>
  <c r="O150" i="14" s="1"/>
  <c r="R335" i="14"/>
  <c r="R337" i="14" s="1"/>
  <c r="V133" i="14"/>
  <c r="R160" i="14"/>
  <c r="R162" i="14" s="1"/>
  <c r="O343" i="14"/>
  <c r="O345" i="14" s="1"/>
  <c r="O351" i="14"/>
  <c r="O353" i="14" s="1"/>
  <c r="U160" i="14"/>
  <c r="U162" i="14" s="1"/>
  <c r="N1710" i="8"/>
  <c r="N402" i="14"/>
  <c r="N1674" i="8" s="1"/>
  <c r="N403" i="14"/>
  <c r="N1711" i="8" s="1"/>
  <c r="L770" i="2"/>
  <c r="L1292" i="8" s="1"/>
  <c r="L1293" i="8" s="1"/>
  <c r="L785" i="2"/>
  <c r="L1324" i="8" s="1"/>
  <c r="L1325" i="8" s="1"/>
  <c r="L1260" i="8"/>
  <c r="L1261" i="8" s="1"/>
  <c r="L782" i="2"/>
  <c r="L73" i="17" s="1"/>
  <c r="Q379" i="14"/>
  <c r="Q381" i="14" s="1"/>
  <c r="Q404" i="14"/>
  <c r="Q1712" i="8" s="1"/>
  <c r="Q128" i="14"/>
  <c r="Q130" i="14" s="1"/>
  <c r="P351" i="14"/>
  <c r="P353" i="14" s="1"/>
  <c r="W140" i="14"/>
  <c r="W142" i="14" s="1"/>
  <c r="Q180" i="14"/>
  <c r="Q182" i="14" s="1"/>
  <c r="Q184" i="14"/>
  <c r="Q186" i="14" s="1"/>
  <c r="M775" i="2"/>
  <c r="M1252" i="8"/>
  <c r="M1253" i="8" s="1"/>
  <c r="M798" i="2"/>
  <c r="M1372" i="8" s="1"/>
  <c r="M1373" i="8" s="1"/>
  <c r="P136" i="14"/>
  <c r="P138" i="14" s="1"/>
  <c r="S132" i="14"/>
  <c r="S134" i="14" s="1"/>
  <c r="S156" i="14"/>
  <c r="S158" i="14" s="1"/>
  <c r="M72" i="12"/>
  <c r="N516" i="2"/>
  <c r="M199" i="8"/>
  <c r="M200" i="8" s="1"/>
  <c r="R1669" i="8"/>
  <c r="R210" i="14"/>
  <c r="R208" i="14"/>
  <c r="R206" i="14"/>
  <c r="R204" i="14"/>
  <c r="R209" i="14"/>
  <c r="R203" i="14"/>
  <c r="R211" i="14"/>
  <c r="R205" i="14"/>
  <c r="R207" i="14"/>
  <c r="R193" i="14"/>
  <c r="R192" i="14"/>
  <c r="O335" i="14"/>
  <c r="O337" i="14" s="1"/>
  <c r="O379" i="14"/>
  <c r="O381" i="14" s="1"/>
  <c r="U1669" i="8"/>
  <c r="U210" i="14"/>
  <c r="U208" i="14"/>
  <c r="U206" i="14"/>
  <c r="U204" i="14"/>
  <c r="U209" i="14"/>
  <c r="U203" i="14"/>
  <c r="U207" i="14"/>
  <c r="U205" i="14"/>
  <c r="U211" i="14"/>
  <c r="U193" i="14"/>
  <c r="U192" i="14"/>
  <c r="N243" i="8"/>
  <c r="N244" i="8" s="1"/>
  <c r="N86" i="12"/>
  <c r="L1288" i="8"/>
  <c r="L1289" i="8" s="1"/>
  <c r="L786" i="2"/>
  <c r="L1328" i="8" s="1"/>
  <c r="L1329" i="8" s="1"/>
  <c r="Q355" i="14"/>
  <c r="Q357" i="14" s="1"/>
  <c r="M1710" i="8"/>
  <c r="M402" i="14"/>
  <c r="M1674" i="8" s="1"/>
  <c r="M403" i="14"/>
  <c r="M1711" i="8" s="1"/>
  <c r="P387" i="14"/>
  <c r="P389" i="14" s="1"/>
  <c r="V177" i="14"/>
  <c r="W168" i="14"/>
  <c r="W170" i="14" s="1"/>
  <c r="Q160" i="14"/>
  <c r="Q162" i="14" s="1"/>
  <c r="N1244" i="8"/>
  <c r="N1245" i="8" s="1"/>
  <c r="N796" i="2"/>
  <c r="N1364" i="8" s="1"/>
  <c r="N1365" i="8" s="1"/>
  <c r="M770" i="2"/>
  <c r="M1292" i="8" s="1"/>
  <c r="M1293" i="8" s="1"/>
  <c r="M785" i="2"/>
  <c r="M1324" i="8" s="1"/>
  <c r="M1325" i="8" s="1"/>
  <c r="M1260" i="8"/>
  <c r="M1261" i="8" s="1"/>
  <c r="M782" i="2"/>
  <c r="M73" i="17" s="1"/>
  <c r="M1228" i="8"/>
  <c r="M1229" i="8" s="1"/>
  <c r="M792" i="2"/>
  <c r="M1348" i="8" s="1"/>
  <c r="M1349" i="8" s="1"/>
  <c r="O136" i="14"/>
  <c r="O138" i="14" s="1"/>
  <c r="P128" i="14"/>
  <c r="P130" i="14" s="1"/>
  <c r="S136" i="14"/>
  <c r="S138" i="14" s="1"/>
  <c r="S184" i="14"/>
  <c r="S186" i="14" s="1"/>
  <c r="R144" i="14"/>
  <c r="R146" i="14" s="1"/>
  <c r="O383" i="14"/>
  <c r="O385" i="14" s="1"/>
  <c r="O363" i="14"/>
  <c r="O365" i="14" s="1"/>
  <c r="U184" i="14"/>
  <c r="U186" i="14" s="1"/>
  <c r="N575" i="2"/>
  <c r="M231" i="8"/>
  <c r="M232" i="8" s="1"/>
  <c r="M83" i="12"/>
  <c r="L1272" i="8"/>
  <c r="L1273" i="8" s="1"/>
  <c r="L788" i="2"/>
  <c r="L1336" i="8" s="1"/>
  <c r="L1337" i="8" s="1"/>
  <c r="Q347" i="14"/>
  <c r="Q349" i="14" s="1"/>
  <c r="N638" i="2"/>
  <c r="M279" i="8"/>
  <c r="M280" i="8" s="1"/>
  <c r="M98" i="12"/>
  <c r="M774" i="2"/>
  <c r="M781" i="2"/>
  <c r="M1224" i="8"/>
  <c r="M1225" i="8" s="1"/>
  <c r="M759" i="2"/>
  <c r="M695" i="2"/>
  <c r="M791" i="2"/>
  <c r="O152" i="14"/>
  <c r="O154" i="14" s="1"/>
  <c r="N453" i="2"/>
  <c r="M462" i="2"/>
  <c r="M1700" i="8" s="1"/>
  <c r="M57" i="12"/>
  <c r="M151" i="8"/>
  <c r="M152" i="8" s="1"/>
  <c r="P168" i="14"/>
  <c r="P170" i="14" s="1"/>
  <c r="S164" i="14"/>
  <c r="S166" i="14" s="1"/>
  <c r="S168" i="14"/>
  <c r="S170" i="14" s="1"/>
  <c r="R172" i="14"/>
  <c r="R174" i="14" s="1"/>
  <c r="O347" i="14"/>
  <c r="O349" i="14" s="1"/>
  <c r="O391" i="14"/>
  <c r="O393" i="14" s="1"/>
  <c r="U140" i="14"/>
  <c r="U142" i="14" s="1"/>
  <c r="X1705" i="8"/>
  <c r="X649" i="2"/>
  <c r="X1677" i="8" s="1"/>
  <c r="X332" i="14"/>
  <c r="N634" i="2"/>
  <c r="M263" i="8"/>
  <c r="M264" i="8" s="1"/>
  <c r="M94" i="12"/>
  <c r="L1244" i="8"/>
  <c r="L1245" i="8" s="1"/>
  <c r="L796" i="2"/>
  <c r="L1364" i="8" s="1"/>
  <c r="L1365" i="8" s="1"/>
  <c r="N247" i="8"/>
  <c r="N248" i="8" s="1"/>
  <c r="N87" i="12"/>
  <c r="Q359" i="14"/>
  <c r="Q361" i="14" s="1"/>
  <c r="N637" i="2"/>
  <c r="M97" i="12"/>
  <c r="M275" i="8"/>
  <c r="M276" i="8" s="1"/>
  <c r="V165" i="14"/>
  <c r="O180" i="14"/>
  <c r="O182" i="14" s="1"/>
  <c r="P148" i="14"/>
  <c r="P150" i="14" s="1"/>
  <c r="S152" i="14"/>
  <c r="S154" i="14" s="1"/>
  <c r="T157" i="14"/>
  <c r="R156" i="14"/>
  <c r="R158" i="14" s="1"/>
  <c r="O375" i="14"/>
  <c r="O377" i="14" s="1"/>
  <c r="U136" i="14"/>
  <c r="U138" i="14" s="1"/>
  <c r="U168" i="14"/>
  <c r="U170" i="14" s="1"/>
  <c r="L1236" i="8"/>
  <c r="L1237" i="8" s="1"/>
  <c r="L777" i="2"/>
  <c r="L794" i="2"/>
  <c r="L1356" i="8" s="1"/>
  <c r="L1357" i="8" s="1"/>
  <c r="Q339" i="14"/>
  <c r="Q341" i="14" s="1"/>
  <c r="N1248" i="8"/>
  <c r="N1249" i="8" s="1"/>
  <c r="N797" i="2"/>
  <c r="N1368" i="8" s="1"/>
  <c r="N1369" i="8" s="1"/>
  <c r="O184" i="14"/>
  <c r="O186" i="14" s="1"/>
  <c r="L1252" i="8"/>
  <c r="L1253" i="8" s="1"/>
  <c r="L775" i="2"/>
  <c r="L798" i="2"/>
  <c r="L1372" i="8" s="1"/>
  <c r="L1373" i="8" s="1"/>
  <c r="P339" i="14"/>
  <c r="P341" i="14" s="1"/>
  <c r="N1578" i="8"/>
  <c r="N1684" i="8"/>
  <c r="P1699" i="8"/>
  <c r="P1706" i="8"/>
  <c r="P49" i="10"/>
  <c r="P418" i="14"/>
  <c r="P89" i="5" s="1"/>
  <c r="P416" i="14"/>
  <c r="P87" i="5" s="1"/>
  <c r="P417" i="14"/>
  <c r="P88" i="5" s="1"/>
  <c r="P412" i="14"/>
  <c r="P83" i="5" s="1"/>
  <c r="P413" i="14"/>
  <c r="P84" i="5" s="1"/>
  <c r="P411" i="14"/>
  <c r="P82" i="5" s="1"/>
  <c r="P415" i="14"/>
  <c r="P86" i="5" s="1"/>
  <c r="P410" i="14"/>
  <c r="P81" i="5" s="1"/>
  <c r="P414" i="14"/>
  <c r="P85" i="5" s="1"/>
  <c r="P400" i="14"/>
  <c r="P1709" i="8" s="1"/>
  <c r="P399" i="14"/>
  <c r="P375" i="14"/>
  <c r="P377" i="14" s="1"/>
  <c r="W144" i="14"/>
  <c r="W146" i="14" s="1"/>
  <c r="Q1445" i="8"/>
  <c r="O1580" i="8"/>
  <c r="O1686" i="8"/>
  <c r="P379" i="14"/>
  <c r="P381" i="14" s="1"/>
  <c r="W172" i="14"/>
  <c r="W174" i="14" s="1"/>
  <c r="T141" i="14"/>
  <c r="Q136" i="14"/>
  <c r="Q138" i="14" s="1"/>
  <c r="N759" i="2"/>
  <c r="N774" i="2"/>
  <c r="N781" i="2"/>
  <c r="N1224" i="8"/>
  <c r="N1225" i="8" s="1"/>
  <c r="N791" i="2"/>
  <c r="N695" i="2"/>
  <c r="O176" i="14"/>
  <c r="O178" i="14" s="1"/>
  <c r="P176" i="14"/>
  <c r="P178" i="14" s="1"/>
  <c r="V129" i="14"/>
  <c r="S1669" i="8"/>
  <c r="S210" i="14"/>
  <c r="S208" i="14"/>
  <c r="S206" i="14"/>
  <c r="S204" i="14"/>
  <c r="S209" i="14"/>
  <c r="S203" i="14"/>
  <c r="S211" i="14"/>
  <c r="S207" i="14"/>
  <c r="S205" i="14"/>
  <c r="S193" i="14"/>
  <c r="S192" i="14"/>
  <c r="R180" i="14"/>
  <c r="R182" i="14" s="1"/>
  <c r="R184" i="14"/>
  <c r="R186" i="14" s="1"/>
  <c r="O355" i="14"/>
  <c r="O357" i="14" s="1"/>
  <c r="U128" i="14"/>
  <c r="U130" i="14" s="1"/>
  <c r="L774" i="2"/>
  <c r="L1232" i="8"/>
  <c r="L1233" i="8" s="1"/>
  <c r="L793" i="2"/>
  <c r="L1352" i="8" s="1"/>
  <c r="L1353" i="8" s="1"/>
  <c r="Q343" i="14"/>
  <c r="Q345" i="14" s="1"/>
  <c r="W136" i="14"/>
  <c r="W138" i="14" s="1"/>
  <c r="W152" i="14"/>
  <c r="W154" i="14" s="1"/>
  <c r="S335" i="14"/>
  <c r="S337" i="14" s="1"/>
  <c r="M788" i="2"/>
  <c r="M1336" i="8" s="1"/>
  <c r="M1337" i="8" s="1"/>
  <c r="M1272" i="8"/>
  <c r="M1273" i="8" s="1"/>
  <c r="O160" i="14"/>
  <c r="O162" i="14" s="1"/>
  <c r="P160" i="14"/>
  <c r="P162" i="14" s="1"/>
  <c r="S144" i="14"/>
  <c r="S146" i="14" s="1"/>
  <c r="W180" i="14"/>
  <c r="W182" i="14" s="1"/>
  <c r="W1669" i="8"/>
  <c r="W211" i="14"/>
  <c r="W209" i="14"/>
  <c r="W207" i="14"/>
  <c r="W205" i="14"/>
  <c r="W203" i="14"/>
  <c r="W206" i="14"/>
  <c r="W204" i="14"/>
  <c r="W208" i="14"/>
  <c r="W210" i="14"/>
  <c r="W193" i="14"/>
  <c r="W192" i="14"/>
  <c r="W199" i="14"/>
  <c r="W200" i="14" s="1"/>
  <c r="W1672" i="8"/>
  <c r="Q1433" i="8"/>
  <c r="N1581" i="8"/>
  <c r="N1687" i="8"/>
  <c r="Q148" i="14"/>
  <c r="Q150" i="14" s="1"/>
  <c r="N1228" i="8"/>
  <c r="N1229" i="8" s="1"/>
  <c r="N792" i="2"/>
  <c r="N1348" i="8" s="1"/>
  <c r="N1349" i="8" s="1"/>
  <c r="Q286" i="2"/>
  <c r="Q1466" i="8" s="1"/>
  <c r="M89" i="12"/>
  <c r="N581" i="2"/>
  <c r="M255" i="8"/>
  <c r="M256" i="8" s="1"/>
  <c r="P343" i="14"/>
  <c r="P345" i="14" s="1"/>
  <c r="M65" i="12"/>
  <c r="M183" i="8"/>
  <c r="M184" i="8" s="1"/>
  <c r="N461" i="2"/>
  <c r="W176" i="14"/>
  <c r="W178" i="14" s="1"/>
  <c r="V335" i="14"/>
  <c r="V337" i="14" s="1"/>
  <c r="V149" i="14"/>
  <c r="Q176" i="14"/>
  <c r="Q178" i="14" s="1"/>
  <c r="N785" i="2"/>
  <c r="N1324" i="8" s="1"/>
  <c r="N1325" i="8" s="1"/>
  <c r="N782" i="2"/>
  <c r="N73" i="17" s="1"/>
  <c r="N1260" i="8"/>
  <c r="N1261" i="8" s="1"/>
  <c r="N770" i="2"/>
  <c r="N1292" i="8" s="1"/>
  <c r="N1293" i="8" s="1"/>
  <c r="N1232" i="8"/>
  <c r="N1233" i="8" s="1"/>
  <c r="N793" i="2"/>
  <c r="N1352" i="8" s="1"/>
  <c r="N1353" i="8" s="1"/>
  <c r="O128" i="14"/>
  <c r="O130" i="14" s="1"/>
  <c r="O197" i="14"/>
  <c r="P197" i="14"/>
  <c r="S160" i="14"/>
  <c r="S162" i="14" s="1"/>
  <c r="R136" i="14"/>
  <c r="R138" i="14" s="1"/>
  <c r="R140" i="14"/>
  <c r="R142" i="14" s="1"/>
  <c r="O367" i="14"/>
  <c r="O369" i="14" s="1"/>
  <c r="T173" i="14"/>
  <c r="U335" i="14"/>
  <c r="U337" i="14" s="1"/>
  <c r="N251" i="8"/>
  <c r="N252" i="8" s="1"/>
  <c r="N88" i="12"/>
  <c r="U176" i="14"/>
  <c r="U178" i="14" s="1"/>
  <c r="U152" i="14"/>
  <c r="U154" i="14" s="1"/>
  <c r="T165" i="14"/>
  <c r="N211" i="8"/>
  <c r="N212" i="8" s="1"/>
  <c r="N75" i="12"/>
  <c r="L1248" i="8"/>
  <c r="L1249" i="8" s="1"/>
  <c r="L797" i="2"/>
  <c r="L1368" i="8" s="1"/>
  <c r="L1369" i="8" s="1"/>
  <c r="Q383" i="14"/>
  <c r="Q385" i="14" s="1"/>
  <c r="U285" i="2"/>
  <c r="U286" i="2"/>
  <c r="U1466" i="8" s="1"/>
  <c r="P99" i="8"/>
  <c r="P100" i="8" s="1"/>
  <c r="Q179" i="2"/>
  <c r="Q99" i="8" s="1"/>
  <c r="Q100" i="8" s="1"/>
  <c r="N1538" i="8"/>
  <c r="N1539" i="8" s="1"/>
  <c r="P1433" i="8"/>
  <c r="P286" i="2"/>
  <c r="P1466" i="8" s="1"/>
  <c r="U1445" i="8"/>
  <c r="P1445" i="8"/>
  <c r="N1535" i="8"/>
  <c r="N1536" i="8" s="1"/>
  <c r="M1522" i="8"/>
  <c r="O27" i="12"/>
  <c r="O39" i="12"/>
  <c r="O62" i="15" s="1"/>
  <c r="W137" i="13"/>
  <c r="W139" i="13" s="1"/>
  <c r="W1563" i="8" s="1"/>
  <c r="P60" i="2"/>
  <c r="O12" i="12"/>
  <c r="O31" i="8"/>
  <c r="O32" i="8" s="1"/>
  <c r="R178" i="2"/>
  <c r="Q34" i="12"/>
  <c r="Q95" i="8"/>
  <c r="Q96" i="8" s="1"/>
  <c r="P61" i="2"/>
  <c r="O13" i="12"/>
  <c r="O35" i="8"/>
  <c r="O36" i="8" s="1"/>
  <c r="P234" i="2"/>
  <c r="O42" i="12"/>
  <c r="O243" i="2"/>
  <c r="O115" i="8"/>
  <c r="O116" i="8" s="1"/>
  <c r="Q181" i="2"/>
  <c r="P37" i="12"/>
  <c r="P107" i="8"/>
  <c r="P108" i="8" s="1"/>
  <c r="R122" i="2"/>
  <c r="Q26" i="12"/>
  <c r="Q75" i="8"/>
  <c r="Q76" i="8" s="1"/>
  <c r="R119" i="2"/>
  <c r="Q23" i="12"/>
  <c r="Q63" i="8"/>
  <c r="Q64" i="8" s="1"/>
  <c r="N15" i="12"/>
  <c r="Q117" i="2"/>
  <c r="P21" i="12"/>
  <c r="P55" i="8"/>
  <c r="P56" i="8" s="1"/>
  <c r="Q120" i="2"/>
  <c r="P67" i="8"/>
  <c r="P68" i="8" s="1"/>
  <c r="P24" i="12"/>
  <c r="Q174" i="2"/>
  <c r="P30" i="12"/>
  <c r="P79" i="8"/>
  <c r="P80" i="8" s="1"/>
  <c r="P183" i="2"/>
  <c r="Q180" i="2"/>
  <c r="P36" i="12"/>
  <c r="P103" i="8"/>
  <c r="P104" i="8" s="1"/>
  <c r="P58" i="2"/>
  <c r="O23" i="8"/>
  <c r="O24" i="8" s="1"/>
  <c r="O10" i="12"/>
  <c r="P54" i="2"/>
  <c r="O6" i="12"/>
  <c r="O7" i="8"/>
  <c r="O8" i="8" s="1"/>
  <c r="O63" i="2"/>
  <c r="Q175" i="2"/>
  <c r="P31" i="12"/>
  <c r="P83" i="8"/>
  <c r="P84" i="8" s="1"/>
  <c r="Q115" i="2"/>
  <c r="P47" i="8"/>
  <c r="P48" i="8" s="1"/>
  <c r="P19" i="12"/>
  <c r="Q177" i="2"/>
  <c r="P33" i="12"/>
  <c r="P91" i="8"/>
  <c r="P92" i="8" s="1"/>
  <c r="N51" i="12"/>
  <c r="N67" i="15" s="1"/>
  <c r="R116" i="2"/>
  <c r="Q20" i="12"/>
  <c r="Q51" i="8"/>
  <c r="Q52" i="8" s="1"/>
  <c r="Q57" i="2"/>
  <c r="P9" i="12"/>
  <c r="P19" i="8"/>
  <c r="P20" i="8" s="1"/>
  <c r="P239" i="2"/>
  <c r="O47" i="12"/>
  <c r="O135" i="8"/>
  <c r="O136" i="8" s="1"/>
  <c r="P240" i="2"/>
  <c r="O139" i="8"/>
  <c r="O140" i="8" s="1"/>
  <c r="O48" i="12"/>
  <c r="F1566" i="8"/>
  <c r="Q176" i="2"/>
  <c r="P32" i="12"/>
  <c r="P87" i="8"/>
  <c r="P88" i="8" s="1"/>
  <c r="Q114" i="2"/>
  <c r="P18" i="12"/>
  <c r="P43" i="8"/>
  <c r="P44" i="8" s="1"/>
  <c r="P123" i="2"/>
  <c r="P235" i="2"/>
  <c r="O43" i="12"/>
  <c r="O119" i="8"/>
  <c r="O120" i="8" s="1"/>
  <c r="Q55" i="2"/>
  <c r="P7" i="12"/>
  <c r="P11" i="8"/>
  <c r="P12" i="8" s="1"/>
  <c r="P238" i="2"/>
  <c r="O46" i="12"/>
  <c r="O131" i="8"/>
  <c r="O132" i="8" s="1"/>
  <c r="R121" i="2"/>
  <c r="Q25" i="12"/>
  <c r="Q71" i="8"/>
  <c r="Q72" i="8" s="1"/>
  <c r="P237" i="2"/>
  <c r="O127" i="8"/>
  <c r="O128" i="8" s="1"/>
  <c r="O45" i="12"/>
  <c r="R118" i="2"/>
  <c r="Q22" i="12"/>
  <c r="Q59" i="8"/>
  <c r="Q60" i="8" s="1"/>
  <c r="Q62" i="2"/>
  <c r="P14" i="12"/>
  <c r="P39" i="8"/>
  <c r="P40" i="8" s="1"/>
  <c r="P236" i="2"/>
  <c r="O44" i="12"/>
  <c r="O123" i="8"/>
  <c r="O124" i="8" s="1"/>
  <c r="P59" i="2"/>
  <c r="O11" i="12"/>
  <c r="O27" i="8"/>
  <c r="O28" i="8" s="1"/>
  <c r="M1525" i="8"/>
  <c r="M1541" i="8"/>
  <c r="M1542" i="8" s="1"/>
  <c r="R182" i="2"/>
  <c r="Q38" i="12"/>
  <c r="Q111" i="8"/>
  <c r="Q112" i="8" s="1"/>
  <c r="Q241" i="2"/>
  <c r="P49" i="12"/>
  <c r="P143" i="8"/>
  <c r="P144" i="8" s="1"/>
  <c r="P242" i="2"/>
  <c r="O50" i="12"/>
  <c r="O147" i="8"/>
  <c r="O148" i="8" s="1"/>
  <c r="Q56" i="2"/>
  <c r="P8" i="12"/>
  <c r="P15" i="8"/>
  <c r="P16" i="8" s="1"/>
  <c r="Z318" i="2"/>
  <c r="Z307" i="2" s="1"/>
  <c r="X339" i="2"/>
  <c r="X361" i="2" s="1"/>
  <c r="W361" i="2"/>
  <c r="X372" i="2"/>
  <c r="Z284" i="2"/>
  <c r="W1434" i="8"/>
  <c r="W328" i="2"/>
  <c r="Z717" i="2"/>
  <c r="Z383" i="2"/>
  <c r="Y398" i="2"/>
  <c r="Y972" i="8" s="1"/>
  <c r="Y973" i="8" s="1"/>
  <c r="Y296" i="2"/>
  <c r="AA258" i="2"/>
  <c r="Z297" i="2"/>
  <c r="Z683" i="2"/>
  <c r="Z86" i="17" s="1"/>
  <c r="Z696" i="2"/>
  <c r="W980" i="8"/>
  <c r="W981" i="8" s="1"/>
  <c r="V285" i="2"/>
  <c r="V286" i="2"/>
  <c r="V1466" i="8" s="1"/>
  <c r="W1432" i="8"/>
  <c r="W1431" i="8"/>
  <c r="Y396" i="2"/>
  <c r="Z856" i="8"/>
  <c r="Z857" i="8" s="1"/>
  <c r="Y382" i="2"/>
  <c r="AA393" i="2"/>
  <c r="AA952" i="8" s="1"/>
  <c r="AA953" i="8" s="1"/>
  <c r="AA259" i="2"/>
  <c r="AB968" i="8"/>
  <c r="AB969" i="8" s="1"/>
  <c r="Z836" i="8"/>
  <c r="Z837" i="8" s="1"/>
  <c r="Z976" i="8"/>
  <c r="Z977" i="8" s="1"/>
  <c r="X400" i="2"/>
  <c r="AB848" i="8"/>
  <c r="AB849" i="8" s="1"/>
  <c r="Y880" i="8"/>
  <c r="Y881" i="8" s="1"/>
  <c r="Y960" i="8"/>
  <c r="Y961" i="8" s="1"/>
  <c r="AA892" i="8"/>
  <c r="AA893" i="8" s="1"/>
  <c r="Z880" i="8"/>
  <c r="Z881" i="8" s="1"/>
  <c r="Z888" i="8"/>
  <c r="Z889" i="8" s="1"/>
  <c r="V1433" i="8"/>
  <c r="V1445" i="8"/>
  <c r="Z375" i="2"/>
  <c r="Z356" i="2"/>
  <c r="Z844" i="8" s="1"/>
  <c r="Z845" i="8" s="1"/>
  <c r="AC357" i="2"/>
  <c r="AC848" i="8" s="1"/>
  <c r="AC849" i="8" s="1"/>
  <c r="AA352" i="2"/>
  <c r="AA392" i="2" s="1"/>
  <c r="Y840" i="8"/>
  <c r="Y841" i="8" s="1"/>
  <c r="Z358" i="2"/>
  <c r="Z852" i="8" s="1"/>
  <c r="Z853" i="8" s="1"/>
  <c r="AA359" i="2"/>
  <c r="AA856" i="8" s="1"/>
  <c r="AA857" i="8" s="1"/>
  <c r="Y844" i="8"/>
  <c r="Y845" i="8" s="1"/>
  <c r="AA354" i="2"/>
  <c r="AA836" i="8" s="1"/>
  <c r="AA837" i="8" s="1"/>
  <c r="W920" i="8"/>
  <c r="W921" i="8" s="1"/>
  <c r="W380" i="2"/>
  <c r="W70" i="17" s="1"/>
  <c r="X860" i="8"/>
  <c r="X861" i="8" s="1"/>
  <c r="X381" i="2"/>
  <c r="Z956" i="8"/>
  <c r="Z957" i="8" s="1"/>
  <c r="AB353" i="2"/>
  <c r="Z349" i="2"/>
  <c r="Z824" i="8" s="1"/>
  <c r="Z825" i="8" s="1"/>
  <c r="Z338" i="2"/>
  <c r="Z788" i="8" s="1"/>
  <c r="Z789" i="8" s="1"/>
  <c r="Z355" i="2"/>
  <c r="X379" i="2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X69" i="17" s="1"/>
  <c r="X84" i="17" s="1"/>
  <c r="AA334" i="2"/>
  <c r="AA49" i="14" s="1"/>
  <c r="AA612" i="8"/>
  <c r="AA613" i="8" s="1"/>
  <c r="AA345" i="2"/>
  <c r="Z387" i="2"/>
  <c r="Z932" i="8" s="1"/>
  <c r="Z933" i="8" s="1"/>
  <c r="Y385" i="2"/>
  <c r="Z1212" i="8"/>
  <c r="Z1213" i="8" s="1"/>
  <c r="AA333" i="2"/>
  <c r="AA48" i="14" s="1"/>
  <c r="AA608" i="8"/>
  <c r="AA609" i="8" s="1"/>
  <c r="AA344" i="2"/>
  <c r="Y378" i="2"/>
  <c r="AA1172" i="8"/>
  <c r="AA1173" i="8" s="1"/>
  <c r="AA1188" i="8"/>
  <c r="AA1189" i="8" s="1"/>
  <c r="AA1016" i="8"/>
  <c r="AA1017" i="8" s="1"/>
  <c r="AA746" i="2"/>
  <c r="AA735" i="2"/>
  <c r="AA258" i="14" s="1"/>
  <c r="AA1152" i="8"/>
  <c r="AA1153" i="8" s="1"/>
  <c r="AB348" i="2"/>
  <c r="AB624" i="8"/>
  <c r="AB625" i="8" s="1"/>
  <c r="AB337" i="2"/>
  <c r="AB52" i="14" s="1"/>
  <c r="AC812" i="8"/>
  <c r="AC813" i="8" s="1"/>
  <c r="AC884" i="8"/>
  <c r="AC885" i="8" s="1"/>
  <c r="AB992" i="8"/>
  <c r="AB993" i="8" s="1"/>
  <c r="AB729" i="2"/>
  <c r="AB740" i="2"/>
  <c r="AA756" i="8"/>
  <c r="AA757" i="8" s="1"/>
  <c r="AA996" i="8"/>
  <c r="AA997" i="8" s="1"/>
  <c r="AA730" i="2"/>
  <c r="AA253" i="14" s="1"/>
  <c r="AA741" i="2"/>
  <c r="AA784" i="8"/>
  <c r="AA785" i="8" s="1"/>
  <c r="AA792" i="8"/>
  <c r="AA793" i="8" s="1"/>
  <c r="AA800" i="8"/>
  <c r="AA801" i="8" s="1"/>
  <c r="AA872" i="8"/>
  <c r="AA873" i="8" s="1"/>
  <c r="Z948" i="8"/>
  <c r="Z949" i="8" s="1"/>
  <c r="Z1192" i="8"/>
  <c r="Z1193" i="8" s="1"/>
  <c r="AA820" i="8"/>
  <c r="AA821" i="8" s="1"/>
  <c r="AB596" i="8"/>
  <c r="AB597" i="8" s="1"/>
  <c r="AB341" i="2"/>
  <c r="AB330" i="2"/>
  <c r="AA1004" i="8"/>
  <c r="AA1005" i="8" s="1"/>
  <c r="AA732" i="2"/>
  <c r="AA255" i="14" s="1"/>
  <c r="AA743" i="2"/>
  <c r="AA1204" i="8"/>
  <c r="AA1205" i="8" s="1"/>
  <c r="Z864" i="8"/>
  <c r="Z865" i="8" s="1"/>
  <c r="AB343" i="2"/>
  <c r="AB332" i="2"/>
  <c r="AB47" i="14" s="1"/>
  <c r="AB604" i="8"/>
  <c r="AB605" i="8" s="1"/>
  <c r="AA764" i="8"/>
  <c r="AA765" i="8" s="1"/>
  <c r="Z1156" i="8"/>
  <c r="Z1157" i="8" s="1"/>
  <c r="AB1216" i="8"/>
  <c r="AB1217" i="8" s="1"/>
  <c r="Z748" i="2"/>
  <c r="Z1220" i="8" s="1"/>
  <c r="Z1221" i="8" s="1"/>
  <c r="AD616" i="8"/>
  <c r="AD617" i="8" s="1"/>
  <c r="AD335" i="2"/>
  <c r="AD50" i="14" s="1"/>
  <c r="AD346" i="2"/>
  <c r="AB1180" i="8"/>
  <c r="AB1181" i="8" s="1"/>
  <c r="Z1200" i="8"/>
  <c r="Z1201" i="8" s="1"/>
  <c r="AB1008" i="8"/>
  <c r="AB1009" i="8" s="1"/>
  <c r="AB744" i="2"/>
  <c r="AB733" i="2"/>
  <c r="AB256" i="14" s="1"/>
  <c r="Z386" i="2"/>
  <c r="Z928" i="8" s="1"/>
  <c r="Z929" i="8" s="1"/>
  <c r="Z828" i="8"/>
  <c r="Z829" i="8" s="1"/>
  <c r="AA620" i="8"/>
  <c r="AA621" i="8" s="1"/>
  <c r="AA336" i="2"/>
  <c r="AA51" i="14" s="1"/>
  <c r="AA347" i="2"/>
  <c r="Z816" i="8"/>
  <c r="Z817" i="8" s="1"/>
  <c r="AA1000" i="8"/>
  <c r="AA1001" i="8" s="1"/>
  <c r="AA742" i="2"/>
  <c r="AA731" i="2"/>
  <c r="AA254" i="14" s="1"/>
  <c r="AC600" i="8"/>
  <c r="AC601" i="8" s="1"/>
  <c r="AC331" i="2"/>
  <c r="AC46" i="14" s="1"/>
  <c r="AC342" i="2"/>
  <c r="Z780" i="8"/>
  <c r="Z781" i="8" s="1"/>
  <c r="Z1160" i="8"/>
  <c r="Z1161" i="8" s="1"/>
  <c r="AB796" i="8"/>
  <c r="AB797" i="8" s="1"/>
  <c r="AB868" i="8"/>
  <c r="AB869" i="8" s="1"/>
  <c r="Z376" i="2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259" i="14" s="1"/>
  <c r="AC747" i="2"/>
  <c r="AC776" i="8"/>
  <c r="AC777" i="8" s="1"/>
  <c r="Z1196" i="8"/>
  <c r="Z1197" i="8" s="1"/>
  <c r="AB760" i="8"/>
  <c r="AB761" i="8" s="1"/>
  <c r="Z804" i="8"/>
  <c r="Z805" i="8" s="1"/>
  <c r="Y374" i="2"/>
  <c r="Y66" i="15" s="1"/>
  <c r="AA1208" i="8"/>
  <c r="AA1209" i="8" s="1"/>
  <c r="Z1176" i="8"/>
  <c r="Z1177" i="8" s="1"/>
  <c r="Z768" i="8"/>
  <c r="Z769" i="8" s="1"/>
  <c r="AB1012" i="8"/>
  <c r="AB1013" i="8" s="1"/>
  <c r="AB745" i="2"/>
  <c r="AB734" i="2"/>
  <c r="AB257" i="14" s="1"/>
  <c r="M59" i="17" l="1"/>
  <c r="M18" i="15"/>
  <c r="Y125" i="14"/>
  <c r="Y128" i="14" s="1"/>
  <c r="Y130" i="14" s="1"/>
  <c r="Z23" i="15"/>
  <c r="Z1842" i="8" s="1"/>
  <c r="L1312" i="8"/>
  <c r="L1313" i="8" s="1"/>
  <c r="L80" i="15"/>
  <c r="M1300" i="8"/>
  <c r="M1301" i="8" s="1"/>
  <c r="M75" i="15"/>
  <c r="M1312" i="8"/>
  <c r="M1313" i="8" s="1"/>
  <c r="M80" i="15"/>
  <c r="N17" i="15"/>
  <c r="N52" i="15"/>
  <c r="N63" i="15"/>
  <c r="N1849" i="8" s="1"/>
  <c r="N64" i="15"/>
  <c r="N1300" i="8"/>
  <c r="N1301" i="8" s="1"/>
  <c r="N75" i="15"/>
  <c r="N1312" i="8"/>
  <c r="N1313" i="8" s="1"/>
  <c r="N80" i="15"/>
  <c r="N58" i="15"/>
  <c r="N1848" i="8" s="1"/>
  <c r="N59" i="15"/>
  <c r="M53" i="15"/>
  <c r="M1847" i="8" s="1"/>
  <c r="M54" i="15"/>
  <c r="N1304" i="8"/>
  <c r="N1305" i="8" s="1"/>
  <c r="N85" i="15"/>
  <c r="L1304" i="8"/>
  <c r="L1305" i="8" s="1"/>
  <c r="L85" i="15"/>
  <c r="X944" i="8"/>
  <c r="X22" i="15"/>
  <c r="Y916" i="8"/>
  <c r="Y917" i="8" s="1"/>
  <c r="Y56" i="15"/>
  <c r="L1300" i="8"/>
  <c r="L1301" i="8" s="1"/>
  <c r="L75" i="15"/>
  <c r="M1304" i="8"/>
  <c r="M1305" i="8" s="1"/>
  <c r="M85" i="15"/>
  <c r="AB252" i="14"/>
  <c r="AB45" i="14"/>
  <c r="O63" i="15"/>
  <c r="O1849" i="8" s="1"/>
  <c r="O64" i="15"/>
  <c r="Z908" i="8"/>
  <c r="Z909" i="8" s="1"/>
  <c r="Z61" i="15"/>
  <c r="Z904" i="8"/>
  <c r="Z905" i="8" s="1"/>
  <c r="Z51" i="15"/>
  <c r="O1535" i="8"/>
  <c r="O1536" i="8" s="1"/>
  <c r="O57" i="15"/>
  <c r="W24" i="15"/>
  <c r="W1836" i="8"/>
  <c r="N68" i="15"/>
  <c r="N1850" i="8" s="1"/>
  <c r="N69" i="15"/>
  <c r="Y131" i="14"/>
  <c r="Y132" i="14" s="1"/>
  <c r="Y134" i="14" s="1"/>
  <c r="Y147" i="14"/>
  <c r="Y148" i="14" s="1"/>
  <c r="Y150" i="14" s="1"/>
  <c r="Y151" i="14"/>
  <c r="Y152" i="14" s="1"/>
  <c r="Y154" i="14" s="1"/>
  <c r="Y159" i="14"/>
  <c r="Y160" i="14" s="1"/>
  <c r="Y162" i="14" s="1"/>
  <c r="Y175" i="14"/>
  <c r="Y176" i="14" s="1"/>
  <c r="Y178" i="14" s="1"/>
  <c r="Y171" i="14"/>
  <c r="Y172" i="14" s="1"/>
  <c r="Y174" i="14" s="1"/>
  <c r="Y250" i="2"/>
  <c r="Y1673" i="8" s="1"/>
  <c r="Y187" i="14"/>
  <c r="Y190" i="14" s="1"/>
  <c r="Y197" i="14" s="1"/>
  <c r="Y139" i="14"/>
  <c r="Y140" i="14" s="1"/>
  <c r="Y142" i="14" s="1"/>
  <c r="Y167" i="14"/>
  <c r="Y168" i="14" s="1"/>
  <c r="Y170" i="14" s="1"/>
  <c r="Y143" i="14"/>
  <c r="Y144" i="14" s="1"/>
  <c r="Y146" i="14" s="1"/>
  <c r="Y155" i="14"/>
  <c r="Y156" i="14" s="1"/>
  <c r="Y158" i="14" s="1"/>
  <c r="Y183" i="14"/>
  <c r="Y184" i="14" s="1"/>
  <c r="Y186" i="14" s="1"/>
  <c r="Y179" i="14"/>
  <c r="Y180" i="14" s="1"/>
  <c r="Y182" i="14" s="1"/>
  <c r="Y163" i="14"/>
  <c r="Y164" i="14" s="1"/>
  <c r="Y166" i="14" s="1"/>
  <c r="N239" i="8"/>
  <c r="N240" i="8" s="1"/>
  <c r="N203" i="8"/>
  <c r="N204" i="8" s="1"/>
  <c r="T196" i="14"/>
  <c r="W339" i="14"/>
  <c r="W341" i="14" s="1"/>
  <c r="N74" i="12"/>
  <c r="V198" i="14"/>
  <c r="O368" i="14"/>
  <c r="V196" i="14"/>
  <c r="Q388" i="14"/>
  <c r="N84" i="12"/>
  <c r="P161" i="14"/>
  <c r="O340" i="14"/>
  <c r="S336" i="14"/>
  <c r="S338" i="14" s="1"/>
  <c r="P141" i="14"/>
  <c r="Q191" i="14"/>
  <c r="Q1671" i="8" s="1"/>
  <c r="Z121" i="14"/>
  <c r="Z122" i="14" s="1"/>
  <c r="Z163" i="14" s="1"/>
  <c r="V1671" i="8"/>
  <c r="R185" i="14"/>
  <c r="Z328" i="14"/>
  <c r="Z75" i="17" s="1"/>
  <c r="O348" i="14"/>
  <c r="P173" i="14"/>
  <c r="U177" i="14"/>
  <c r="S169" i="14"/>
  <c r="T1671" i="8"/>
  <c r="T198" i="14"/>
  <c r="S137" i="14"/>
  <c r="U336" i="14"/>
  <c r="U338" i="14" s="1"/>
  <c r="O145" i="14"/>
  <c r="AA124" i="14"/>
  <c r="P380" i="14"/>
  <c r="T336" i="14"/>
  <c r="T338" i="14" s="1"/>
  <c r="T339" i="14" s="1"/>
  <c r="T341" i="14" s="1"/>
  <c r="S149" i="14"/>
  <c r="N101" i="12"/>
  <c r="Q344" i="14"/>
  <c r="O364" i="14"/>
  <c r="Q368" i="14"/>
  <c r="Q177" i="14"/>
  <c r="AA327" i="14"/>
  <c r="Q356" i="14"/>
  <c r="P368" i="14"/>
  <c r="S185" i="14"/>
  <c r="U173" i="14"/>
  <c r="P133" i="14"/>
  <c r="W133" i="14"/>
  <c r="Q169" i="14"/>
  <c r="U129" i="14"/>
  <c r="P392" i="14"/>
  <c r="W153" i="14"/>
  <c r="S165" i="14"/>
  <c r="W169" i="14"/>
  <c r="R161" i="14"/>
  <c r="Q157" i="14"/>
  <c r="Q145" i="14"/>
  <c r="P384" i="14"/>
  <c r="N267" i="8"/>
  <c r="N268" i="8" s="1"/>
  <c r="N95" i="12"/>
  <c r="R137" i="14"/>
  <c r="W191" i="14"/>
  <c r="W198" i="14" s="1"/>
  <c r="S145" i="14"/>
  <c r="Q185" i="14"/>
  <c r="S173" i="14"/>
  <c r="S161" i="14"/>
  <c r="AA326" i="14"/>
  <c r="P181" i="14"/>
  <c r="O388" i="14"/>
  <c r="Q392" i="14"/>
  <c r="P153" i="14"/>
  <c r="O360" i="14"/>
  <c r="W149" i="14"/>
  <c r="N155" i="8"/>
  <c r="N156" i="8" s="1"/>
  <c r="N58" i="12"/>
  <c r="Q360" i="14"/>
  <c r="O149" i="14"/>
  <c r="Q376" i="14"/>
  <c r="AA331" i="14"/>
  <c r="AA120" i="14"/>
  <c r="W177" i="14"/>
  <c r="R181" i="14"/>
  <c r="R157" i="14"/>
  <c r="O392" i="14"/>
  <c r="O384" i="14"/>
  <c r="S157" i="14"/>
  <c r="Q141" i="14"/>
  <c r="S191" i="14"/>
  <c r="S194" i="14" s="1"/>
  <c r="S195" i="14" s="1"/>
  <c r="S1670" i="8" s="1"/>
  <c r="Q352" i="14"/>
  <c r="W173" i="14"/>
  <c r="R173" i="14"/>
  <c r="O153" i="14"/>
  <c r="M1320" i="8"/>
  <c r="M1321" i="8" s="1"/>
  <c r="M789" i="2"/>
  <c r="R169" i="14"/>
  <c r="U133" i="14"/>
  <c r="R133" i="14"/>
  <c r="P356" i="14"/>
  <c r="X136" i="14"/>
  <c r="X138" i="14" s="1"/>
  <c r="P348" i="14"/>
  <c r="U165" i="14"/>
  <c r="O157" i="14"/>
  <c r="R177" i="14"/>
  <c r="S129" i="14"/>
  <c r="P129" i="14"/>
  <c r="P1579" i="8"/>
  <c r="P1685" i="8"/>
  <c r="O129" i="14"/>
  <c r="V336" i="14"/>
  <c r="V338" i="14" s="1"/>
  <c r="N89" i="12"/>
  <c r="N255" i="8"/>
  <c r="N256" i="8" s="1"/>
  <c r="P1682" i="8"/>
  <c r="P139" i="5"/>
  <c r="P648" i="2" s="1"/>
  <c r="U169" i="14"/>
  <c r="S153" i="14"/>
  <c r="N97" i="12"/>
  <c r="N275" i="8"/>
  <c r="N276" i="8" s="1"/>
  <c r="X335" i="14"/>
  <c r="X337" i="14" s="1"/>
  <c r="M738" i="2"/>
  <c r="M1344" i="8"/>
  <c r="M1345" i="8" s="1"/>
  <c r="M799" i="2"/>
  <c r="N279" i="8"/>
  <c r="N280" i="8" s="1"/>
  <c r="N98" i="12"/>
  <c r="W141" i="14"/>
  <c r="O344" i="14"/>
  <c r="AA119" i="14"/>
  <c r="Q165" i="14"/>
  <c r="O133" i="14"/>
  <c r="Q610" i="2"/>
  <c r="Q490" i="2"/>
  <c r="Q550" i="2"/>
  <c r="Q430" i="2"/>
  <c r="X184" i="14"/>
  <c r="X186" i="14" s="1"/>
  <c r="X164" i="14"/>
  <c r="X166" i="14" s="1"/>
  <c r="O191" i="14"/>
  <c r="O169" i="14"/>
  <c r="W129" i="14"/>
  <c r="R153" i="14"/>
  <c r="O547" i="2"/>
  <c r="O574" i="2" s="1"/>
  <c r="O427" i="2"/>
  <c r="O454" i="2" s="1"/>
  <c r="O607" i="2"/>
  <c r="O634" i="2" s="1"/>
  <c r="O487" i="2"/>
  <c r="O514" i="2" s="1"/>
  <c r="P372" i="14"/>
  <c r="P336" i="14"/>
  <c r="N69" i="12"/>
  <c r="N187" i="8"/>
  <c r="N188" i="8" s="1"/>
  <c r="N522" i="2"/>
  <c r="N1701" i="8" s="1"/>
  <c r="P376" i="14"/>
  <c r="Q1708" i="8"/>
  <c r="Q398" i="14"/>
  <c r="U145" i="14"/>
  <c r="O429" i="2"/>
  <c r="O456" i="2" s="1"/>
  <c r="O489" i="2"/>
  <c r="O516" i="2" s="1"/>
  <c r="O609" i="2"/>
  <c r="O636" i="2" s="1"/>
  <c r="O549" i="2"/>
  <c r="O576" i="2" s="1"/>
  <c r="R149" i="14"/>
  <c r="W181" i="14"/>
  <c r="O356" i="14"/>
  <c r="P614" i="2"/>
  <c r="P494" i="2"/>
  <c r="P434" i="2"/>
  <c r="P554" i="2"/>
  <c r="Y136" i="14"/>
  <c r="Y138" i="14" s="1"/>
  <c r="R165" i="14"/>
  <c r="X128" i="14"/>
  <c r="X130" i="14" s="1"/>
  <c r="X148" i="14"/>
  <c r="X150" i="14" s="1"/>
  <c r="O491" i="2"/>
  <c r="O518" i="2" s="1"/>
  <c r="O551" i="2"/>
  <c r="O578" i="2" s="1"/>
  <c r="O611" i="2"/>
  <c r="O638" i="2" s="1"/>
  <c r="O431" i="2"/>
  <c r="O458" i="2" s="1"/>
  <c r="S181" i="14"/>
  <c r="P344" i="14"/>
  <c r="N1675" i="8"/>
  <c r="N1256" i="8"/>
  <c r="N1257" i="8" s="1"/>
  <c r="N780" i="2"/>
  <c r="P1708" i="8"/>
  <c r="P398" i="14"/>
  <c r="U137" i="14"/>
  <c r="P149" i="14"/>
  <c r="M1675" i="8"/>
  <c r="M1256" i="8"/>
  <c r="M1257" i="8" s="1"/>
  <c r="M780" i="2"/>
  <c r="Q348" i="14"/>
  <c r="O137" i="14"/>
  <c r="O380" i="14"/>
  <c r="P352" i="14"/>
  <c r="U161" i="14"/>
  <c r="N215" i="8"/>
  <c r="N216" i="8" s="1"/>
  <c r="N76" i="12"/>
  <c r="M1296" i="8"/>
  <c r="M1297" i="8" s="1"/>
  <c r="M778" i="2"/>
  <c r="N81" i="12"/>
  <c r="N223" i="8"/>
  <c r="N224" i="8" s="1"/>
  <c r="N582" i="2"/>
  <c r="N1702" i="8" s="1"/>
  <c r="Q489" i="2"/>
  <c r="Q609" i="2"/>
  <c r="Q429" i="2"/>
  <c r="Q549" i="2"/>
  <c r="X156" i="14"/>
  <c r="X158" i="14" s="1"/>
  <c r="X176" i="14"/>
  <c r="X178" i="14" s="1"/>
  <c r="N163" i="8"/>
  <c r="N164" i="8" s="1"/>
  <c r="N60" i="12"/>
  <c r="N100" i="12"/>
  <c r="N287" i="8"/>
  <c r="N288" i="8" s="1"/>
  <c r="O612" i="2"/>
  <c r="O639" i="2" s="1"/>
  <c r="O492" i="2"/>
  <c r="O519" i="2" s="1"/>
  <c r="O432" i="2"/>
  <c r="O459" i="2" s="1"/>
  <c r="O552" i="2"/>
  <c r="O579" i="2" s="1"/>
  <c r="L1296" i="8"/>
  <c r="L1297" i="8" s="1"/>
  <c r="L778" i="2"/>
  <c r="O1578" i="8"/>
  <c r="O1684" i="8"/>
  <c r="N738" i="2"/>
  <c r="N1344" i="8"/>
  <c r="N1345" i="8" s="1"/>
  <c r="N799" i="2"/>
  <c r="P492" i="2"/>
  <c r="P552" i="2"/>
  <c r="P432" i="2"/>
  <c r="P612" i="2"/>
  <c r="W157" i="14"/>
  <c r="X180" i="14"/>
  <c r="X182" i="14" s="1"/>
  <c r="O165" i="14"/>
  <c r="M1545" i="8"/>
  <c r="M90" i="12"/>
  <c r="Q611" i="2"/>
  <c r="Q551" i="2"/>
  <c r="Q491" i="2"/>
  <c r="Q431" i="2"/>
  <c r="X172" i="14"/>
  <c r="X174" i="14" s="1"/>
  <c r="Q336" i="14"/>
  <c r="R129" i="14"/>
  <c r="S141" i="14"/>
  <c r="O553" i="2"/>
  <c r="O580" i="2" s="1"/>
  <c r="O613" i="2"/>
  <c r="O640" i="2" s="1"/>
  <c r="O493" i="2"/>
  <c r="O520" i="2" s="1"/>
  <c r="O433" i="2"/>
  <c r="O460" i="2" s="1"/>
  <c r="W165" i="14"/>
  <c r="P360" i="14"/>
  <c r="Q137" i="14"/>
  <c r="P610" i="2"/>
  <c r="P550" i="2"/>
  <c r="P490" i="2"/>
  <c r="P430" i="2"/>
  <c r="U141" i="14"/>
  <c r="O336" i="14"/>
  <c r="Q129" i="14"/>
  <c r="P165" i="14"/>
  <c r="W161" i="14"/>
  <c r="O141" i="14"/>
  <c r="S177" i="14"/>
  <c r="W185" i="14"/>
  <c r="Q547" i="2"/>
  <c r="Q487" i="2"/>
  <c r="Q427" i="2"/>
  <c r="Q607" i="2"/>
  <c r="P145" i="14"/>
  <c r="X144" i="14"/>
  <c r="X146" i="14" s="1"/>
  <c r="N789" i="2"/>
  <c r="N1320" i="8"/>
  <c r="N1321" i="8" s="1"/>
  <c r="L738" i="2"/>
  <c r="L799" i="2"/>
  <c r="L1344" i="8"/>
  <c r="L1345" i="8" s="1"/>
  <c r="N642" i="2"/>
  <c r="N1703" i="8" s="1"/>
  <c r="N259" i="8"/>
  <c r="N260" i="8" s="1"/>
  <c r="N93" i="12"/>
  <c r="O606" i="2"/>
  <c r="O633" i="2" s="1"/>
  <c r="O426" i="2"/>
  <c r="O486" i="2"/>
  <c r="O546" i="2"/>
  <c r="P157" i="14"/>
  <c r="P553" i="2"/>
  <c r="P433" i="2"/>
  <c r="P613" i="2"/>
  <c r="P493" i="2"/>
  <c r="N1296" i="8"/>
  <c r="N1297" i="8" s="1"/>
  <c r="N778" i="2"/>
  <c r="X152" i="14"/>
  <c r="X154" i="14" s="1"/>
  <c r="N271" i="8"/>
  <c r="N272" i="8" s="1"/>
  <c r="N96" i="12"/>
  <c r="O185" i="14"/>
  <c r="Q161" i="14"/>
  <c r="P137" i="14"/>
  <c r="O352" i="14"/>
  <c r="O372" i="14"/>
  <c r="O173" i="14"/>
  <c r="U153" i="14"/>
  <c r="R141" i="14"/>
  <c r="W137" i="14"/>
  <c r="P177" i="14"/>
  <c r="P546" i="2"/>
  <c r="P426" i="2"/>
  <c r="P606" i="2"/>
  <c r="P486" i="2"/>
  <c r="P169" i="14"/>
  <c r="R191" i="14"/>
  <c r="N199" i="8"/>
  <c r="N200" i="8" s="1"/>
  <c r="N72" i="12"/>
  <c r="Y1705" i="8"/>
  <c r="Y649" i="2"/>
  <c r="Y1677" i="8" s="1"/>
  <c r="Y332" i="14"/>
  <c r="M1588" i="8"/>
  <c r="M1716" i="8"/>
  <c r="M1690" i="8"/>
  <c r="M1584" i="8"/>
  <c r="M1592" i="8"/>
  <c r="Q606" i="2"/>
  <c r="Q546" i="2"/>
  <c r="Q486" i="2"/>
  <c r="Q426" i="2"/>
  <c r="X132" i="14"/>
  <c r="X134" i="14" s="1"/>
  <c r="M102" i="12"/>
  <c r="M1546" i="8"/>
  <c r="O548" i="2"/>
  <c r="O575" i="2" s="1"/>
  <c r="O428" i="2"/>
  <c r="O455" i="2" s="1"/>
  <c r="O488" i="2"/>
  <c r="O515" i="2" s="1"/>
  <c r="O608" i="2"/>
  <c r="O635" i="2" s="1"/>
  <c r="L1320" i="8"/>
  <c r="L1321" i="8" s="1"/>
  <c r="L789" i="2"/>
  <c r="Q492" i="2"/>
  <c r="Q432" i="2"/>
  <c r="Q612" i="2"/>
  <c r="Q552" i="2"/>
  <c r="X1669" i="8"/>
  <c r="X211" i="14"/>
  <c r="X209" i="14"/>
  <c r="X207" i="14"/>
  <c r="X205" i="14"/>
  <c r="X203" i="14"/>
  <c r="X210" i="14"/>
  <c r="X208" i="14"/>
  <c r="X206" i="14"/>
  <c r="X204" i="14"/>
  <c r="X193" i="14"/>
  <c r="X192" i="14"/>
  <c r="L1675" i="8"/>
  <c r="L1256" i="8"/>
  <c r="L1257" i="8" s="1"/>
  <c r="L780" i="2"/>
  <c r="M1589" i="8"/>
  <c r="M1717" i="8"/>
  <c r="M1585" i="8"/>
  <c r="M1691" i="8"/>
  <c r="M1593" i="8"/>
  <c r="O610" i="2"/>
  <c r="O637" i="2" s="1"/>
  <c r="O550" i="2"/>
  <c r="O577" i="2" s="1"/>
  <c r="O490" i="2"/>
  <c r="O517" i="2" s="1"/>
  <c r="O430" i="2"/>
  <c r="O457" i="2" s="1"/>
  <c r="O1581" i="8"/>
  <c r="O1687" i="8"/>
  <c r="N65" i="12"/>
  <c r="N183" i="8"/>
  <c r="N184" i="8" s="1"/>
  <c r="Q149" i="14"/>
  <c r="O161" i="14"/>
  <c r="P491" i="2"/>
  <c r="P611" i="2"/>
  <c r="P551" i="2"/>
  <c r="P431" i="2"/>
  <c r="P340" i="14"/>
  <c r="Q340" i="14"/>
  <c r="O181" i="14"/>
  <c r="M1543" i="8"/>
  <c r="M66" i="12"/>
  <c r="R145" i="14"/>
  <c r="U191" i="14"/>
  <c r="Q181" i="14"/>
  <c r="Q380" i="14"/>
  <c r="R336" i="14"/>
  <c r="R338" i="14" s="1"/>
  <c r="U181" i="14"/>
  <c r="Q173" i="14"/>
  <c r="Q553" i="2"/>
  <c r="Q613" i="2"/>
  <c r="Q433" i="2"/>
  <c r="Q493" i="2"/>
  <c r="X160" i="14"/>
  <c r="X162" i="14" s="1"/>
  <c r="P185" i="14"/>
  <c r="O614" i="2"/>
  <c r="O641" i="2" s="1"/>
  <c r="O554" i="2"/>
  <c r="O581" i="2" s="1"/>
  <c r="O494" i="2"/>
  <c r="O521" i="2" s="1"/>
  <c r="O434" i="2"/>
  <c r="O461" i="2" s="1"/>
  <c r="P1580" i="8"/>
  <c r="P1686" i="8"/>
  <c r="P487" i="2"/>
  <c r="P547" i="2"/>
  <c r="P427" i="2"/>
  <c r="P607" i="2"/>
  <c r="M1586" i="8"/>
  <c r="M1714" i="8"/>
  <c r="M1582" i="8"/>
  <c r="M1688" i="8"/>
  <c r="M1590" i="8"/>
  <c r="N83" i="12"/>
  <c r="N231" i="8"/>
  <c r="N232" i="8" s="1"/>
  <c r="M78" i="12"/>
  <c r="M1544" i="8"/>
  <c r="Q1682" i="8"/>
  <c r="Q139" i="5"/>
  <c r="Q648" i="2" s="1"/>
  <c r="X140" i="14"/>
  <c r="X142" i="14" s="1"/>
  <c r="Q133" i="14"/>
  <c r="O1682" i="8"/>
  <c r="O139" i="5"/>
  <c r="O648" i="2" s="1"/>
  <c r="Q364" i="14"/>
  <c r="N462" i="2"/>
  <c r="N1700" i="8" s="1"/>
  <c r="N151" i="8"/>
  <c r="N152" i="8" s="1"/>
  <c r="N57" i="12"/>
  <c r="M1587" i="8"/>
  <c r="M1715" i="8"/>
  <c r="M1583" i="8"/>
  <c r="M1689" i="8"/>
  <c r="M1591" i="8"/>
  <c r="U157" i="14"/>
  <c r="Q153" i="14"/>
  <c r="Q428" i="2"/>
  <c r="Q608" i="2"/>
  <c r="Q548" i="2"/>
  <c r="Q488" i="2"/>
  <c r="X168" i="14"/>
  <c r="X170" i="14" s="1"/>
  <c r="N195" i="14"/>
  <c r="N1670" i="8" s="1"/>
  <c r="N196" i="14"/>
  <c r="N195" i="8"/>
  <c r="N196" i="8" s="1"/>
  <c r="N71" i="12"/>
  <c r="Q384" i="14"/>
  <c r="P489" i="2"/>
  <c r="P609" i="2"/>
  <c r="P429" i="2"/>
  <c r="P549" i="2"/>
  <c r="O376" i="14"/>
  <c r="X199" i="14"/>
  <c r="X200" i="14" s="1"/>
  <c r="X1672" i="8"/>
  <c r="O177" i="14"/>
  <c r="W145" i="14"/>
  <c r="P428" i="2"/>
  <c r="P488" i="2"/>
  <c r="P548" i="2"/>
  <c r="P608" i="2"/>
  <c r="N94" i="12"/>
  <c r="N263" i="8"/>
  <c r="N264" i="8" s="1"/>
  <c r="U185" i="14"/>
  <c r="P388" i="14"/>
  <c r="S133" i="14"/>
  <c r="P364" i="14"/>
  <c r="U149" i="14"/>
  <c r="N179" i="8"/>
  <c r="N180" i="8" s="1"/>
  <c r="N64" i="12"/>
  <c r="Q614" i="2"/>
  <c r="Q494" i="2"/>
  <c r="Q434" i="2"/>
  <c r="Q554" i="2"/>
  <c r="P191" i="14"/>
  <c r="N175" i="8"/>
  <c r="N176" i="8" s="1"/>
  <c r="N63" i="12"/>
  <c r="O1708" i="8"/>
  <c r="O398" i="14"/>
  <c r="Q372" i="14"/>
  <c r="R179" i="2"/>
  <c r="S179" i="2" s="1"/>
  <c r="Q35" i="12"/>
  <c r="O1523" i="8"/>
  <c r="P27" i="12"/>
  <c r="O15" i="12"/>
  <c r="Q238" i="2"/>
  <c r="P131" i="8"/>
  <c r="P132" i="8" s="1"/>
  <c r="P46" i="12"/>
  <c r="Q239" i="2"/>
  <c r="P135" i="8"/>
  <c r="P136" i="8" s="1"/>
  <c r="P47" i="12"/>
  <c r="Q54" i="2"/>
  <c r="P7" i="8"/>
  <c r="P8" i="8" s="1"/>
  <c r="P6" i="12"/>
  <c r="P63" i="2"/>
  <c r="X1431" i="8"/>
  <c r="X137" i="13"/>
  <c r="X139" i="13" s="1"/>
  <c r="X1563" i="8" s="1"/>
  <c r="R120" i="2"/>
  <c r="Q24" i="12"/>
  <c r="Q67" i="8"/>
  <c r="Q68" i="8" s="1"/>
  <c r="R62" i="2"/>
  <c r="Q39" i="8"/>
  <c r="Q40" i="8" s="1"/>
  <c r="Q14" i="12"/>
  <c r="R175" i="2"/>
  <c r="Q31" i="12"/>
  <c r="Q83" i="8"/>
  <c r="Q84" i="8" s="1"/>
  <c r="R241" i="2"/>
  <c r="Q49" i="12"/>
  <c r="Q143" i="8"/>
  <c r="Q144" i="8" s="1"/>
  <c r="Q235" i="2"/>
  <c r="P43" i="12"/>
  <c r="P119" i="8"/>
  <c r="P120" i="8" s="1"/>
  <c r="S116" i="2"/>
  <c r="R20" i="12"/>
  <c r="R51" i="8"/>
  <c r="R52" i="8" s="1"/>
  <c r="Q234" i="2"/>
  <c r="P115" i="8"/>
  <c r="P116" i="8" s="1"/>
  <c r="P42" i="12"/>
  <c r="P243" i="2"/>
  <c r="R174" i="2"/>
  <c r="Q30" i="12"/>
  <c r="Q79" i="8"/>
  <c r="Q80" i="8" s="1"/>
  <c r="Q183" i="2"/>
  <c r="Q240" i="2"/>
  <c r="P48" i="12"/>
  <c r="P139" i="8"/>
  <c r="P140" i="8" s="1"/>
  <c r="S178" i="2"/>
  <c r="R34" i="12"/>
  <c r="R95" i="8"/>
  <c r="R96" i="8" s="1"/>
  <c r="S118" i="2"/>
  <c r="R22" i="12"/>
  <c r="R59" i="8"/>
  <c r="R60" i="8" s="1"/>
  <c r="N1525" i="8"/>
  <c r="N1541" i="8"/>
  <c r="N1542" i="8" s="1"/>
  <c r="S122" i="2"/>
  <c r="R26" i="12"/>
  <c r="R75" i="8"/>
  <c r="R76" i="8" s="1"/>
  <c r="S182" i="2"/>
  <c r="R38" i="12"/>
  <c r="R111" i="8"/>
  <c r="R112" i="8" s="1"/>
  <c r="S121" i="2"/>
  <c r="R25" i="12"/>
  <c r="R71" i="8"/>
  <c r="R72" i="8" s="1"/>
  <c r="R117" i="2"/>
  <c r="Q55" i="8"/>
  <c r="Q56" i="8" s="1"/>
  <c r="Q21" i="12"/>
  <c r="Q242" i="2"/>
  <c r="P50" i="12"/>
  <c r="P147" i="8"/>
  <c r="P148" i="8" s="1"/>
  <c r="R176" i="2"/>
  <c r="Q32" i="12"/>
  <c r="Q87" i="8"/>
  <c r="Q88" i="8" s="1"/>
  <c r="Q58" i="2"/>
  <c r="P23" i="8"/>
  <c r="P24" i="8" s="1"/>
  <c r="P10" i="12"/>
  <c r="Q237" i="2"/>
  <c r="P45" i="12"/>
  <c r="P127" i="8"/>
  <c r="P128" i="8" s="1"/>
  <c r="R177" i="2"/>
  <c r="Q33" i="12"/>
  <c r="Q91" i="8"/>
  <c r="Q92" i="8" s="1"/>
  <c r="Q60" i="2"/>
  <c r="P12" i="12"/>
  <c r="P31" i="8"/>
  <c r="P32" i="8" s="1"/>
  <c r="R55" i="2"/>
  <c r="Q7" i="12"/>
  <c r="Q11" i="8"/>
  <c r="Q12" i="8" s="1"/>
  <c r="R57" i="2"/>
  <c r="Q9" i="12"/>
  <c r="Q19" i="8"/>
  <c r="Q20" i="8" s="1"/>
  <c r="R181" i="2"/>
  <c r="Q37" i="12"/>
  <c r="Q107" i="8"/>
  <c r="Q108" i="8" s="1"/>
  <c r="Q61" i="2"/>
  <c r="P13" i="12"/>
  <c r="P35" i="8"/>
  <c r="P36" i="8" s="1"/>
  <c r="O51" i="12"/>
  <c r="O67" i="15" s="1"/>
  <c r="R180" i="2"/>
  <c r="Q36" i="12"/>
  <c r="Q103" i="8"/>
  <c r="Q104" i="8" s="1"/>
  <c r="N1522" i="8"/>
  <c r="N1532" i="8"/>
  <c r="N1533" i="8" s="1"/>
  <c r="O1524" i="8"/>
  <c r="O1538" i="8"/>
  <c r="O1539" i="8" s="1"/>
  <c r="S119" i="2"/>
  <c r="R23" i="12"/>
  <c r="R63" i="8"/>
  <c r="R64" i="8" s="1"/>
  <c r="R56" i="2"/>
  <c r="Q8" i="12"/>
  <c r="Q15" i="8"/>
  <c r="Q16" i="8" s="1"/>
  <c r="Q59" i="2"/>
  <c r="P27" i="8"/>
  <c r="P28" i="8" s="1"/>
  <c r="P11" i="12"/>
  <c r="Q236" i="2"/>
  <c r="P44" i="12"/>
  <c r="P123" i="8"/>
  <c r="P124" i="8" s="1"/>
  <c r="R114" i="2"/>
  <c r="Q18" i="12"/>
  <c r="Q43" i="8"/>
  <c r="Q44" i="8" s="1"/>
  <c r="Q123" i="2"/>
  <c r="R115" i="2"/>
  <c r="Q19" i="12"/>
  <c r="Q47" i="8"/>
  <c r="Q48" i="8" s="1"/>
  <c r="P39" i="12"/>
  <c r="P62" i="15" s="1"/>
  <c r="Y372" i="2"/>
  <c r="Y339" i="2"/>
  <c r="Y361" i="2" s="1"/>
  <c r="Y964" i="8"/>
  <c r="Y965" i="8" s="1"/>
  <c r="AA717" i="2"/>
  <c r="AA706" i="2" s="1"/>
  <c r="AA90" i="17" s="1"/>
  <c r="Z296" i="2"/>
  <c r="AA318" i="2"/>
  <c r="X1434" i="8"/>
  <c r="X328" i="2"/>
  <c r="Z706" i="2"/>
  <c r="Z90" i="17" s="1"/>
  <c r="AA696" i="2"/>
  <c r="Z395" i="2"/>
  <c r="Z960" i="8" s="1"/>
  <c r="Z961" i="8" s="1"/>
  <c r="AA683" i="2"/>
  <c r="AA86" i="17" s="1"/>
  <c r="AA297" i="2"/>
  <c r="W285" i="2"/>
  <c r="W286" i="2"/>
  <c r="AB259" i="2"/>
  <c r="AA284" i="2"/>
  <c r="X1432" i="8"/>
  <c r="AB258" i="2"/>
  <c r="AA383" i="2"/>
  <c r="X980" i="8"/>
  <c r="X981" i="8" s="1"/>
  <c r="Z374" i="2"/>
  <c r="Z398" i="2"/>
  <c r="Z972" i="8" s="1"/>
  <c r="Z973" i="8" s="1"/>
  <c r="AA399" i="2"/>
  <c r="AA976" i="8" s="1"/>
  <c r="AA977" i="8" s="1"/>
  <c r="Z396" i="2"/>
  <c r="Z964" i="8" s="1"/>
  <c r="Z965" i="8" s="1"/>
  <c r="AB393" i="2"/>
  <c r="AB952" i="8" s="1"/>
  <c r="AB953" i="8" s="1"/>
  <c r="AA394" i="2"/>
  <c r="AA956" i="8" s="1"/>
  <c r="AA957" i="8" s="1"/>
  <c r="AB832" i="8"/>
  <c r="AB833" i="8" s="1"/>
  <c r="AC397" i="2"/>
  <c r="AC968" i="8" s="1"/>
  <c r="AC969" i="8" s="1"/>
  <c r="Z382" i="2"/>
  <c r="Z840" i="8"/>
  <c r="Z841" i="8" s="1"/>
  <c r="Z876" i="8"/>
  <c r="Z877" i="8" s="1"/>
  <c r="AB872" i="8"/>
  <c r="AB873" i="8" s="1"/>
  <c r="W1433" i="8"/>
  <c r="W1445" i="8"/>
  <c r="X920" i="8"/>
  <c r="X921" i="8" s="1"/>
  <c r="X380" i="2"/>
  <c r="X70" i="17" s="1"/>
  <c r="AB359" i="2"/>
  <c r="AB856" i="8" s="1"/>
  <c r="AB857" i="8" s="1"/>
  <c r="Y400" i="2"/>
  <c r="AA356" i="2"/>
  <c r="AA396" i="2" s="1"/>
  <c r="Y860" i="8"/>
  <c r="Y861" i="8" s="1"/>
  <c r="Y381" i="2"/>
  <c r="AA358" i="2"/>
  <c r="AA398" i="2" s="1"/>
  <c r="AA375" i="2"/>
  <c r="AA355" i="2"/>
  <c r="AA395" i="2" s="1"/>
  <c r="AB354" i="2"/>
  <c r="AB836" i="8" s="1"/>
  <c r="AB837" i="8" s="1"/>
  <c r="AB352" i="2"/>
  <c r="AC353" i="2"/>
  <c r="AC832" i="8" s="1"/>
  <c r="AC833" i="8" s="1"/>
  <c r="AD357" i="2"/>
  <c r="AD397" i="2" s="1"/>
  <c r="AA737" i="2"/>
  <c r="AA1184" i="8" s="1"/>
  <c r="AA1185" i="8" s="1"/>
  <c r="AA772" i="8"/>
  <c r="AA773" i="8" s="1"/>
  <c r="AB334" i="2"/>
  <c r="AB49" i="14" s="1"/>
  <c r="AB612" i="8"/>
  <c r="AB613" i="8" s="1"/>
  <c r="AB345" i="2"/>
  <c r="AA808" i="8"/>
  <c r="AA809" i="8" s="1"/>
  <c r="AA338" i="2"/>
  <c r="AA788" i="8" s="1"/>
  <c r="AA789" i="8" s="1"/>
  <c r="AA386" i="2"/>
  <c r="AA928" i="8" s="1"/>
  <c r="AA929" i="8" s="1"/>
  <c r="Z360" i="2"/>
  <c r="AA948" i="8"/>
  <c r="AA949" i="8" s="1"/>
  <c r="AA1160" i="8"/>
  <c r="AA1161" i="8" s="1"/>
  <c r="AB756" i="8"/>
  <c r="AB757" i="8" s="1"/>
  <c r="AA864" i="8"/>
  <c r="AA865" i="8" s="1"/>
  <c r="AB1168" i="8"/>
  <c r="AB1169" i="8" s="1"/>
  <c r="AB1204" i="8"/>
  <c r="AB1205" i="8" s="1"/>
  <c r="AB1004" i="8"/>
  <c r="AB1005" i="8" s="1"/>
  <c r="AB732" i="2"/>
  <c r="AB255" i="14" s="1"/>
  <c r="AB743" i="2"/>
  <c r="AA376" i="2"/>
  <c r="AB1152" i="8"/>
  <c r="AB1153" i="8" s="1"/>
  <c r="AA1176" i="8"/>
  <c r="AA1177" i="8" s="1"/>
  <c r="AC1008" i="8"/>
  <c r="AC1009" i="8" s="1"/>
  <c r="AC744" i="2"/>
  <c r="AC733" i="2"/>
  <c r="AC256" i="14" s="1"/>
  <c r="AC596" i="8"/>
  <c r="AC597" i="8" s="1"/>
  <c r="AC330" i="2"/>
  <c r="AC341" i="2"/>
  <c r="AD1020" i="8"/>
  <c r="AD1021" i="8" s="1"/>
  <c r="AD736" i="2"/>
  <c r="AD259" i="14" s="1"/>
  <c r="AD747" i="2"/>
  <c r="AC1012" i="8"/>
  <c r="AC1013" i="8" s="1"/>
  <c r="AC745" i="2"/>
  <c r="AC734" i="2"/>
  <c r="AC257" i="14" s="1"/>
  <c r="AC1216" i="8"/>
  <c r="AC1217" i="8" s="1"/>
  <c r="Z385" i="2"/>
  <c r="AC604" i="8"/>
  <c r="AC605" i="8" s="1"/>
  <c r="AC343" i="2"/>
  <c r="AC332" i="2"/>
  <c r="AC47" i="14" s="1"/>
  <c r="AA1200" i="8"/>
  <c r="AA1201" i="8" s="1"/>
  <c r="AA387" i="2"/>
  <c r="AA932" i="8" s="1"/>
  <c r="AA933" i="8" s="1"/>
  <c r="AA1212" i="8"/>
  <c r="AA1213" i="8" s="1"/>
  <c r="AA768" i="8"/>
  <c r="AA769" i="8" s="1"/>
  <c r="AC992" i="8"/>
  <c r="AC993" i="8" s="1"/>
  <c r="AC729" i="2"/>
  <c r="AC740" i="2"/>
  <c r="AA804" i="8"/>
  <c r="AA805" i="8" s="1"/>
  <c r="AA876" i="8"/>
  <c r="AA877" i="8" s="1"/>
  <c r="AB1172" i="8"/>
  <c r="AB1173" i="8" s="1"/>
  <c r="Y900" i="8"/>
  <c r="Y901" i="8" s="1"/>
  <c r="Y379" i="2"/>
  <c r="AC1180" i="8"/>
  <c r="AC1181" i="8" s="1"/>
  <c r="AD812" i="8"/>
  <c r="AD813" i="8" s="1"/>
  <c r="AD884" i="8"/>
  <c r="AD885" i="8" s="1"/>
  <c r="AA1164" i="8"/>
  <c r="AA1165" i="8" s="1"/>
  <c r="AB996" i="8"/>
  <c r="AB997" i="8" s="1"/>
  <c r="AB741" i="2"/>
  <c r="AB730" i="2"/>
  <c r="AB253" i="14" s="1"/>
  <c r="AB1016" i="8"/>
  <c r="AB1017" i="8" s="1"/>
  <c r="AB746" i="2"/>
  <c r="AB735" i="2"/>
  <c r="AB258" i="14" s="1"/>
  <c r="AB608" i="8"/>
  <c r="AB609" i="8" s="1"/>
  <c r="AB333" i="2"/>
  <c r="AB48" i="14" s="1"/>
  <c r="AB344" i="2"/>
  <c r="AC760" i="8"/>
  <c r="AC761" i="8" s="1"/>
  <c r="AB1000" i="8"/>
  <c r="AB1001" i="8" s="1"/>
  <c r="AB731" i="2"/>
  <c r="AB254" i="14" s="1"/>
  <c r="AB742" i="2"/>
  <c r="AB792" i="8"/>
  <c r="AB793" i="8" s="1"/>
  <c r="AA1196" i="8"/>
  <c r="AA1197" i="8" s="1"/>
  <c r="AB1188" i="8"/>
  <c r="AB1189" i="8" s="1"/>
  <c r="AB1208" i="8"/>
  <c r="AB1209" i="8" s="1"/>
  <c r="AD776" i="8"/>
  <c r="AD777" i="8" s="1"/>
  <c r="AB764" i="8"/>
  <c r="AB765" i="8" s="1"/>
  <c r="AA1192" i="8"/>
  <c r="AA1193" i="8" s="1"/>
  <c r="AE335" i="2"/>
  <c r="AE50" i="14" s="1"/>
  <c r="AE616" i="8"/>
  <c r="AE617" i="8" s="1"/>
  <c r="F617" i="8" s="1"/>
  <c r="AE346" i="2"/>
  <c r="AB800" i="8"/>
  <c r="AB801" i="8" s="1"/>
  <c r="AA1156" i="8"/>
  <c r="AA1157" i="8" s="1"/>
  <c r="Z378" i="2"/>
  <c r="Z389" i="2"/>
  <c r="Z940" i="8" s="1"/>
  <c r="Z941" i="8" s="1"/>
  <c r="AA816" i="8"/>
  <c r="AA817" i="8" s="1"/>
  <c r="AA888" i="8"/>
  <c r="AA889" i="8" s="1"/>
  <c r="Z371" i="2"/>
  <c r="Z896" i="8" s="1"/>
  <c r="Z897" i="8" s="1"/>
  <c r="AB784" i="8"/>
  <c r="AB785" i="8" s="1"/>
  <c r="AB620" i="8"/>
  <c r="AB621" i="8" s="1"/>
  <c r="AB347" i="2"/>
  <c r="AB336" i="2"/>
  <c r="AB51" i="14" s="1"/>
  <c r="AC337" i="2"/>
  <c r="AC52" i="14" s="1"/>
  <c r="AC624" i="8"/>
  <c r="AC625" i="8" s="1"/>
  <c r="AC348" i="2"/>
  <c r="AA748" i="2"/>
  <c r="AA1220" i="8" s="1"/>
  <c r="AA1221" i="8" s="1"/>
  <c r="Y924" i="8"/>
  <c r="Y925" i="8" s="1"/>
  <c r="Y390" i="2"/>
  <c r="Y69" i="17" s="1"/>
  <c r="Y84" i="17" s="1"/>
  <c r="AD600" i="8"/>
  <c r="AD601" i="8" s="1"/>
  <c r="AD331" i="2"/>
  <c r="AD46" i="14" s="1"/>
  <c r="AD342" i="2"/>
  <c r="AA780" i="8"/>
  <c r="AA781" i="8" s="1"/>
  <c r="AC796" i="8"/>
  <c r="AC797" i="8" s="1"/>
  <c r="AC868" i="8"/>
  <c r="AC869" i="8" s="1"/>
  <c r="AA349" i="2"/>
  <c r="AA824" i="8" s="1"/>
  <c r="AA825" i="8" s="1"/>
  <c r="AA828" i="8"/>
  <c r="AA829" i="8" s="1"/>
  <c r="AB820" i="8"/>
  <c r="AB821" i="8" s="1"/>
  <c r="AB892" i="8"/>
  <c r="AB893" i="8" s="1"/>
  <c r="L87" i="15" l="1"/>
  <c r="L1853" i="8" s="1"/>
  <c r="L60" i="17"/>
  <c r="L61" i="17" s="1"/>
  <c r="L65" i="17" s="1"/>
  <c r="N59" i="17"/>
  <c r="Q660" i="2"/>
  <c r="Q38" i="15" s="1"/>
  <c r="Q659" i="2"/>
  <c r="Q37" i="15" s="1"/>
  <c r="P659" i="2"/>
  <c r="P37" i="15" s="1"/>
  <c r="P660" i="2"/>
  <c r="P38" i="15" s="1"/>
  <c r="O660" i="2"/>
  <c r="O38" i="15" s="1"/>
  <c r="O659" i="2"/>
  <c r="O37" i="15" s="1"/>
  <c r="M63" i="17"/>
  <c r="N18" i="15"/>
  <c r="N19" i="15" s="1"/>
  <c r="N1834" i="8" s="1"/>
  <c r="AA23" i="15"/>
  <c r="AA1842" i="8" s="1"/>
  <c r="Y206" i="14"/>
  <c r="AA908" i="8"/>
  <c r="AA909" i="8" s="1"/>
  <c r="AA61" i="15"/>
  <c r="X24" i="15"/>
  <c r="X1836" i="8"/>
  <c r="M1528" i="8"/>
  <c r="M86" i="15"/>
  <c r="L1340" i="8"/>
  <c r="L39" i="15"/>
  <c r="M1527" i="8"/>
  <c r="M81" i="15"/>
  <c r="Z900" i="8"/>
  <c r="Z901" i="8" s="1"/>
  <c r="Z66" i="15"/>
  <c r="N53" i="15"/>
  <c r="N1847" i="8" s="1"/>
  <c r="N54" i="15"/>
  <c r="P1523" i="8"/>
  <c r="P57" i="15"/>
  <c r="AC45" i="14"/>
  <c r="Y944" i="8"/>
  <c r="Y22" i="15"/>
  <c r="Z916" i="8"/>
  <c r="Z917" i="8" s="1"/>
  <c r="Z56" i="15"/>
  <c r="O58" i="15"/>
  <c r="O1848" i="8" s="1"/>
  <c r="O59" i="15"/>
  <c r="M76" i="15"/>
  <c r="M34" i="15"/>
  <c r="O1522" i="8"/>
  <c r="O17" i="15"/>
  <c r="O52" i="15"/>
  <c r="AA904" i="8"/>
  <c r="AA905" i="8" s="1"/>
  <c r="AA51" i="15"/>
  <c r="M1340" i="8"/>
  <c r="M39" i="15"/>
  <c r="AC252" i="14"/>
  <c r="N1340" i="8"/>
  <c r="N39" i="15"/>
  <c r="L77" i="15"/>
  <c r="L1851" i="8" s="1"/>
  <c r="L78" i="15"/>
  <c r="L83" i="15"/>
  <c r="L82" i="15"/>
  <c r="L1852" i="8" s="1"/>
  <c r="O68" i="15"/>
  <c r="O1850" i="8" s="1"/>
  <c r="O69" i="15"/>
  <c r="P63" i="15"/>
  <c r="P1849" i="8" s="1"/>
  <c r="P64" i="15"/>
  <c r="M1529" i="8"/>
  <c r="M91" i="15"/>
  <c r="Y207" i="14"/>
  <c r="Y209" i="14"/>
  <c r="Y211" i="14"/>
  <c r="Y1669" i="8"/>
  <c r="Y208" i="14"/>
  <c r="Y193" i="14"/>
  <c r="Y204" i="14"/>
  <c r="Y192" i="14"/>
  <c r="Y210" i="14"/>
  <c r="Y203" i="14"/>
  <c r="Y205" i="14"/>
  <c r="Z131" i="14"/>
  <c r="Z132" i="14" s="1"/>
  <c r="Z134" i="14" s="1"/>
  <c r="Z147" i="14"/>
  <c r="Z148" i="14" s="1"/>
  <c r="Z150" i="14" s="1"/>
  <c r="Z183" i="14"/>
  <c r="Z184" i="14" s="1"/>
  <c r="Z186" i="14" s="1"/>
  <c r="Z250" i="2"/>
  <c r="Z1673" i="8" s="1"/>
  <c r="Z167" i="14"/>
  <c r="Z168" i="14" s="1"/>
  <c r="Z170" i="14" s="1"/>
  <c r="R35" i="12"/>
  <c r="Q194" i="14"/>
  <c r="Q195" i="14" s="1"/>
  <c r="Q1670" i="8" s="1"/>
  <c r="Z175" i="14"/>
  <c r="Z176" i="14" s="1"/>
  <c r="Z178" i="14" s="1"/>
  <c r="Z187" i="14"/>
  <c r="Z190" i="14" s="1"/>
  <c r="Z197" i="14" s="1"/>
  <c r="Q198" i="14"/>
  <c r="R339" i="14"/>
  <c r="R341" i="14" s="1"/>
  <c r="V339" i="14"/>
  <c r="V341" i="14" s="1"/>
  <c r="S339" i="14"/>
  <c r="S341" i="14" s="1"/>
  <c r="U339" i="14"/>
  <c r="U341" i="14" s="1"/>
  <c r="Z125" i="14"/>
  <c r="Z128" i="14" s="1"/>
  <c r="Z130" i="14" s="1"/>
  <c r="Z159" i="14"/>
  <c r="Z160" i="14" s="1"/>
  <c r="Z162" i="14" s="1"/>
  <c r="Z135" i="14"/>
  <c r="Z136" i="14" s="1"/>
  <c r="Z138" i="14" s="1"/>
  <c r="Z155" i="14"/>
  <c r="Z156" i="14" s="1"/>
  <c r="Z158" i="14" s="1"/>
  <c r="Z171" i="14"/>
  <c r="Z172" i="14" s="1"/>
  <c r="Z174" i="14" s="1"/>
  <c r="Z139" i="14"/>
  <c r="Z140" i="14" s="1"/>
  <c r="Z142" i="14" s="1"/>
  <c r="T340" i="14"/>
  <c r="T342" i="14" s="1"/>
  <c r="Z143" i="14"/>
  <c r="Z144" i="14" s="1"/>
  <c r="Z146" i="14" s="1"/>
  <c r="Z151" i="14"/>
  <c r="Z152" i="14" s="1"/>
  <c r="Z154" i="14" s="1"/>
  <c r="Z179" i="14"/>
  <c r="Z180" i="14" s="1"/>
  <c r="Z182" i="14" s="1"/>
  <c r="W340" i="14"/>
  <c r="W342" i="14" s="1"/>
  <c r="X191" i="14"/>
  <c r="X194" i="14" s="1"/>
  <c r="AA121" i="14"/>
  <c r="AA122" i="14" s="1"/>
  <c r="R99" i="8"/>
  <c r="R100" i="8" s="1"/>
  <c r="W1671" i="8"/>
  <c r="W194" i="14"/>
  <c r="W196" i="14" s="1"/>
  <c r="X153" i="14"/>
  <c r="S1671" i="8"/>
  <c r="S196" i="14"/>
  <c r="S198" i="14"/>
  <c r="AA328" i="14"/>
  <c r="AA75" i="17" s="1"/>
  <c r="X173" i="14"/>
  <c r="AB120" i="14"/>
  <c r="Y177" i="14"/>
  <c r="X133" i="14"/>
  <c r="AB124" i="14"/>
  <c r="X185" i="14"/>
  <c r="Y153" i="14"/>
  <c r="Y169" i="14"/>
  <c r="X157" i="14"/>
  <c r="Y145" i="14"/>
  <c r="AB331" i="14"/>
  <c r="AB327" i="14"/>
  <c r="Y133" i="14"/>
  <c r="Y165" i="14"/>
  <c r="P575" i="2"/>
  <c r="O231" i="8"/>
  <c r="O232" i="8" s="1"/>
  <c r="O83" i="12"/>
  <c r="P636" i="2"/>
  <c r="O96" i="12"/>
  <c r="O271" i="8"/>
  <c r="O272" i="8" s="1"/>
  <c r="O72" i="12"/>
  <c r="O199" i="8"/>
  <c r="O200" i="8" s="1"/>
  <c r="P516" i="2"/>
  <c r="P638" i="2"/>
  <c r="O98" i="12"/>
  <c r="O279" i="8"/>
  <c r="O280" i="8" s="1"/>
  <c r="O275" i="8"/>
  <c r="O276" i="8" s="1"/>
  <c r="P637" i="2"/>
  <c r="O97" i="12"/>
  <c r="O76" i="12"/>
  <c r="P520" i="2"/>
  <c r="O215" i="8"/>
  <c r="O216" i="8" s="1"/>
  <c r="O255" i="8"/>
  <c r="O256" i="8" s="1"/>
  <c r="O89" i="12"/>
  <c r="P581" i="2"/>
  <c r="P1681" i="8"/>
  <c r="P1577" i="8"/>
  <c r="O195" i="8"/>
  <c r="O196" i="8" s="1"/>
  <c r="O71" i="12"/>
  <c r="P515" i="2"/>
  <c r="O167" i="8"/>
  <c r="O168" i="8" s="1"/>
  <c r="O61" i="12"/>
  <c r="P457" i="2"/>
  <c r="Y335" i="14"/>
  <c r="Y337" i="14" s="1"/>
  <c r="P1678" i="8"/>
  <c r="P1574" i="8"/>
  <c r="Y129" i="14"/>
  <c r="AB326" i="14"/>
  <c r="Y185" i="14"/>
  <c r="N1544" i="8"/>
  <c r="N78" i="12"/>
  <c r="N1316" i="8"/>
  <c r="N1317" i="8" s="1"/>
  <c r="N779" i="2"/>
  <c r="N1704" i="8" s="1"/>
  <c r="N1589" i="8"/>
  <c r="N1717" i="8"/>
  <c r="N1585" i="8"/>
  <c r="N1691" i="8"/>
  <c r="N1593" i="8"/>
  <c r="Q1579" i="8"/>
  <c r="Q1685" i="8"/>
  <c r="X161" i="14"/>
  <c r="P1578" i="8"/>
  <c r="P1684" i="8"/>
  <c r="P517" i="2"/>
  <c r="O73" i="12"/>
  <c r="O203" i="8"/>
  <c r="O204" i="8" s="1"/>
  <c r="P1680" i="8"/>
  <c r="P1576" i="8"/>
  <c r="N276" i="13"/>
  <c r="N278" i="13" s="1"/>
  <c r="N1720" i="8"/>
  <c r="N406" i="14"/>
  <c r="N407" i="14" s="1"/>
  <c r="N1713" i="8" s="1"/>
  <c r="N1676" i="8"/>
  <c r="N1436" i="8"/>
  <c r="N1376" i="8"/>
  <c r="N1377" i="8" s="1"/>
  <c r="N1435" i="8"/>
  <c r="P519" i="2"/>
  <c r="O75" i="12"/>
  <c r="O211" i="8"/>
  <c r="O212" i="8" s="1"/>
  <c r="P634" i="2"/>
  <c r="O94" i="12"/>
  <c r="O263" i="8"/>
  <c r="O264" i="8" s="1"/>
  <c r="O1683" i="8"/>
  <c r="O769" i="2"/>
  <c r="O754" i="2"/>
  <c r="O765" i="2"/>
  <c r="O762" i="2"/>
  <c r="O658" i="2"/>
  <c r="O768" i="2"/>
  <c r="O1284" i="8" s="1"/>
  <c r="O1285" i="8" s="1"/>
  <c r="O766" i="2"/>
  <c r="O758" i="2"/>
  <c r="O757" i="2"/>
  <c r="O763" i="2"/>
  <c r="O1264" i="8" s="1"/>
  <c r="O1265" i="8" s="1"/>
  <c r="O764" i="2"/>
  <c r="O1268" i="8" s="1"/>
  <c r="O1269" i="8" s="1"/>
  <c r="O657" i="2"/>
  <c r="O767" i="2"/>
  <c r="O1280" i="8" s="1"/>
  <c r="O1281" i="8" s="1"/>
  <c r="O753" i="2"/>
  <c r="O756" i="2"/>
  <c r="O755" i="2"/>
  <c r="O752" i="2"/>
  <c r="O751" i="2"/>
  <c r="Y141" i="14"/>
  <c r="O239" i="8"/>
  <c r="O240" i="8" s="1"/>
  <c r="P577" i="2"/>
  <c r="O85" i="12"/>
  <c r="L276" i="13"/>
  <c r="L278" i="13" s="1"/>
  <c r="L1720" i="8"/>
  <c r="L406" i="14"/>
  <c r="L407" i="14" s="1"/>
  <c r="L1676" i="8"/>
  <c r="L1376" i="8"/>
  <c r="L1377" i="8" s="1"/>
  <c r="L1436" i="8"/>
  <c r="L1435" i="8"/>
  <c r="O283" i="8"/>
  <c r="O284" i="8" s="1"/>
  <c r="P639" i="2"/>
  <c r="O99" i="12"/>
  <c r="Q1707" i="8"/>
  <c r="Q405" i="14"/>
  <c r="Q401" i="14"/>
  <c r="X137" i="14"/>
  <c r="P580" i="2"/>
  <c r="O251" i="8"/>
  <c r="O252" i="8" s="1"/>
  <c r="O88" i="12"/>
  <c r="N1588" i="8"/>
  <c r="N1716" i="8"/>
  <c r="N1690" i="8"/>
  <c r="N1584" i="8"/>
  <c r="N1592" i="8"/>
  <c r="O198" i="14"/>
  <c r="O1671" i="8"/>
  <c r="O194" i="14"/>
  <c r="M276" i="13"/>
  <c r="M278" i="13" s="1"/>
  <c r="M1720" i="8"/>
  <c r="M406" i="14"/>
  <c r="M407" i="14" s="1"/>
  <c r="M1713" i="8" s="1"/>
  <c r="M1676" i="8"/>
  <c r="M1436" i="8"/>
  <c r="M1435" i="8"/>
  <c r="M1376" i="8"/>
  <c r="M1377" i="8" s="1"/>
  <c r="O155" i="8"/>
  <c r="O156" i="8" s="1"/>
  <c r="O58" i="12"/>
  <c r="P454" i="2"/>
  <c r="X181" i="14"/>
  <c r="X149" i="14"/>
  <c r="Y137" i="14"/>
  <c r="Y181" i="14"/>
  <c r="P1581" i="8"/>
  <c r="P1687" i="8"/>
  <c r="Q1679" i="8"/>
  <c r="Q1575" i="8"/>
  <c r="O287" i="8"/>
  <c r="O288" i="8" s="1"/>
  <c r="P640" i="2"/>
  <c r="O100" i="12"/>
  <c r="N90" i="12"/>
  <c r="N1545" i="8"/>
  <c r="X165" i="14"/>
  <c r="P1683" i="8"/>
  <c r="P765" i="2"/>
  <c r="P769" i="2"/>
  <c r="P758" i="2"/>
  <c r="P754" i="2"/>
  <c r="P756" i="2"/>
  <c r="P768" i="2"/>
  <c r="P1284" i="8" s="1"/>
  <c r="P1285" i="8" s="1"/>
  <c r="P762" i="2"/>
  <c r="P764" i="2"/>
  <c r="P1268" i="8" s="1"/>
  <c r="P1269" i="8" s="1"/>
  <c r="P767" i="2"/>
  <c r="P1280" i="8" s="1"/>
  <c r="P1281" i="8" s="1"/>
  <c r="P763" i="2"/>
  <c r="P1264" i="8" s="1"/>
  <c r="P1265" i="8" s="1"/>
  <c r="P658" i="2"/>
  <c r="P657" i="2"/>
  <c r="P753" i="2"/>
  <c r="P766" i="2"/>
  <c r="P751" i="2"/>
  <c r="P752" i="2"/>
  <c r="P757" i="2"/>
  <c r="P755" i="2"/>
  <c r="Y157" i="14"/>
  <c r="U198" i="14"/>
  <c r="U1671" i="8"/>
  <c r="U194" i="14"/>
  <c r="AB119" i="14"/>
  <c r="P460" i="2"/>
  <c r="O179" i="8"/>
  <c r="O180" i="8" s="1"/>
  <c r="O64" i="12"/>
  <c r="Q1680" i="8"/>
  <c r="Q1576" i="8"/>
  <c r="O1680" i="8"/>
  <c r="O1576" i="8"/>
  <c r="O573" i="2"/>
  <c r="P1707" i="8"/>
  <c r="P405" i="14"/>
  <c r="P401" i="14"/>
  <c r="P458" i="2"/>
  <c r="O62" i="12"/>
  <c r="O171" i="8"/>
  <c r="O172" i="8" s="1"/>
  <c r="X129" i="14"/>
  <c r="Y173" i="14"/>
  <c r="P633" i="2"/>
  <c r="O93" i="12"/>
  <c r="O642" i="2"/>
  <c r="O1703" i="8" s="1"/>
  <c r="O259" i="8"/>
  <c r="O260" i="8" s="1"/>
  <c r="O227" i="8"/>
  <c r="O228" i="8" s="1"/>
  <c r="P574" i="2"/>
  <c r="O82" i="12"/>
  <c r="O1707" i="8"/>
  <c r="O405" i="14"/>
  <c r="O401" i="14"/>
  <c r="X169" i="14"/>
  <c r="Q1678" i="8"/>
  <c r="Q1574" i="8"/>
  <c r="Q1580" i="8"/>
  <c r="Q1686" i="8"/>
  <c r="Y161" i="14"/>
  <c r="X141" i="14"/>
  <c r="Q1681" i="8"/>
  <c r="Q1577" i="8"/>
  <c r="O1679" i="8"/>
  <c r="O1575" i="8"/>
  <c r="X145" i="14"/>
  <c r="M1316" i="8"/>
  <c r="M1317" i="8" s="1"/>
  <c r="M779" i="2"/>
  <c r="M1704" i="8" s="1"/>
  <c r="M1438" i="8"/>
  <c r="M727" i="2"/>
  <c r="M89" i="17" s="1"/>
  <c r="P455" i="2"/>
  <c r="O59" i="12"/>
  <c r="O159" i="8"/>
  <c r="O160" i="8" s="1"/>
  <c r="N1586" i="8"/>
  <c r="N1714" i="8"/>
  <c r="N1582" i="8"/>
  <c r="N1688" i="8"/>
  <c r="N1590" i="8"/>
  <c r="Z1705" i="8"/>
  <c r="Z649" i="2"/>
  <c r="Z1677" i="8" s="1"/>
  <c r="Z332" i="14"/>
  <c r="P461" i="2"/>
  <c r="O65" i="12"/>
  <c r="O183" i="8"/>
  <c r="O184" i="8" s="1"/>
  <c r="Q1683" i="8"/>
  <c r="Q769" i="2"/>
  <c r="Q765" i="2"/>
  <c r="Q755" i="2"/>
  <c r="Q766" i="2"/>
  <c r="Q754" i="2"/>
  <c r="Q657" i="2"/>
  <c r="Q762" i="2"/>
  <c r="Q767" i="2"/>
  <c r="Q1280" i="8" s="1"/>
  <c r="Q1281" i="8" s="1"/>
  <c r="Q758" i="2"/>
  <c r="Q768" i="2"/>
  <c r="Q1284" i="8" s="1"/>
  <c r="Q1285" i="8" s="1"/>
  <c r="Q658" i="2"/>
  <c r="Q763" i="2"/>
  <c r="Q1264" i="8" s="1"/>
  <c r="Q1265" i="8" s="1"/>
  <c r="Q764" i="2"/>
  <c r="Q1268" i="8" s="1"/>
  <c r="Q1269" i="8" s="1"/>
  <c r="Q756" i="2"/>
  <c r="Q757" i="2"/>
  <c r="Q753" i="2"/>
  <c r="Q752" i="2"/>
  <c r="Q751" i="2"/>
  <c r="P521" i="2"/>
  <c r="O77" i="12"/>
  <c r="O219" i="8"/>
  <c r="O220" i="8" s="1"/>
  <c r="O1678" i="8"/>
  <c r="O1574" i="8"/>
  <c r="P456" i="2"/>
  <c r="O163" i="8"/>
  <c r="O164" i="8" s="1"/>
  <c r="O60" i="12"/>
  <c r="N1438" i="8"/>
  <c r="N727" i="2"/>
  <c r="N89" i="17" s="1"/>
  <c r="P578" i="2"/>
  <c r="O86" i="12"/>
  <c r="O243" i="8"/>
  <c r="O244" i="8" s="1"/>
  <c r="P1679" i="8"/>
  <c r="P1575" i="8"/>
  <c r="O175" i="8"/>
  <c r="O176" i="8" s="1"/>
  <c r="P459" i="2"/>
  <c r="O63" i="12"/>
  <c r="M1526" i="8"/>
  <c r="M1718" i="8"/>
  <c r="L727" i="2"/>
  <c r="L89" i="17" s="1"/>
  <c r="L1438" i="8"/>
  <c r="R198" i="14"/>
  <c r="R1671" i="8"/>
  <c r="R194" i="14"/>
  <c r="O1681" i="8"/>
  <c r="O1577" i="8"/>
  <c r="P518" i="2"/>
  <c r="O207" i="8"/>
  <c r="O208" i="8" s="1"/>
  <c r="O74" i="12"/>
  <c r="Z164" i="14"/>
  <c r="Z166" i="14" s="1"/>
  <c r="N1587" i="8"/>
  <c r="N1715" i="8"/>
  <c r="N1583" i="8"/>
  <c r="N1689" i="8"/>
  <c r="N1591" i="8"/>
  <c r="P579" i="2"/>
  <c r="O87" i="12"/>
  <c r="O247" i="8"/>
  <c r="O248" i="8" s="1"/>
  <c r="Y199" i="14"/>
  <c r="Y200" i="14" s="1"/>
  <c r="Y1672" i="8"/>
  <c r="O453" i="2"/>
  <c r="O101" i="12"/>
  <c r="O291" i="8"/>
  <c r="O292" i="8" s="1"/>
  <c r="P641" i="2"/>
  <c r="P635" i="2"/>
  <c r="O95" i="12"/>
  <c r="O267" i="8"/>
  <c r="O268" i="8" s="1"/>
  <c r="N102" i="12"/>
  <c r="N1546" i="8"/>
  <c r="Y149" i="14"/>
  <c r="X177" i="14"/>
  <c r="O70" i="12"/>
  <c r="O191" i="8"/>
  <c r="O192" i="8" s="1"/>
  <c r="P514" i="2"/>
  <c r="P198" i="14"/>
  <c r="P1671" i="8"/>
  <c r="P194" i="14"/>
  <c r="N1543" i="8"/>
  <c r="N66" i="12"/>
  <c r="L1316" i="8"/>
  <c r="L1317" i="8" s="1"/>
  <c r="L779" i="2"/>
  <c r="L1704" i="8" s="1"/>
  <c r="O235" i="8"/>
  <c r="O236" i="8" s="1"/>
  <c r="O84" i="12"/>
  <c r="P576" i="2"/>
  <c r="O513" i="2"/>
  <c r="X336" i="14"/>
  <c r="X338" i="14" s="1"/>
  <c r="P15" i="12"/>
  <c r="Q27" i="12"/>
  <c r="P1535" i="8"/>
  <c r="P1536" i="8" s="1"/>
  <c r="O1532" i="8"/>
  <c r="O1533" i="8" s="1"/>
  <c r="R236" i="2"/>
  <c r="Q44" i="12"/>
  <c r="Q123" i="8"/>
  <c r="Q124" i="8" s="1"/>
  <c r="R59" i="2"/>
  <c r="Q11" i="12"/>
  <c r="Q27" i="8"/>
  <c r="Q28" i="8" s="1"/>
  <c r="S57" i="2"/>
  <c r="R9" i="12"/>
  <c r="R19" i="8"/>
  <c r="R20" i="8" s="1"/>
  <c r="R237" i="2"/>
  <c r="Q45" i="12"/>
  <c r="Q127" i="8"/>
  <c r="Q128" i="8" s="1"/>
  <c r="R58" i="2"/>
  <c r="Q10" i="12"/>
  <c r="Q23" i="8"/>
  <c r="Q24" i="8" s="1"/>
  <c r="S117" i="2"/>
  <c r="R21" i="12"/>
  <c r="R55" i="8"/>
  <c r="R56" i="8" s="1"/>
  <c r="P1524" i="8"/>
  <c r="P1538" i="8"/>
  <c r="P1539" i="8" s="1"/>
  <c r="O1525" i="8"/>
  <c r="O1541" i="8"/>
  <c r="O1542" i="8" s="1"/>
  <c r="S115" i="2"/>
  <c r="R19" i="12"/>
  <c r="R47" i="8"/>
  <c r="R48" i="8" s="1"/>
  <c r="R61" i="2"/>
  <c r="Q35" i="8"/>
  <c r="Q36" i="8" s="1"/>
  <c r="Q13" i="12"/>
  <c r="T182" i="2"/>
  <c r="S38" i="12"/>
  <c r="S111" i="8"/>
  <c r="S112" i="8" s="1"/>
  <c r="T178" i="2"/>
  <c r="S34" i="12"/>
  <c r="S95" i="8"/>
  <c r="S96" i="8" s="1"/>
  <c r="R234" i="2"/>
  <c r="Q42" i="12"/>
  <c r="Q115" i="8"/>
  <c r="Q116" i="8" s="1"/>
  <c r="Q243" i="2"/>
  <c r="S241" i="2"/>
  <c r="R49" i="12"/>
  <c r="R143" i="8"/>
  <c r="R144" i="8" s="1"/>
  <c r="T122" i="2"/>
  <c r="S26" i="12"/>
  <c r="S75" i="8"/>
  <c r="S76" i="8" s="1"/>
  <c r="R235" i="2"/>
  <c r="Q43" i="12"/>
  <c r="Q119" i="8"/>
  <c r="Q120" i="8" s="1"/>
  <c r="R60" i="2"/>
  <c r="Q12" i="12"/>
  <c r="Q31" i="8"/>
  <c r="Q32" i="8" s="1"/>
  <c r="S120" i="2"/>
  <c r="R24" i="12"/>
  <c r="R67" i="8"/>
  <c r="R68" i="8" s="1"/>
  <c r="S176" i="2"/>
  <c r="R32" i="12"/>
  <c r="R87" i="8"/>
  <c r="R88" i="8" s="1"/>
  <c r="P51" i="12"/>
  <c r="P67" i="15" s="1"/>
  <c r="S56" i="2"/>
  <c r="R8" i="12"/>
  <c r="R15" i="8"/>
  <c r="R16" i="8" s="1"/>
  <c r="S181" i="2"/>
  <c r="R37" i="12"/>
  <c r="R107" i="8"/>
  <c r="R108" i="8" s="1"/>
  <c r="R240" i="2"/>
  <c r="Q48" i="12"/>
  <c r="Q139" i="8"/>
  <c r="Q140" i="8" s="1"/>
  <c r="T116" i="2"/>
  <c r="S20" i="12"/>
  <c r="S51" i="8"/>
  <c r="S52" i="8" s="1"/>
  <c r="R238" i="2"/>
  <c r="Q46" i="12"/>
  <c r="Q131" i="8"/>
  <c r="Q132" i="8" s="1"/>
  <c r="R54" i="2"/>
  <c r="Q6" i="12"/>
  <c r="Q7" i="8"/>
  <c r="Q8" i="8" s="1"/>
  <c r="Q63" i="2"/>
  <c r="S177" i="2"/>
  <c r="R33" i="12"/>
  <c r="R91" i="8"/>
  <c r="R92" i="8" s="1"/>
  <c r="Q39" i="12"/>
  <c r="Q62" i="15" s="1"/>
  <c r="S175" i="2"/>
  <c r="R31" i="12"/>
  <c r="R83" i="8"/>
  <c r="R84" i="8" s="1"/>
  <c r="S114" i="2"/>
  <c r="R18" i="12"/>
  <c r="R43" i="8"/>
  <c r="R44" i="8" s="1"/>
  <c r="R123" i="2"/>
  <c r="S55" i="2"/>
  <c r="R7" i="12"/>
  <c r="R11" i="8"/>
  <c r="R12" i="8" s="1"/>
  <c r="R242" i="2"/>
  <c r="Q50" i="12"/>
  <c r="Q147" i="8"/>
  <c r="Q148" i="8" s="1"/>
  <c r="S174" i="2"/>
  <c r="R30" i="12"/>
  <c r="R79" i="8"/>
  <c r="R80" i="8" s="1"/>
  <c r="R183" i="2"/>
  <c r="S180" i="2"/>
  <c r="R36" i="12"/>
  <c r="R103" i="8"/>
  <c r="R104" i="8" s="1"/>
  <c r="T118" i="2"/>
  <c r="S22" i="12"/>
  <c r="S59" i="8"/>
  <c r="S60" i="8" s="1"/>
  <c r="R239" i="2"/>
  <c r="Q47" i="12"/>
  <c r="Q135" i="8"/>
  <c r="Q136" i="8" s="1"/>
  <c r="Y980" i="8"/>
  <c r="Y981" i="8" s="1"/>
  <c r="Y137" i="13"/>
  <c r="Y139" i="13" s="1"/>
  <c r="Y1563" i="8" s="1"/>
  <c r="T119" i="2"/>
  <c r="S63" i="8"/>
  <c r="S64" i="8" s="1"/>
  <c r="S23" i="12"/>
  <c r="T179" i="2"/>
  <c r="S35" i="12"/>
  <c r="S99" i="8"/>
  <c r="S100" i="8" s="1"/>
  <c r="T121" i="2"/>
  <c r="S25" i="12"/>
  <c r="S71" i="8"/>
  <c r="S72" i="8" s="1"/>
  <c r="S62" i="2"/>
  <c r="R14" i="12"/>
  <c r="R39" i="8"/>
  <c r="R40" i="8" s="1"/>
  <c r="Z339" i="2"/>
  <c r="Z361" i="2" s="1"/>
  <c r="AA372" i="2"/>
  <c r="AA339" i="2"/>
  <c r="AA361" i="2" s="1"/>
  <c r="Z372" i="2"/>
  <c r="AB717" i="2"/>
  <c r="AB706" i="2" s="1"/>
  <c r="AB90" i="17" s="1"/>
  <c r="AB318" i="2"/>
  <c r="AB307" i="2" s="1"/>
  <c r="Y1434" i="8"/>
  <c r="Y328" i="2"/>
  <c r="AB376" i="2"/>
  <c r="AA307" i="2"/>
  <c r="AA374" i="2"/>
  <c r="AA844" i="8"/>
  <c r="AA845" i="8" s="1"/>
  <c r="AB696" i="2"/>
  <c r="AB297" i="2"/>
  <c r="AB683" i="2"/>
  <c r="AB86" i="17" s="1"/>
  <c r="X285" i="2"/>
  <c r="X286" i="2"/>
  <c r="X1466" i="8" s="1"/>
  <c r="W1466" i="8"/>
  <c r="AC393" i="2"/>
  <c r="AC952" i="8" s="1"/>
  <c r="AC953" i="8" s="1"/>
  <c r="AB284" i="2"/>
  <c r="AA296" i="2"/>
  <c r="AB394" i="2"/>
  <c r="AB956" i="8" s="1"/>
  <c r="AB957" i="8" s="1"/>
  <c r="AB392" i="2"/>
  <c r="AB948" i="8" s="1"/>
  <c r="AB949" i="8" s="1"/>
  <c r="AA382" i="2"/>
  <c r="AC259" i="2"/>
  <c r="AB399" i="2"/>
  <c r="AB976" i="8" s="1"/>
  <c r="AB977" i="8" s="1"/>
  <c r="Z400" i="2"/>
  <c r="AB383" i="2"/>
  <c r="AA852" i="8"/>
  <c r="AA853" i="8" s="1"/>
  <c r="AD848" i="8"/>
  <c r="AD849" i="8" s="1"/>
  <c r="AC258" i="2"/>
  <c r="Y1432" i="8"/>
  <c r="AA880" i="8"/>
  <c r="AA881" i="8" s="1"/>
  <c r="Y1431" i="8"/>
  <c r="AD968" i="8"/>
  <c r="AD969" i="8" s="1"/>
  <c r="X1433" i="8"/>
  <c r="X1445" i="8"/>
  <c r="AC872" i="8"/>
  <c r="AC873" i="8" s="1"/>
  <c r="AC359" i="2"/>
  <c r="AC399" i="2" s="1"/>
  <c r="Y920" i="8"/>
  <c r="Y921" i="8" s="1"/>
  <c r="Y380" i="2"/>
  <c r="Y70" i="17" s="1"/>
  <c r="AA972" i="8"/>
  <c r="AA973" i="8" s="1"/>
  <c r="AA964" i="8"/>
  <c r="AA965" i="8" s="1"/>
  <c r="AE357" i="2"/>
  <c r="AE848" i="8" s="1"/>
  <c r="AE849" i="8" s="1"/>
  <c r="Z860" i="8"/>
  <c r="Z861" i="8" s="1"/>
  <c r="Z381" i="2"/>
  <c r="AB358" i="2"/>
  <c r="AB398" i="2" s="1"/>
  <c r="AD353" i="2"/>
  <c r="AD393" i="2" s="1"/>
  <c r="AB356" i="2"/>
  <c r="AB844" i="8" s="1"/>
  <c r="AB845" i="8" s="1"/>
  <c r="AC354" i="2"/>
  <c r="AC836" i="8" s="1"/>
  <c r="AC837" i="8" s="1"/>
  <c r="AC352" i="2"/>
  <c r="AB355" i="2"/>
  <c r="AA840" i="8"/>
  <c r="AA841" i="8" s="1"/>
  <c r="AA960" i="8"/>
  <c r="AA961" i="8" s="1"/>
  <c r="AB387" i="2"/>
  <c r="AB932" i="8" s="1"/>
  <c r="AB933" i="8" s="1"/>
  <c r="AB737" i="2"/>
  <c r="AB1184" i="8" s="1"/>
  <c r="AB1185" i="8" s="1"/>
  <c r="AA385" i="2"/>
  <c r="AA924" i="8" s="1"/>
  <c r="AA925" i="8" s="1"/>
  <c r="AB349" i="2"/>
  <c r="AB824" i="8" s="1"/>
  <c r="AB825" i="8" s="1"/>
  <c r="AB386" i="2"/>
  <c r="AB928" i="8" s="1"/>
  <c r="AB929" i="8" s="1"/>
  <c r="AA360" i="2"/>
  <c r="AB338" i="2"/>
  <c r="AB788" i="8" s="1"/>
  <c r="AB789" i="8" s="1"/>
  <c r="AB808" i="8"/>
  <c r="AB809" i="8" s="1"/>
  <c r="AC345" i="2"/>
  <c r="AC334" i="2"/>
  <c r="AC49" i="14" s="1"/>
  <c r="AC612" i="8"/>
  <c r="AC613" i="8" s="1"/>
  <c r="AB772" i="8"/>
  <c r="AB773" i="8" s="1"/>
  <c r="AD796" i="8"/>
  <c r="AD797" i="8" s="1"/>
  <c r="AD868" i="8"/>
  <c r="AD869" i="8" s="1"/>
  <c r="AB1160" i="8"/>
  <c r="AB1161" i="8" s="1"/>
  <c r="AB1196" i="8"/>
  <c r="AB1197" i="8" s="1"/>
  <c r="AC996" i="8"/>
  <c r="AC997" i="8" s="1"/>
  <c r="AC741" i="2"/>
  <c r="AC730" i="2"/>
  <c r="AC253" i="14" s="1"/>
  <c r="AD1008" i="8"/>
  <c r="AD1009" i="8" s="1"/>
  <c r="AD744" i="2"/>
  <c r="AD733" i="2"/>
  <c r="AD256" i="14" s="1"/>
  <c r="AD1012" i="8"/>
  <c r="AD1013" i="8" s="1"/>
  <c r="AD745" i="2"/>
  <c r="AD734" i="2"/>
  <c r="AD257" i="14" s="1"/>
  <c r="AC1204" i="8"/>
  <c r="AC1205" i="8" s="1"/>
  <c r="AC1172" i="8"/>
  <c r="AC1173" i="8" s="1"/>
  <c r="AB828" i="8"/>
  <c r="AB829" i="8" s="1"/>
  <c r="AC1000" i="8"/>
  <c r="AC1001" i="8" s="1"/>
  <c r="AC731" i="2"/>
  <c r="AC254" i="14" s="1"/>
  <c r="AC742" i="2"/>
  <c r="AD760" i="8"/>
  <c r="AD761" i="8" s="1"/>
  <c r="AA389" i="2"/>
  <c r="AA940" i="8" s="1"/>
  <c r="AA941" i="8" s="1"/>
  <c r="AC1208" i="8"/>
  <c r="AC1209" i="8" s="1"/>
  <c r="AB375" i="2"/>
  <c r="AB1200" i="8"/>
  <c r="AB1201" i="8" s="1"/>
  <c r="AC820" i="8"/>
  <c r="AC821" i="8" s="1"/>
  <c r="AC892" i="8"/>
  <c r="AC893" i="8" s="1"/>
  <c r="AC608" i="8"/>
  <c r="AC609" i="8" s="1"/>
  <c r="AC344" i="2"/>
  <c r="AC333" i="2"/>
  <c r="AC48" i="14" s="1"/>
  <c r="AB748" i="2"/>
  <c r="AB1220" i="8" s="1"/>
  <c r="AB1221" i="8" s="1"/>
  <c r="AB1192" i="8"/>
  <c r="AB1193" i="8" s="1"/>
  <c r="AB804" i="8"/>
  <c r="AB805" i="8" s="1"/>
  <c r="AB876" i="8"/>
  <c r="AB877" i="8" s="1"/>
  <c r="AD992" i="8"/>
  <c r="AD993" i="8" s="1"/>
  <c r="AD740" i="2"/>
  <c r="AD729" i="2"/>
  <c r="AE1020" i="8"/>
  <c r="AE1021" i="8" s="1"/>
  <c r="F1021" i="8" s="1"/>
  <c r="AE736" i="2"/>
  <c r="AE259" i="14" s="1"/>
  <c r="AE747" i="2"/>
  <c r="AD337" i="2"/>
  <c r="AD52" i="14" s="1"/>
  <c r="AD624" i="8"/>
  <c r="AD625" i="8" s="1"/>
  <c r="AD348" i="2"/>
  <c r="AB1156" i="8"/>
  <c r="AB1157" i="8" s="1"/>
  <c r="AC1168" i="8"/>
  <c r="AC1169" i="8" s="1"/>
  <c r="AB1164" i="8"/>
  <c r="AB1165" i="8" s="1"/>
  <c r="AC784" i="8"/>
  <c r="AC785" i="8" s="1"/>
  <c r="AB768" i="8"/>
  <c r="AB769" i="8" s="1"/>
  <c r="AC1188" i="8"/>
  <c r="AC1189" i="8" s="1"/>
  <c r="AD604" i="8"/>
  <c r="AD605" i="8" s="1"/>
  <c r="AD343" i="2"/>
  <c r="AD332" i="2"/>
  <c r="AD47" i="14" s="1"/>
  <c r="AD1216" i="8"/>
  <c r="AD1217" i="8" s="1"/>
  <c r="AC1152" i="8"/>
  <c r="AC1153" i="8" s="1"/>
  <c r="AD1180" i="8"/>
  <c r="AD1181" i="8" s="1"/>
  <c r="AE812" i="8"/>
  <c r="AE813" i="8" s="1"/>
  <c r="F813" i="8" s="1"/>
  <c r="AE884" i="8"/>
  <c r="AE885" i="8" s="1"/>
  <c r="F885" i="8" s="1"/>
  <c r="AB1176" i="8"/>
  <c r="AB1177" i="8" s="1"/>
  <c r="AC800" i="8"/>
  <c r="AC801" i="8" s="1"/>
  <c r="AC764" i="8"/>
  <c r="AC765" i="8" s="1"/>
  <c r="AB780" i="8"/>
  <c r="AB781" i="8" s="1"/>
  <c r="AB1212" i="8"/>
  <c r="AB1213" i="8" s="1"/>
  <c r="AA378" i="2"/>
  <c r="AC792" i="8"/>
  <c r="AC793" i="8" s="1"/>
  <c r="AB816" i="8"/>
  <c r="AB817" i="8" s="1"/>
  <c r="AB888" i="8"/>
  <c r="AB889" i="8" s="1"/>
  <c r="AE776" i="8"/>
  <c r="AE777" i="8" s="1"/>
  <c r="F777" i="8" s="1"/>
  <c r="AB864" i="8"/>
  <c r="AB865" i="8" s="1"/>
  <c r="AC1016" i="8"/>
  <c r="AC1017" i="8" s="1"/>
  <c r="AC746" i="2"/>
  <c r="AC735" i="2"/>
  <c r="AC258" i="14" s="1"/>
  <c r="Z924" i="8"/>
  <c r="Z925" i="8" s="1"/>
  <c r="Z390" i="2"/>
  <c r="Z69" i="17" s="1"/>
  <c r="Z84" i="17" s="1"/>
  <c r="AC756" i="8"/>
  <c r="AC757" i="8" s="1"/>
  <c r="AE600" i="8"/>
  <c r="AE601" i="8" s="1"/>
  <c r="F601" i="8" s="1"/>
  <c r="AE331" i="2"/>
  <c r="AE46" i="14" s="1"/>
  <c r="AE342" i="2"/>
  <c r="AC620" i="8"/>
  <c r="AC621" i="8" s="1"/>
  <c r="AC347" i="2"/>
  <c r="AC336" i="2"/>
  <c r="AC51" i="14" s="1"/>
  <c r="Z379" i="2"/>
  <c r="AD596" i="8"/>
  <c r="AD597" i="8" s="1"/>
  <c r="AD341" i="2"/>
  <c r="AD330" i="2"/>
  <c r="AC1004" i="8"/>
  <c r="AC1005" i="8" s="1"/>
  <c r="AC732" i="2"/>
  <c r="AC255" i="14" s="1"/>
  <c r="AC743" i="2"/>
  <c r="AA371" i="2"/>
  <c r="AA896" i="8" s="1"/>
  <c r="AA897" i="8" s="1"/>
  <c r="M64" i="17" l="1"/>
  <c r="L1713" i="8"/>
  <c r="M60" i="17"/>
  <c r="M61" i="17" s="1"/>
  <c r="L82" i="17"/>
  <c r="L93" i="17"/>
  <c r="O59" i="17"/>
  <c r="N28" i="15"/>
  <c r="N25" i="15"/>
  <c r="N1837" i="8" s="1"/>
  <c r="N63" i="17"/>
  <c r="N64" i="17" s="1"/>
  <c r="O18" i="15"/>
  <c r="O19" i="15" s="1"/>
  <c r="O25" i="15" s="1"/>
  <c r="M35" i="15"/>
  <c r="Y191" i="14"/>
  <c r="Y194" i="14" s="1"/>
  <c r="Y195" i="14" s="1"/>
  <c r="Y1670" i="8" s="1"/>
  <c r="Q40" i="15"/>
  <c r="O40" i="15"/>
  <c r="P40" i="15"/>
  <c r="M93" i="15"/>
  <c r="M92" i="15"/>
  <c r="M1854" i="8" s="1"/>
  <c r="M41" i="15"/>
  <c r="M1839" i="8"/>
  <c r="AD252" i="14"/>
  <c r="AB904" i="8"/>
  <c r="AB905" i="8" s="1"/>
  <c r="AB51" i="15"/>
  <c r="Y24" i="15"/>
  <c r="Y1836" i="8"/>
  <c r="Q63" i="15"/>
  <c r="Q1849" i="8" s="1"/>
  <c r="Q64" i="15"/>
  <c r="O53" i="15"/>
  <c r="O1847" i="8" s="1"/>
  <c r="O54" i="15"/>
  <c r="M88" i="15"/>
  <c r="M87" i="15"/>
  <c r="M1853" i="8" s="1"/>
  <c r="P58" i="15"/>
  <c r="P1848" i="8" s="1"/>
  <c r="P59" i="15"/>
  <c r="Q1523" i="8"/>
  <c r="Q57" i="15"/>
  <c r="L41" i="15"/>
  <c r="L1839" i="8"/>
  <c r="AA916" i="8"/>
  <c r="AA917" i="8" s="1"/>
  <c r="AA56" i="15"/>
  <c r="Z944" i="8"/>
  <c r="Z22" i="15"/>
  <c r="N1529" i="8"/>
  <c r="N91" i="15"/>
  <c r="AA900" i="8"/>
  <c r="AA901" i="8" s="1"/>
  <c r="AA66" i="15"/>
  <c r="N1528" i="8"/>
  <c r="N86" i="15"/>
  <c r="M78" i="15"/>
  <c r="M77" i="15"/>
  <c r="M1851" i="8" s="1"/>
  <c r="P1522" i="8"/>
  <c r="P52" i="15"/>
  <c r="P17" i="15"/>
  <c r="AB23" i="15"/>
  <c r="AB1842" i="8" s="1"/>
  <c r="N41" i="15"/>
  <c r="N1839" i="8"/>
  <c r="AD45" i="14"/>
  <c r="AB908" i="8"/>
  <c r="AB909" i="8" s="1"/>
  <c r="AB61" i="15"/>
  <c r="N76" i="15"/>
  <c r="N34" i="15"/>
  <c r="P68" i="15"/>
  <c r="P1850" i="8" s="1"/>
  <c r="P69" i="15"/>
  <c r="N1527" i="8"/>
  <c r="N81" i="15"/>
  <c r="M82" i="15"/>
  <c r="M1852" i="8" s="1"/>
  <c r="M83" i="15"/>
  <c r="Z192" i="14"/>
  <c r="Z193" i="14"/>
  <c r="Z210" i="14"/>
  <c r="Z204" i="14"/>
  <c r="Z206" i="14"/>
  <c r="Z208" i="14"/>
  <c r="Z203" i="14"/>
  <c r="Z209" i="14"/>
  <c r="Q196" i="14"/>
  <c r="Z205" i="14"/>
  <c r="Z207" i="14"/>
  <c r="W195" i="14"/>
  <c r="W1670" i="8" s="1"/>
  <c r="Z211" i="14"/>
  <c r="Z1669" i="8"/>
  <c r="AB121" i="14"/>
  <c r="AB122" i="14" s="1"/>
  <c r="T343" i="14"/>
  <c r="T345" i="14" s="1"/>
  <c r="X339" i="14"/>
  <c r="X341" i="14" s="1"/>
  <c r="W343" i="14"/>
  <c r="W345" i="14" s="1"/>
  <c r="X1671" i="8"/>
  <c r="X198" i="14"/>
  <c r="U340" i="14"/>
  <c r="U342" i="14" s="1"/>
  <c r="S340" i="14"/>
  <c r="S342" i="14" s="1"/>
  <c r="V340" i="14"/>
  <c r="V342" i="14" s="1"/>
  <c r="R340" i="14"/>
  <c r="R342" i="14" s="1"/>
  <c r="Z149" i="14"/>
  <c r="AB328" i="14"/>
  <c r="AB75" i="17" s="1"/>
  <c r="Z157" i="14"/>
  <c r="AC327" i="14"/>
  <c r="AC119" i="14"/>
  <c r="Z141" i="14"/>
  <c r="Z185" i="14"/>
  <c r="AC331" i="14"/>
  <c r="Z165" i="14"/>
  <c r="AC120" i="14"/>
  <c r="P1532" i="8"/>
  <c r="P1533" i="8" s="1"/>
  <c r="Z133" i="14"/>
  <c r="P513" i="2"/>
  <c r="O69" i="12"/>
  <c r="O522" i="2"/>
  <c r="O1701" i="8" s="1"/>
  <c r="O187" i="8"/>
  <c r="O188" i="8" s="1"/>
  <c r="O151" i="8"/>
  <c r="O152" i="8" s="1"/>
  <c r="O462" i="2"/>
  <c r="O1700" i="8" s="1"/>
  <c r="P453" i="2"/>
  <c r="O57" i="12"/>
  <c r="Q773" i="2"/>
  <c r="Q90" i="15" s="1"/>
  <c r="Q1244" i="8"/>
  <c r="Q1245" i="8" s="1"/>
  <c r="Q796" i="2"/>
  <c r="Q1364" i="8" s="1"/>
  <c r="Q1365" i="8" s="1"/>
  <c r="Q1272" i="8"/>
  <c r="Q1273" i="8" s="1"/>
  <c r="Q788" i="2"/>
  <c r="Q1336" i="8" s="1"/>
  <c r="Q1337" i="8" s="1"/>
  <c r="AC124" i="14"/>
  <c r="P1232" i="8"/>
  <c r="P1233" i="8" s="1"/>
  <c r="P793" i="2"/>
  <c r="P1352" i="8" s="1"/>
  <c r="P1353" i="8" s="1"/>
  <c r="P1272" i="8"/>
  <c r="P1273" i="8" s="1"/>
  <c r="P788" i="2"/>
  <c r="P1336" i="8" s="1"/>
  <c r="P1337" i="8" s="1"/>
  <c r="O791" i="2"/>
  <c r="O695" i="2"/>
  <c r="O759" i="2"/>
  <c r="O781" i="2"/>
  <c r="O1224" i="8"/>
  <c r="O1225" i="8" s="1"/>
  <c r="O774" i="2"/>
  <c r="Q634" i="2"/>
  <c r="P94" i="12"/>
  <c r="P263" i="8"/>
  <c r="P264" i="8" s="1"/>
  <c r="Q517" i="2"/>
  <c r="P73" i="12"/>
  <c r="P203" i="8"/>
  <c r="P204" i="8" s="1"/>
  <c r="Q579" i="2"/>
  <c r="P87" i="12"/>
  <c r="P247" i="8"/>
  <c r="P248" i="8" s="1"/>
  <c r="Q1581" i="8"/>
  <c r="Q1687" i="8"/>
  <c r="O1228" i="8"/>
  <c r="O1229" i="8" s="1"/>
  <c r="O792" i="2"/>
  <c r="O1348" i="8" s="1"/>
  <c r="O1349" i="8" s="1"/>
  <c r="O1260" i="8"/>
  <c r="O1261" i="8" s="1"/>
  <c r="O785" i="2"/>
  <c r="O1324" i="8" s="1"/>
  <c r="O1325" i="8" s="1"/>
  <c r="O770" i="2"/>
  <c r="O1292" i="8" s="1"/>
  <c r="O1293" i="8" s="1"/>
  <c r="O782" i="2"/>
  <c r="O73" i="17" s="1"/>
  <c r="N1526" i="8"/>
  <c r="N1718" i="8"/>
  <c r="Z153" i="14"/>
  <c r="P163" i="8"/>
  <c r="P164" i="8" s="1"/>
  <c r="P60" i="12"/>
  <c r="Q456" i="2"/>
  <c r="Q574" i="2"/>
  <c r="P82" i="12"/>
  <c r="P227" i="8"/>
  <c r="P228" i="8" s="1"/>
  <c r="P100" i="12"/>
  <c r="P287" i="8"/>
  <c r="P288" i="8" s="1"/>
  <c r="Q640" i="2"/>
  <c r="Q1710" i="8"/>
  <c r="Q402" i="14"/>
  <c r="Q1674" i="8" s="1"/>
  <c r="Q403" i="14"/>
  <c r="Q1711" i="8" s="1"/>
  <c r="O1240" i="8"/>
  <c r="O1241" i="8" s="1"/>
  <c r="O795" i="2"/>
  <c r="O1360" i="8" s="1"/>
  <c r="O1361" i="8" s="1"/>
  <c r="O773" i="2"/>
  <c r="O90" i="15" s="1"/>
  <c r="AA250" i="2"/>
  <c r="AA1673" i="8" s="1"/>
  <c r="AA187" i="14"/>
  <c r="AA190" i="14" s="1"/>
  <c r="AA197" i="14" s="1"/>
  <c r="AA159" i="14"/>
  <c r="AA175" i="14"/>
  <c r="AA147" i="14"/>
  <c r="AA167" i="14"/>
  <c r="AA139" i="14"/>
  <c r="AA179" i="14"/>
  <c r="AA163" i="14"/>
  <c r="AA143" i="14"/>
  <c r="AA183" i="14"/>
  <c r="AA155" i="14"/>
  <c r="AA135" i="14"/>
  <c r="AA151" i="14"/>
  <c r="AA171" i="14"/>
  <c r="AA131" i="14"/>
  <c r="AA125" i="14"/>
  <c r="N1721" i="8"/>
  <c r="N1698" i="8"/>
  <c r="N1595" i="8"/>
  <c r="N1573" i="8"/>
  <c r="Q638" i="2"/>
  <c r="P98" i="12"/>
  <c r="P279" i="8"/>
  <c r="P280" i="8" s="1"/>
  <c r="Q1276" i="8"/>
  <c r="Q1277" i="8" s="1"/>
  <c r="Q784" i="2"/>
  <c r="Q637" i="2"/>
  <c r="P275" i="8"/>
  <c r="P276" i="8" s="1"/>
  <c r="P97" i="12"/>
  <c r="AC326" i="14"/>
  <c r="Z137" i="14"/>
  <c r="P183" i="8"/>
  <c r="P184" i="8" s="1"/>
  <c r="Q461" i="2"/>
  <c r="P65" i="12"/>
  <c r="U195" i="14"/>
  <c r="U1670" i="8" s="1"/>
  <c r="U196" i="14"/>
  <c r="M1721" i="8"/>
  <c r="M1698" i="8"/>
  <c r="M1595" i="8"/>
  <c r="M1573" i="8"/>
  <c r="P88" i="12"/>
  <c r="P251" i="8"/>
  <c r="P252" i="8" s="1"/>
  <c r="Q580" i="2"/>
  <c r="O1244" i="8"/>
  <c r="O1245" i="8" s="1"/>
  <c r="O796" i="2"/>
  <c r="O1364" i="8" s="1"/>
  <c r="O1365" i="8" s="1"/>
  <c r="O1272" i="8"/>
  <c r="O1273" i="8" s="1"/>
  <c r="O788" i="2"/>
  <c r="O1336" i="8" s="1"/>
  <c r="O1337" i="8" s="1"/>
  <c r="Q515" i="2"/>
  <c r="P71" i="12"/>
  <c r="P195" i="8"/>
  <c r="P196" i="8" s="1"/>
  <c r="Q516" i="2"/>
  <c r="P72" i="12"/>
  <c r="P199" i="8"/>
  <c r="P200" i="8" s="1"/>
  <c r="P235" i="8"/>
  <c r="P236" i="8" s="1"/>
  <c r="P84" i="12"/>
  <c r="Q576" i="2"/>
  <c r="R195" i="14"/>
  <c r="R1670" i="8" s="1"/>
  <c r="R196" i="14"/>
  <c r="Z335" i="14"/>
  <c r="Z337" i="14" s="1"/>
  <c r="O195" i="14"/>
  <c r="O1670" i="8" s="1"/>
  <c r="O196" i="14"/>
  <c r="L1721" i="8"/>
  <c r="L1698" i="8"/>
  <c r="L1595" i="8"/>
  <c r="L1573" i="8"/>
  <c r="O1232" i="8"/>
  <c r="O1233" i="8" s="1"/>
  <c r="O793" i="2"/>
  <c r="O1352" i="8" s="1"/>
  <c r="O1353" i="8" s="1"/>
  <c r="O1236" i="8"/>
  <c r="O1237" i="8" s="1"/>
  <c r="O794" i="2"/>
  <c r="O1356" i="8" s="1"/>
  <c r="O1357" i="8" s="1"/>
  <c r="O777" i="2"/>
  <c r="P89" i="12"/>
  <c r="Q581" i="2"/>
  <c r="P255" i="8"/>
  <c r="P256" i="8" s="1"/>
  <c r="Q1240" i="8"/>
  <c r="Q1241" i="8" s="1"/>
  <c r="Q795" i="2"/>
  <c r="Q1360" i="8" s="1"/>
  <c r="Q1361" i="8" s="1"/>
  <c r="P573" i="2"/>
  <c r="O582" i="2"/>
  <c r="O1702" i="8" s="1"/>
  <c r="O81" i="12"/>
  <c r="O223" i="8"/>
  <c r="O224" i="8" s="1"/>
  <c r="P1288" i="8"/>
  <c r="P1289" i="8" s="1"/>
  <c r="P786" i="2"/>
  <c r="P1328" i="8" s="1"/>
  <c r="P1329" i="8" s="1"/>
  <c r="P179" i="8"/>
  <c r="P180" i="8" s="1"/>
  <c r="P64" i="12"/>
  <c r="Q460" i="2"/>
  <c r="O1288" i="8"/>
  <c r="O1289" i="8" s="1"/>
  <c r="O786" i="2"/>
  <c r="O1328" i="8" s="1"/>
  <c r="O1329" i="8" s="1"/>
  <c r="Q1232" i="8"/>
  <c r="Q1233" i="8" s="1"/>
  <c r="Q793" i="2"/>
  <c r="Q1352" i="8" s="1"/>
  <c r="Q1353" i="8" s="1"/>
  <c r="M1719" i="8"/>
  <c r="M1696" i="8"/>
  <c r="M1437" i="8"/>
  <c r="M1448" i="8"/>
  <c r="M684" i="2"/>
  <c r="M685" i="2"/>
  <c r="P1224" i="8"/>
  <c r="P1225" i="8" s="1"/>
  <c r="P791" i="2"/>
  <c r="P774" i="2"/>
  <c r="P759" i="2"/>
  <c r="P695" i="2"/>
  <c r="P781" i="2"/>
  <c r="Q797" i="2"/>
  <c r="Q1368" i="8" s="1"/>
  <c r="Q1369" i="8" s="1"/>
  <c r="Q1248" i="8"/>
  <c r="Q1249" i="8" s="1"/>
  <c r="Z181" i="14"/>
  <c r="Z199" i="14"/>
  <c r="Z200" i="14" s="1"/>
  <c r="Z1672" i="8"/>
  <c r="Z145" i="14"/>
  <c r="Z169" i="14"/>
  <c r="Z173" i="14"/>
  <c r="X195" i="14"/>
  <c r="X1670" i="8" s="1"/>
  <c r="X196" i="14"/>
  <c r="P191" i="8"/>
  <c r="P192" i="8" s="1"/>
  <c r="P70" i="12"/>
  <c r="Q514" i="2"/>
  <c r="Q1288" i="8"/>
  <c r="Q1289" i="8" s="1"/>
  <c r="Q786" i="2"/>
  <c r="Q1328" i="8" s="1"/>
  <c r="Q1329" i="8" s="1"/>
  <c r="Q1578" i="8"/>
  <c r="Q1684" i="8"/>
  <c r="Q1252" i="8"/>
  <c r="Q1253" i="8" s="1"/>
  <c r="Q775" i="2"/>
  <c r="Q798" i="2"/>
  <c r="Q1372" i="8" s="1"/>
  <c r="Q1373" i="8" s="1"/>
  <c r="P1260" i="8"/>
  <c r="P1261" i="8" s="1"/>
  <c r="P785" i="2"/>
  <c r="P1324" i="8" s="1"/>
  <c r="P1325" i="8" s="1"/>
  <c r="P770" i="2"/>
  <c r="P1292" i="8" s="1"/>
  <c r="P1293" i="8" s="1"/>
  <c r="P782" i="2"/>
  <c r="P73" i="17" s="1"/>
  <c r="Z177" i="14"/>
  <c r="P1252" i="8"/>
  <c r="P1253" i="8" s="1"/>
  <c r="P775" i="2"/>
  <c r="P798" i="2"/>
  <c r="P1372" i="8" s="1"/>
  <c r="P1373" i="8" s="1"/>
  <c r="P1276" i="8"/>
  <c r="P1277" i="8" s="1"/>
  <c r="P784" i="2"/>
  <c r="Q518" i="2"/>
  <c r="P207" i="8"/>
  <c r="P208" i="8" s="1"/>
  <c r="P74" i="12"/>
  <c r="O1710" i="8"/>
  <c r="O402" i="14"/>
  <c r="O1674" i="8" s="1"/>
  <c r="O403" i="14"/>
  <c r="O1711" i="8" s="1"/>
  <c r="O1589" i="8"/>
  <c r="O1717" i="8"/>
  <c r="O1585" i="8"/>
  <c r="O1691" i="8"/>
  <c r="O1593" i="8"/>
  <c r="P58" i="12"/>
  <c r="P155" i="8"/>
  <c r="P156" i="8" s="1"/>
  <c r="Q454" i="2"/>
  <c r="N1719" i="8"/>
  <c r="N1696" i="8"/>
  <c r="N684" i="2"/>
  <c r="N685" i="2"/>
  <c r="N1437" i="8"/>
  <c r="N1448" i="8"/>
  <c r="Q636" i="2"/>
  <c r="P96" i="12"/>
  <c r="P271" i="8"/>
  <c r="P272" i="8" s="1"/>
  <c r="R1580" i="8"/>
  <c r="R1686" i="8"/>
  <c r="R1579" i="8"/>
  <c r="R1685" i="8"/>
  <c r="AA1705" i="8"/>
  <c r="AA649" i="2"/>
  <c r="AA1677" i="8" s="1"/>
  <c r="AA332" i="14"/>
  <c r="P219" i="8"/>
  <c r="P220" i="8" s="1"/>
  <c r="Q521" i="2"/>
  <c r="P77" i="12"/>
  <c r="Q1260" i="8"/>
  <c r="Q1261" i="8" s="1"/>
  <c r="Q770" i="2"/>
  <c r="Q1292" i="8" s="1"/>
  <c r="Q1293" i="8" s="1"/>
  <c r="Q782" i="2"/>
  <c r="Q73" i="17" s="1"/>
  <c r="Q785" i="2"/>
  <c r="Q1324" i="8" s="1"/>
  <c r="Q1325" i="8" s="1"/>
  <c r="O1546" i="8"/>
  <c r="O102" i="12"/>
  <c r="Q458" i="2"/>
  <c r="P62" i="12"/>
  <c r="P171" i="8"/>
  <c r="P172" i="8" s="1"/>
  <c r="P1240" i="8"/>
  <c r="P1241" i="8" s="1"/>
  <c r="P795" i="2"/>
  <c r="P1360" i="8" s="1"/>
  <c r="P1361" i="8" s="1"/>
  <c r="P773" i="2"/>
  <c r="P90" i="15" s="1"/>
  <c r="P85" i="12"/>
  <c r="P239" i="8"/>
  <c r="P240" i="8" s="1"/>
  <c r="Q577" i="2"/>
  <c r="O1248" i="8"/>
  <c r="O1249" i="8" s="1"/>
  <c r="O797" i="2"/>
  <c r="O1368" i="8" s="1"/>
  <c r="O1369" i="8" s="1"/>
  <c r="Z161" i="14"/>
  <c r="P75" i="12"/>
  <c r="P211" i="8"/>
  <c r="P212" i="8" s="1"/>
  <c r="Q519" i="2"/>
  <c r="Y336" i="14"/>
  <c r="Y338" i="14" s="1"/>
  <c r="Z129" i="14"/>
  <c r="Q520" i="2"/>
  <c r="P76" i="12"/>
  <c r="P215" i="8"/>
  <c r="P216" i="8" s="1"/>
  <c r="Q455" i="2"/>
  <c r="P159" i="8"/>
  <c r="P160" i="8" s="1"/>
  <c r="P59" i="12"/>
  <c r="P63" i="12"/>
  <c r="P175" i="8"/>
  <c r="P176" i="8" s="1"/>
  <c r="Q459" i="2"/>
  <c r="L1719" i="8"/>
  <c r="L1696" i="8"/>
  <c r="L1437" i="8"/>
  <c r="L685" i="2"/>
  <c r="L1448" i="8"/>
  <c r="L684" i="2"/>
  <c r="P195" i="14"/>
  <c r="P1670" i="8" s="1"/>
  <c r="P196" i="14"/>
  <c r="P95" i="12"/>
  <c r="P267" i="8"/>
  <c r="P268" i="8" s="1"/>
  <c r="Q635" i="2"/>
  <c r="Q791" i="2"/>
  <c r="Q1224" i="8"/>
  <c r="Q1225" i="8" s="1"/>
  <c r="Q774" i="2"/>
  <c r="Q759" i="2"/>
  <c r="Q781" i="2"/>
  <c r="Q695" i="2"/>
  <c r="P259" i="8"/>
  <c r="P260" i="8" s="1"/>
  <c r="P93" i="12"/>
  <c r="Q633" i="2"/>
  <c r="P642" i="2"/>
  <c r="P1703" i="8" s="1"/>
  <c r="P1710" i="8"/>
  <c r="P402" i="14"/>
  <c r="P1674" i="8" s="1"/>
  <c r="P403" i="14"/>
  <c r="P1711" i="8" s="1"/>
  <c r="P1248" i="8"/>
  <c r="P1249" i="8" s="1"/>
  <c r="P797" i="2"/>
  <c r="P1368" i="8" s="1"/>
  <c r="P1369" i="8" s="1"/>
  <c r="P1244" i="8"/>
  <c r="P1245" i="8" s="1"/>
  <c r="P796" i="2"/>
  <c r="P1364" i="8" s="1"/>
  <c r="P1365" i="8" s="1"/>
  <c r="Q639" i="2"/>
  <c r="P99" i="12"/>
  <c r="P283" i="8"/>
  <c r="P284" i="8" s="1"/>
  <c r="O775" i="2"/>
  <c r="O798" i="2"/>
  <c r="O1372" i="8" s="1"/>
  <c r="O1373" i="8" s="1"/>
  <c r="O1252" i="8"/>
  <c r="O1253" i="8" s="1"/>
  <c r="Q457" i="2"/>
  <c r="P167" i="8"/>
  <c r="P168" i="8" s="1"/>
  <c r="P61" i="12"/>
  <c r="Q641" i="2"/>
  <c r="P101" i="12"/>
  <c r="P291" i="8"/>
  <c r="P292" i="8" s="1"/>
  <c r="Q578" i="2"/>
  <c r="P86" i="12"/>
  <c r="P243" i="8"/>
  <c r="P244" i="8" s="1"/>
  <c r="Q1228" i="8"/>
  <c r="Q1229" i="8" s="1"/>
  <c r="Q792" i="2"/>
  <c r="Q1348" i="8" s="1"/>
  <c r="Q1349" i="8" s="1"/>
  <c r="Q1236" i="8"/>
  <c r="Q1237" i="8" s="1"/>
  <c r="Q777" i="2"/>
  <c r="Q794" i="2"/>
  <c r="Q1356" i="8" s="1"/>
  <c r="Q1357" i="8" s="1"/>
  <c r="P1228" i="8"/>
  <c r="P1229" i="8" s="1"/>
  <c r="P792" i="2"/>
  <c r="P1348" i="8" s="1"/>
  <c r="P1349" i="8" s="1"/>
  <c r="P1236" i="8"/>
  <c r="P1237" i="8" s="1"/>
  <c r="P777" i="2"/>
  <c r="P794" i="2"/>
  <c r="P1356" i="8" s="1"/>
  <c r="P1357" i="8" s="1"/>
  <c r="O1276" i="8"/>
  <c r="O1277" i="8" s="1"/>
  <c r="O784" i="2"/>
  <c r="Q575" i="2"/>
  <c r="P83" i="12"/>
  <c r="P231" i="8"/>
  <c r="P232" i="8" s="1"/>
  <c r="Q1535" i="8"/>
  <c r="Q1536" i="8" s="1"/>
  <c r="Q15" i="12"/>
  <c r="R27" i="12"/>
  <c r="Q1524" i="8"/>
  <c r="Q1538" i="8"/>
  <c r="Q1539" i="8" s="1"/>
  <c r="T241" i="2"/>
  <c r="S49" i="12"/>
  <c r="S143" i="8"/>
  <c r="S144" i="8" s="1"/>
  <c r="T115" i="2"/>
  <c r="S19" i="12"/>
  <c r="S47" i="8"/>
  <c r="S48" i="8" s="1"/>
  <c r="T175" i="2"/>
  <c r="S31" i="12"/>
  <c r="S83" i="8"/>
  <c r="S84" i="8" s="1"/>
  <c r="S58" i="2"/>
  <c r="R10" i="12"/>
  <c r="R23" i="8"/>
  <c r="R24" i="8" s="1"/>
  <c r="U122" i="2"/>
  <c r="T26" i="12"/>
  <c r="T75" i="8"/>
  <c r="T76" i="8" s="1"/>
  <c r="U182" i="2"/>
  <c r="T38" i="12"/>
  <c r="T111" i="8"/>
  <c r="T112" i="8" s="1"/>
  <c r="T120" i="2"/>
  <c r="S24" i="12"/>
  <c r="S67" i="8"/>
  <c r="S68" i="8" s="1"/>
  <c r="S237" i="2"/>
  <c r="R45" i="12"/>
  <c r="R127" i="8"/>
  <c r="R128" i="8" s="1"/>
  <c r="T55" i="2"/>
  <c r="S7" i="12"/>
  <c r="S11" i="8"/>
  <c r="S12" i="8" s="1"/>
  <c r="U118" i="2"/>
  <c r="T22" i="12"/>
  <c r="T59" i="8"/>
  <c r="T60" i="8" s="1"/>
  <c r="T180" i="2"/>
  <c r="S36" i="12"/>
  <c r="S103" i="8"/>
  <c r="S104" i="8" s="1"/>
  <c r="U179" i="2"/>
  <c r="T35" i="12"/>
  <c r="T99" i="8"/>
  <c r="T100" i="8" s="1"/>
  <c r="S54" i="2"/>
  <c r="R6" i="12"/>
  <c r="R7" i="8"/>
  <c r="R8" i="8" s="1"/>
  <c r="R63" i="2"/>
  <c r="U116" i="2"/>
  <c r="T20" i="12"/>
  <c r="T51" i="8"/>
  <c r="T52" i="8" s="1"/>
  <c r="T181" i="2"/>
  <c r="S37" i="12"/>
  <c r="S107" i="8"/>
  <c r="S108" i="8" s="1"/>
  <c r="T56" i="2"/>
  <c r="S8" i="12"/>
  <c r="S15" i="8"/>
  <c r="S16" i="8" s="1"/>
  <c r="S60" i="2"/>
  <c r="R12" i="12"/>
  <c r="R31" i="8"/>
  <c r="R32" i="8" s="1"/>
  <c r="S234" i="2"/>
  <c r="R42" i="12"/>
  <c r="R115" i="8"/>
  <c r="R116" i="8" s="1"/>
  <c r="R243" i="2"/>
  <c r="R39" i="12"/>
  <c r="R62" i="15" s="1"/>
  <c r="T177" i="2"/>
  <c r="S33" i="12"/>
  <c r="S91" i="8"/>
  <c r="S92" i="8" s="1"/>
  <c r="Q51" i="12"/>
  <c r="Q67" i="15" s="1"/>
  <c r="Z980" i="8"/>
  <c r="Z981" i="8" s="1"/>
  <c r="Z137" i="13"/>
  <c r="Z139" i="13" s="1"/>
  <c r="Z1563" i="8" s="1"/>
  <c r="U119" i="2"/>
  <c r="T23" i="12"/>
  <c r="T63" i="8"/>
  <c r="T64" i="8" s="1"/>
  <c r="T174" i="2"/>
  <c r="S30" i="12"/>
  <c r="S79" i="8"/>
  <c r="S80" i="8" s="1"/>
  <c r="S183" i="2"/>
  <c r="T114" i="2"/>
  <c r="S18" i="12"/>
  <c r="S43" i="8"/>
  <c r="S44" i="8" s="1"/>
  <c r="S123" i="2"/>
  <c r="S240" i="2"/>
  <c r="R48" i="12"/>
  <c r="R139" i="8"/>
  <c r="R140" i="8" s="1"/>
  <c r="P1525" i="8"/>
  <c r="P1541" i="8"/>
  <c r="P1542" i="8" s="1"/>
  <c r="T57" i="2"/>
  <c r="S9" i="12"/>
  <c r="S19" i="8"/>
  <c r="S20" i="8" s="1"/>
  <c r="T62" i="2"/>
  <c r="S14" i="12"/>
  <c r="S39" i="8"/>
  <c r="S40" i="8" s="1"/>
  <c r="S235" i="2"/>
  <c r="R43" i="12"/>
  <c r="R119" i="8"/>
  <c r="R120" i="8" s="1"/>
  <c r="U178" i="2"/>
  <c r="T34" i="12"/>
  <c r="T95" i="8"/>
  <c r="T96" i="8" s="1"/>
  <c r="S238" i="2"/>
  <c r="R46" i="12"/>
  <c r="R131" i="8"/>
  <c r="R132" i="8" s="1"/>
  <c r="S61" i="2"/>
  <c r="R13" i="12"/>
  <c r="R35" i="8"/>
  <c r="R36" i="8" s="1"/>
  <c r="S242" i="2"/>
  <c r="R50" i="12"/>
  <c r="R147" i="8"/>
  <c r="R148" i="8" s="1"/>
  <c r="T176" i="2"/>
  <c r="S32" i="12"/>
  <c r="S87" i="8"/>
  <c r="S88" i="8" s="1"/>
  <c r="T117" i="2"/>
  <c r="S21" i="12"/>
  <c r="S55" i="8"/>
  <c r="S56" i="8" s="1"/>
  <c r="S59" i="2"/>
  <c r="R11" i="12"/>
  <c r="R27" i="8"/>
  <c r="R28" i="8" s="1"/>
  <c r="S236" i="2"/>
  <c r="R44" i="12"/>
  <c r="R123" i="8"/>
  <c r="R124" i="8" s="1"/>
  <c r="U121" i="2"/>
  <c r="T25" i="12"/>
  <c r="T71" i="8"/>
  <c r="T72" i="8" s="1"/>
  <c r="S239" i="2"/>
  <c r="R47" i="12"/>
  <c r="R135" i="8"/>
  <c r="R136" i="8" s="1"/>
  <c r="AD832" i="8"/>
  <c r="AD833" i="8" s="1"/>
  <c r="AC375" i="2"/>
  <c r="AC297" i="2"/>
  <c r="AC696" i="2"/>
  <c r="AB382" i="2"/>
  <c r="AC318" i="2"/>
  <c r="AC307" i="2" s="1"/>
  <c r="AC717" i="2"/>
  <c r="AC706" i="2" s="1"/>
  <c r="AC90" i="17" s="1"/>
  <c r="Z1434" i="8"/>
  <c r="Z328" i="2"/>
  <c r="F849" i="8"/>
  <c r="AC683" i="2"/>
  <c r="AC86" i="17" s="1"/>
  <c r="Y285" i="2"/>
  <c r="Y286" i="2"/>
  <c r="AC392" i="2"/>
  <c r="AC948" i="8" s="1"/>
  <c r="AC949" i="8" s="1"/>
  <c r="AC394" i="2"/>
  <c r="AC956" i="8" s="1"/>
  <c r="AC957" i="8" s="1"/>
  <c r="Z1432" i="8"/>
  <c r="AB296" i="2"/>
  <c r="Z1431" i="8"/>
  <c r="AD258" i="2"/>
  <c r="AC284" i="2"/>
  <c r="AC856" i="8"/>
  <c r="AC857" i="8" s="1"/>
  <c r="AB395" i="2"/>
  <c r="AB960" i="8" s="1"/>
  <c r="AB961" i="8" s="1"/>
  <c r="AC383" i="2"/>
  <c r="AE397" i="2"/>
  <c r="AE968" i="8" s="1"/>
  <c r="AE969" i="8" s="1"/>
  <c r="F969" i="8" s="1"/>
  <c r="AD259" i="2"/>
  <c r="AB396" i="2"/>
  <c r="AB964" i="8" s="1"/>
  <c r="AB965" i="8" s="1"/>
  <c r="AC386" i="2"/>
  <c r="AC928" i="8" s="1"/>
  <c r="AC929" i="8" s="1"/>
  <c r="AB972" i="8"/>
  <c r="AB973" i="8" s="1"/>
  <c r="AB852" i="8"/>
  <c r="AB853" i="8" s="1"/>
  <c r="AC880" i="8"/>
  <c r="AC881" i="8" s="1"/>
  <c r="Y1433" i="8"/>
  <c r="Y1445" i="8"/>
  <c r="AB880" i="8"/>
  <c r="AB881" i="8" s="1"/>
  <c r="AC976" i="8"/>
  <c r="AC977" i="8" s="1"/>
  <c r="AD892" i="8"/>
  <c r="AD893" i="8" s="1"/>
  <c r="AD952" i="8"/>
  <c r="AD953" i="8" s="1"/>
  <c r="AD359" i="2"/>
  <c r="AD856" i="8" s="1"/>
  <c r="AD857" i="8" s="1"/>
  <c r="AC356" i="2"/>
  <c r="AC844" i="8" s="1"/>
  <c r="AC845" i="8" s="1"/>
  <c r="Z920" i="8"/>
  <c r="Z921" i="8" s="1"/>
  <c r="Z380" i="2"/>
  <c r="Z70" i="17" s="1"/>
  <c r="AC355" i="2"/>
  <c r="AA400" i="2"/>
  <c r="AB840" i="8"/>
  <c r="AB841" i="8" s="1"/>
  <c r="AC358" i="2"/>
  <c r="AC398" i="2" s="1"/>
  <c r="AD354" i="2"/>
  <c r="AD836" i="8" s="1"/>
  <c r="AD837" i="8" s="1"/>
  <c r="AA860" i="8"/>
  <c r="AA861" i="8" s="1"/>
  <c r="AA381" i="2"/>
  <c r="AE353" i="2"/>
  <c r="AE393" i="2" s="1"/>
  <c r="AD352" i="2"/>
  <c r="AD392" i="2" s="1"/>
  <c r="AB385" i="2"/>
  <c r="AB924" i="8" s="1"/>
  <c r="AB925" i="8" s="1"/>
  <c r="AA390" i="2"/>
  <c r="AA69" i="17" s="1"/>
  <c r="AA84" i="17" s="1"/>
  <c r="AB371" i="2"/>
  <c r="AB896" i="8" s="1"/>
  <c r="AB897" i="8" s="1"/>
  <c r="AD345" i="2"/>
  <c r="AD334" i="2"/>
  <c r="AD49" i="14" s="1"/>
  <c r="AD612" i="8"/>
  <c r="AD613" i="8" s="1"/>
  <c r="AC772" i="8"/>
  <c r="AC773" i="8" s="1"/>
  <c r="AC338" i="2"/>
  <c r="AC788" i="8" s="1"/>
  <c r="AC789" i="8" s="1"/>
  <c r="AC808" i="8"/>
  <c r="AC809" i="8" s="1"/>
  <c r="AC737" i="2"/>
  <c r="AC1184" i="8" s="1"/>
  <c r="AC1185" i="8" s="1"/>
  <c r="AC748" i="2"/>
  <c r="AC1220" i="8" s="1"/>
  <c r="AC1221" i="8" s="1"/>
  <c r="AD784" i="8"/>
  <c r="AD785" i="8" s="1"/>
  <c r="AD1168" i="8"/>
  <c r="AD1169" i="8" s="1"/>
  <c r="AD764" i="8"/>
  <c r="AD765" i="8" s="1"/>
  <c r="AD792" i="8"/>
  <c r="AD793" i="8" s="1"/>
  <c r="AE604" i="8"/>
  <c r="AE605" i="8" s="1"/>
  <c r="F605" i="8" s="1"/>
  <c r="AE343" i="2"/>
  <c r="AE332" i="2"/>
  <c r="AE47" i="14" s="1"/>
  <c r="AE337" i="2"/>
  <c r="AE52" i="14" s="1"/>
  <c r="AE624" i="8"/>
  <c r="AE625" i="8" s="1"/>
  <c r="F625" i="8" s="1"/>
  <c r="AE348" i="2"/>
  <c r="AB360" i="2"/>
  <c r="AD1204" i="8"/>
  <c r="AD1205" i="8" s="1"/>
  <c r="AE596" i="8"/>
  <c r="AE597" i="8" s="1"/>
  <c r="F597" i="8" s="1"/>
  <c r="AE330" i="2"/>
  <c r="AE341" i="2"/>
  <c r="AD608" i="8"/>
  <c r="AD609" i="8" s="1"/>
  <c r="AD344" i="2"/>
  <c r="AD333" i="2"/>
  <c r="AD48" i="14" s="1"/>
  <c r="AC768" i="8"/>
  <c r="AC769" i="8" s="1"/>
  <c r="AC1156" i="8"/>
  <c r="AC1157" i="8" s="1"/>
  <c r="AD800" i="8"/>
  <c r="AD801" i="8" s="1"/>
  <c r="AD872" i="8"/>
  <c r="AD873" i="8" s="1"/>
  <c r="AE992" i="8"/>
  <c r="AE993" i="8" s="1"/>
  <c r="F993" i="8" s="1"/>
  <c r="AE740" i="2"/>
  <c r="AE729" i="2"/>
  <c r="AC804" i="8"/>
  <c r="AC805" i="8" s="1"/>
  <c r="AC1192" i="8"/>
  <c r="AC1193" i="8" s="1"/>
  <c r="AD820" i="8"/>
  <c r="AD821" i="8" s="1"/>
  <c r="AD1208" i="8"/>
  <c r="AD1209" i="8" s="1"/>
  <c r="AC864" i="8"/>
  <c r="AC865" i="8" s="1"/>
  <c r="AD1152" i="8"/>
  <c r="AD1153" i="8" s="1"/>
  <c r="AD996" i="8"/>
  <c r="AD997" i="8" s="1"/>
  <c r="AD741" i="2"/>
  <c r="AD730" i="2"/>
  <c r="AD253" i="14" s="1"/>
  <c r="AE760" i="8"/>
  <c r="AE761" i="8" s="1"/>
  <c r="F761" i="8" s="1"/>
  <c r="AD1000" i="8"/>
  <c r="AD1001" i="8" s="1"/>
  <c r="AD731" i="2"/>
  <c r="AD254" i="14" s="1"/>
  <c r="AD742" i="2"/>
  <c r="AD756" i="8"/>
  <c r="AD757" i="8" s="1"/>
  <c r="AC780" i="8"/>
  <c r="AC781" i="8" s="1"/>
  <c r="AD1188" i="8"/>
  <c r="AD1189" i="8" s="1"/>
  <c r="AC816" i="8"/>
  <c r="AC817" i="8" s="1"/>
  <c r="AC888" i="8"/>
  <c r="AC889" i="8" s="1"/>
  <c r="AC1176" i="8"/>
  <c r="AC1177" i="8" s="1"/>
  <c r="AC387" i="2"/>
  <c r="AC932" i="8" s="1"/>
  <c r="AC933" i="8" s="1"/>
  <c r="AC376" i="2"/>
  <c r="AC828" i="8"/>
  <c r="AC829" i="8" s="1"/>
  <c r="AE1216" i="8"/>
  <c r="AE1217" i="8" s="1"/>
  <c r="F1217" i="8" s="1"/>
  <c r="AE1180" i="8"/>
  <c r="AE1181" i="8" s="1"/>
  <c r="F1181" i="8" s="1"/>
  <c r="AD620" i="8"/>
  <c r="AD621" i="8" s="1"/>
  <c r="AD336" i="2"/>
  <c r="AD51" i="14" s="1"/>
  <c r="AD347" i="2"/>
  <c r="AC1212" i="8"/>
  <c r="AC1213" i="8" s="1"/>
  <c r="AB374" i="2"/>
  <c r="AB66" i="15" s="1"/>
  <c r="AB378" i="2"/>
  <c r="AE1008" i="8"/>
  <c r="AE1009" i="8" s="1"/>
  <c r="F1009" i="8" s="1"/>
  <c r="AE733" i="2"/>
  <c r="AE256" i="14" s="1"/>
  <c r="AE744" i="2"/>
  <c r="AC1200" i="8"/>
  <c r="AC1201" i="8" s="1"/>
  <c r="AD746" i="2"/>
  <c r="AD1016" i="8"/>
  <c r="AD1017" i="8" s="1"/>
  <c r="AD735" i="2"/>
  <c r="AD258" i="14" s="1"/>
  <c r="AE1012" i="8"/>
  <c r="AE1013" i="8" s="1"/>
  <c r="F1013" i="8" s="1"/>
  <c r="AE745" i="2"/>
  <c r="AE734" i="2"/>
  <c r="AE257" i="14" s="1"/>
  <c r="AD1004" i="8"/>
  <c r="AD1005" i="8" s="1"/>
  <c r="AD732" i="2"/>
  <c r="AD255" i="14" s="1"/>
  <c r="AD743" i="2"/>
  <c r="AC1160" i="8"/>
  <c r="AC1161" i="8" s="1"/>
  <c r="AC1164" i="8"/>
  <c r="AC1165" i="8" s="1"/>
  <c r="AE796" i="8"/>
  <c r="AE797" i="8" s="1"/>
  <c r="F797" i="8" s="1"/>
  <c r="AE868" i="8"/>
  <c r="AE869" i="8" s="1"/>
  <c r="F869" i="8" s="1"/>
  <c r="AC349" i="2"/>
  <c r="AC824" i="8" s="1"/>
  <c r="AC825" i="8" s="1"/>
  <c r="AA379" i="2"/>
  <c r="AB389" i="2"/>
  <c r="AB940" i="8" s="1"/>
  <c r="AB941" i="8" s="1"/>
  <c r="AC1196" i="8"/>
  <c r="AC1197" i="8" s="1"/>
  <c r="AD1172" i="8"/>
  <c r="AD1173" i="8" s="1"/>
  <c r="M65" i="17" l="1"/>
  <c r="M82" i="17" s="1"/>
  <c r="N60" i="17"/>
  <c r="N61" i="17" s="1"/>
  <c r="N65" i="17" s="1"/>
  <c r="L1866" i="8"/>
  <c r="L91" i="17"/>
  <c r="L92" i="17" s="1"/>
  <c r="P59" i="17"/>
  <c r="O28" i="15"/>
  <c r="O1834" i="8"/>
  <c r="N26" i="15"/>
  <c r="N66" i="17" s="1"/>
  <c r="O63" i="17"/>
  <c r="O64" i="17" s="1"/>
  <c r="N1469" i="8"/>
  <c r="N87" i="17"/>
  <c r="L1469" i="8"/>
  <c r="L87" i="17"/>
  <c r="P18" i="15"/>
  <c r="P19" i="15" s="1"/>
  <c r="P25" i="15" s="1"/>
  <c r="N35" i="15"/>
  <c r="N36" i="15" s="1"/>
  <c r="N42" i="15" s="1"/>
  <c r="N43" i="15" s="1"/>
  <c r="M1469" i="8"/>
  <c r="M87" i="17"/>
  <c r="Y1671" i="8"/>
  <c r="Y198" i="14"/>
  <c r="Y196" i="14"/>
  <c r="AC23" i="15"/>
  <c r="AC1842" i="8" s="1"/>
  <c r="AC904" i="8"/>
  <c r="AC905" i="8" s="1"/>
  <c r="AC51" i="15"/>
  <c r="O1312" i="8"/>
  <c r="O1313" i="8" s="1"/>
  <c r="O80" i="15"/>
  <c r="N83" i="15"/>
  <c r="N82" i="15"/>
  <c r="N1852" i="8" s="1"/>
  <c r="AB916" i="8"/>
  <c r="AB917" i="8" s="1"/>
  <c r="AB56" i="15"/>
  <c r="AE252" i="14"/>
  <c r="Q1300" i="8"/>
  <c r="Q1301" i="8" s="1"/>
  <c r="Q75" i="15"/>
  <c r="P1300" i="8"/>
  <c r="P1301" i="8" s="1"/>
  <c r="P75" i="15"/>
  <c r="N93" i="15"/>
  <c r="N92" i="15"/>
  <c r="N1854" i="8" s="1"/>
  <c r="P53" i="15"/>
  <c r="P1847" i="8" s="1"/>
  <c r="P54" i="15"/>
  <c r="M43" i="15"/>
  <c r="M67" i="17" s="1"/>
  <c r="M68" i="17" s="1"/>
  <c r="M81" i="17" s="1"/>
  <c r="M45" i="15"/>
  <c r="P1312" i="8"/>
  <c r="P1313" i="8" s="1"/>
  <c r="P80" i="15"/>
  <c r="AA944" i="8"/>
  <c r="AA22" i="15"/>
  <c r="R63" i="15"/>
  <c r="R1849" i="8" s="1"/>
  <c r="R64" i="15"/>
  <c r="Q1304" i="8"/>
  <c r="Q1305" i="8" s="1"/>
  <c r="Q85" i="15"/>
  <c r="O1300" i="8"/>
  <c r="O1301" i="8" s="1"/>
  <c r="O75" i="15"/>
  <c r="AC908" i="8"/>
  <c r="AC909" i="8" s="1"/>
  <c r="AC61" i="15"/>
  <c r="Q68" i="15"/>
  <c r="Q1850" i="8" s="1"/>
  <c r="Q69" i="15"/>
  <c r="R1523" i="8"/>
  <c r="R57" i="15"/>
  <c r="Q1312" i="8"/>
  <c r="Q1313" i="8" s="1"/>
  <c r="Q80" i="15"/>
  <c r="N78" i="15"/>
  <c r="N77" i="15"/>
  <c r="N1851" i="8" s="1"/>
  <c r="Q58" i="15"/>
  <c r="Q1848" i="8" s="1"/>
  <c r="Q59" i="15"/>
  <c r="N87" i="15"/>
  <c r="N1853" i="8" s="1"/>
  <c r="N88" i="15"/>
  <c r="Z24" i="15"/>
  <c r="Z1836" i="8"/>
  <c r="Q1522" i="8"/>
  <c r="Q52" i="15"/>
  <c r="Q17" i="15"/>
  <c r="O1304" i="8"/>
  <c r="O1305" i="8" s="1"/>
  <c r="O85" i="15"/>
  <c r="AE45" i="14"/>
  <c r="O1529" i="8"/>
  <c r="O91" i="15"/>
  <c r="P1304" i="8"/>
  <c r="P1305" i="8" s="1"/>
  <c r="P85" i="15"/>
  <c r="L43" i="15"/>
  <c r="L67" i="17" s="1"/>
  <c r="L68" i="17" s="1"/>
  <c r="L81" i="17" s="1"/>
  <c r="L83" i="17" s="1"/>
  <c r="L45" i="15"/>
  <c r="O1837" i="8"/>
  <c r="O26" i="15"/>
  <c r="O66" i="17" s="1"/>
  <c r="Z191" i="14"/>
  <c r="Z198" i="14" s="1"/>
  <c r="AC328" i="14"/>
  <c r="AC75" i="17" s="1"/>
  <c r="W344" i="14"/>
  <c r="W346" i="14" s="1"/>
  <c r="V343" i="14"/>
  <c r="V345" i="14" s="1"/>
  <c r="Y339" i="14"/>
  <c r="Y341" i="14" s="1"/>
  <c r="U343" i="14"/>
  <c r="U345" i="14" s="1"/>
  <c r="R343" i="14"/>
  <c r="R345" i="14" s="1"/>
  <c r="S343" i="14"/>
  <c r="S345" i="14" s="1"/>
  <c r="X340" i="14"/>
  <c r="X342" i="14" s="1"/>
  <c r="T344" i="14"/>
  <c r="T346" i="14" s="1"/>
  <c r="AC121" i="14"/>
  <c r="AC122" i="14" s="1"/>
  <c r="AD326" i="14"/>
  <c r="AD327" i="14"/>
  <c r="AD120" i="14"/>
  <c r="Q1532" i="8"/>
  <c r="Q1533" i="8" s="1"/>
  <c r="AD119" i="14"/>
  <c r="P1344" i="8"/>
  <c r="P1345" i="8" s="1"/>
  <c r="P799" i="2"/>
  <c r="Q207" i="8"/>
  <c r="Q208" i="8" s="1"/>
  <c r="Q74" i="12"/>
  <c r="AA184" i="14"/>
  <c r="AA186" i="14" s="1"/>
  <c r="O1256" i="8"/>
  <c r="O1257" i="8" s="1"/>
  <c r="O1675" i="8"/>
  <c r="O780" i="2"/>
  <c r="S1580" i="8"/>
  <c r="S1686" i="8"/>
  <c r="Q1256" i="8"/>
  <c r="Q1257" i="8" s="1"/>
  <c r="Q1675" i="8"/>
  <c r="Q780" i="2"/>
  <c r="Q159" i="8"/>
  <c r="Q160" i="8" s="1"/>
  <c r="Q59" i="12"/>
  <c r="Q77" i="12"/>
  <c r="Q219" i="8"/>
  <c r="Q220" i="8" s="1"/>
  <c r="Q65" i="12"/>
  <c r="Q183" i="8"/>
  <c r="Q184" i="8" s="1"/>
  <c r="AA144" i="14"/>
  <c r="AA146" i="14" s="1"/>
  <c r="Q771" i="2"/>
  <c r="Q88" i="17" s="1"/>
  <c r="Q271" i="8"/>
  <c r="Q272" i="8" s="1"/>
  <c r="Q96" i="12"/>
  <c r="Q279" i="8"/>
  <c r="Q280" i="8" s="1"/>
  <c r="Q98" i="12"/>
  <c r="AA180" i="14"/>
  <c r="AA182" i="14" s="1"/>
  <c r="O1587" i="8"/>
  <c r="O1715" i="8"/>
  <c r="O1583" i="8"/>
  <c r="O1689" i="8"/>
  <c r="O1591" i="8"/>
  <c r="AB250" i="2"/>
  <c r="AB1673" i="8" s="1"/>
  <c r="AB171" i="14"/>
  <c r="AB143" i="14"/>
  <c r="AB187" i="14"/>
  <c r="AB190" i="14" s="1"/>
  <c r="AB197" i="14" s="1"/>
  <c r="AB159" i="14"/>
  <c r="AB175" i="14"/>
  <c r="AB147" i="14"/>
  <c r="AB163" i="14"/>
  <c r="AB135" i="14"/>
  <c r="AB155" i="14"/>
  <c r="AB179" i="14"/>
  <c r="AB131" i="14"/>
  <c r="AB167" i="14"/>
  <c r="AB139" i="14"/>
  <c r="AB183" i="14"/>
  <c r="AB151" i="14"/>
  <c r="AB125" i="14"/>
  <c r="AA164" i="14"/>
  <c r="AA166" i="14" s="1"/>
  <c r="O1344" i="8"/>
  <c r="O1345" i="8" s="1"/>
  <c r="O799" i="2"/>
  <c r="Q167" i="8"/>
  <c r="Q168" i="8" s="1"/>
  <c r="Q61" i="12"/>
  <c r="Q99" i="12"/>
  <c r="Q283" i="8"/>
  <c r="Q284" i="8" s="1"/>
  <c r="Q76" i="12"/>
  <c r="Q215" i="8"/>
  <c r="Q216" i="8" s="1"/>
  <c r="AA335" i="14"/>
  <c r="AA337" i="14" s="1"/>
  <c r="O90" i="12"/>
  <c r="O1545" i="8"/>
  <c r="AA140" i="14"/>
  <c r="AA142" i="14" s="1"/>
  <c r="Q287" i="8"/>
  <c r="Q288" i="8" s="1"/>
  <c r="Q100" i="12"/>
  <c r="O1544" i="8"/>
  <c r="O78" i="12"/>
  <c r="R1581" i="8"/>
  <c r="R1687" i="8"/>
  <c r="Q83" i="12"/>
  <c r="Q231" i="8"/>
  <c r="Q232" i="8" s="1"/>
  <c r="P1589" i="8"/>
  <c r="P1717" i="8"/>
  <c r="P1691" i="8"/>
  <c r="P1585" i="8"/>
  <c r="P1593" i="8"/>
  <c r="Q1344" i="8"/>
  <c r="Q1345" i="8" s="1"/>
  <c r="Q799" i="2"/>
  <c r="Q171" i="8"/>
  <c r="Q172" i="8" s="1"/>
  <c r="Q62" i="12"/>
  <c r="AB649" i="2"/>
  <c r="AB1677" i="8" s="1"/>
  <c r="AB332" i="14"/>
  <c r="AB1705" i="8"/>
  <c r="Q179" i="8"/>
  <c r="Q180" i="8" s="1"/>
  <c r="Q64" i="12"/>
  <c r="O1588" i="8"/>
  <c r="O1716" i="8"/>
  <c r="O1584" i="8"/>
  <c r="O1690" i="8"/>
  <c r="O1592" i="8"/>
  <c r="AA168" i="14"/>
  <c r="AA170" i="14" s="1"/>
  <c r="Q60" i="12"/>
  <c r="Q163" i="8"/>
  <c r="Q164" i="8" s="1"/>
  <c r="Q513" i="2"/>
  <c r="P69" i="12"/>
  <c r="P522" i="2"/>
  <c r="P1701" i="8" s="1"/>
  <c r="P187" i="8"/>
  <c r="P188" i="8" s="1"/>
  <c r="Q642" i="2"/>
  <c r="Q1703" i="8" s="1"/>
  <c r="Q93" i="12"/>
  <c r="Q259" i="8"/>
  <c r="Q260" i="8" s="1"/>
  <c r="Q191" i="8"/>
  <c r="Q192" i="8" s="1"/>
  <c r="Q70" i="12"/>
  <c r="AD331" i="14"/>
  <c r="P582" i="2"/>
  <c r="P1702" i="8" s="1"/>
  <c r="Q573" i="2"/>
  <c r="P223" i="8"/>
  <c r="P224" i="8" s="1"/>
  <c r="P81" i="12"/>
  <c r="Q73" i="12"/>
  <c r="Q203" i="8"/>
  <c r="Q204" i="8" s="1"/>
  <c r="Q86" i="12"/>
  <c r="Q243" i="8"/>
  <c r="Q244" i="8" s="1"/>
  <c r="P102" i="12"/>
  <c r="P1546" i="8"/>
  <c r="Q95" i="12"/>
  <c r="Q267" i="8"/>
  <c r="Q268" i="8" s="1"/>
  <c r="Q75" i="12"/>
  <c r="Q211" i="8"/>
  <c r="Q212" i="8" s="1"/>
  <c r="AD124" i="14"/>
  <c r="P771" i="2"/>
  <c r="P88" i="17" s="1"/>
  <c r="Q199" i="8"/>
  <c r="Q200" i="8" s="1"/>
  <c r="Q72" i="12"/>
  <c r="AA148" i="14"/>
  <c r="AA150" i="14" s="1"/>
  <c r="Q1296" i="8"/>
  <c r="Q1297" i="8" s="1"/>
  <c r="Q778" i="2"/>
  <c r="Q1320" i="8"/>
  <c r="Q1321" i="8" s="1"/>
  <c r="Q789" i="2"/>
  <c r="AA156" i="14"/>
  <c r="AA158" i="14" s="1"/>
  <c r="P738" i="2"/>
  <c r="P760" i="2" s="1"/>
  <c r="AA128" i="14"/>
  <c r="AA130" i="14" s="1"/>
  <c r="AA176" i="14"/>
  <c r="AA178" i="14" s="1"/>
  <c r="Q85" i="12"/>
  <c r="Q239" i="8"/>
  <c r="Q240" i="8" s="1"/>
  <c r="P1296" i="8"/>
  <c r="P1297" i="8" s="1"/>
  <c r="P778" i="2"/>
  <c r="R1578" i="8"/>
  <c r="R1684" i="8"/>
  <c r="Q58" i="12"/>
  <c r="Q155" i="8"/>
  <c r="Q156" i="8" s="1"/>
  <c r="P1320" i="8"/>
  <c r="P1321" i="8" s="1"/>
  <c r="P789" i="2"/>
  <c r="Q88" i="12"/>
  <c r="Q251" i="8"/>
  <c r="Q252" i="8" s="1"/>
  <c r="AA132" i="14"/>
  <c r="AA134" i="14" s="1"/>
  <c r="Q263" i="8"/>
  <c r="Q264" i="8" s="1"/>
  <c r="Q94" i="12"/>
  <c r="O1296" i="8"/>
  <c r="O1297" i="8" s="1"/>
  <c r="O778" i="2"/>
  <c r="Q235" i="8"/>
  <c r="Q236" i="8" s="1"/>
  <c r="Q84" i="12"/>
  <c r="O1320" i="8"/>
  <c r="O1321" i="8" s="1"/>
  <c r="O789" i="2"/>
  <c r="Q63" i="12"/>
  <c r="Q175" i="8"/>
  <c r="Q176" i="8" s="1"/>
  <c r="Q89" i="12"/>
  <c r="Q255" i="8"/>
  <c r="Q256" i="8" s="1"/>
  <c r="Q71" i="12"/>
  <c r="Q195" i="8"/>
  <c r="Q196" i="8" s="1"/>
  <c r="AA172" i="14"/>
  <c r="AA174" i="14" s="1"/>
  <c r="AA160" i="14"/>
  <c r="AA162" i="14" s="1"/>
  <c r="Q87" i="12"/>
  <c r="Q247" i="8"/>
  <c r="Q248" i="8" s="1"/>
  <c r="O738" i="2"/>
  <c r="O1543" i="8"/>
  <c r="O66" i="12"/>
  <c r="Q82" i="12"/>
  <c r="Q227" i="8"/>
  <c r="Q228" i="8" s="1"/>
  <c r="S1579" i="8"/>
  <c r="S1685" i="8"/>
  <c r="Q291" i="8"/>
  <c r="Q292" i="8" s="1"/>
  <c r="Q101" i="12"/>
  <c r="P780" i="2"/>
  <c r="P1675" i="8"/>
  <c r="P1256" i="8"/>
  <c r="P1257" i="8" s="1"/>
  <c r="AA152" i="14"/>
  <c r="AA154" i="14" s="1"/>
  <c r="AA1669" i="8"/>
  <c r="AA211" i="14"/>
  <c r="AA209" i="14"/>
  <c r="AA207" i="14"/>
  <c r="AA205" i="14"/>
  <c r="AA203" i="14"/>
  <c r="AA208" i="14"/>
  <c r="AA206" i="14"/>
  <c r="AA210" i="14"/>
  <c r="AA204" i="14"/>
  <c r="AA193" i="14"/>
  <c r="AA192" i="14"/>
  <c r="P57" i="12"/>
  <c r="P462" i="2"/>
  <c r="P1700" i="8" s="1"/>
  <c r="Q453" i="2"/>
  <c r="P151" i="8"/>
  <c r="P152" i="8" s="1"/>
  <c r="AA199" i="14"/>
  <c r="AA200" i="14" s="1"/>
  <c r="AA1672" i="8"/>
  <c r="Q738" i="2"/>
  <c r="Q760" i="2" s="1"/>
  <c r="Z336" i="14"/>
  <c r="Z338" i="14" s="1"/>
  <c r="Q97" i="12"/>
  <c r="Q275" i="8"/>
  <c r="Q276" i="8" s="1"/>
  <c r="AA136" i="14"/>
  <c r="AA138" i="14" s="1"/>
  <c r="O1586" i="8"/>
  <c r="O1714" i="8"/>
  <c r="O1688" i="8"/>
  <c r="O1582" i="8"/>
  <c r="O1590" i="8"/>
  <c r="R1535" i="8"/>
  <c r="R1536" i="8" s="1"/>
  <c r="S27" i="12"/>
  <c r="R15" i="12"/>
  <c r="T235" i="2"/>
  <c r="S43" i="12"/>
  <c r="S119" i="8"/>
  <c r="S120" i="8" s="1"/>
  <c r="U114" i="2"/>
  <c r="T18" i="12"/>
  <c r="T43" i="8"/>
  <c r="T44" i="8" s="1"/>
  <c r="T123" i="2"/>
  <c r="V122" i="2"/>
  <c r="U26" i="12"/>
  <c r="U75" i="8"/>
  <c r="U76" i="8" s="1"/>
  <c r="U115" i="2"/>
  <c r="T19" i="12"/>
  <c r="T47" i="8"/>
  <c r="T48" i="8" s="1"/>
  <c r="T239" i="2"/>
  <c r="S47" i="12"/>
  <c r="S135" i="8"/>
  <c r="S136" i="8" s="1"/>
  <c r="U62" i="2"/>
  <c r="T14" i="12"/>
  <c r="T39" i="8"/>
  <c r="T40" i="8" s="1"/>
  <c r="V116" i="2"/>
  <c r="U20" i="12"/>
  <c r="U51" i="8"/>
  <c r="U52" i="8" s="1"/>
  <c r="AA1432" i="8"/>
  <c r="AA137" i="13"/>
  <c r="AA139" i="13" s="1"/>
  <c r="AA1563" i="8" s="1"/>
  <c r="V121" i="2"/>
  <c r="U25" i="12"/>
  <c r="U71" i="8"/>
  <c r="U72" i="8" s="1"/>
  <c r="T61" i="2"/>
  <c r="S13" i="12"/>
  <c r="S35" i="8"/>
  <c r="S36" i="8" s="1"/>
  <c r="U55" i="2"/>
  <c r="T11" i="8"/>
  <c r="T12" i="8" s="1"/>
  <c r="T7" i="12"/>
  <c r="R1524" i="8"/>
  <c r="R1538" i="8"/>
  <c r="R1539" i="8" s="1"/>
  <c r="V118" i="2"/>
  <c r="U22" i="12"/>
  <c r="U59" i="8"/>
  <c r="U60" i="8" s="1"/>
  <c r="U176" i="2"/>
  <c r="T32" i="12"/>
  <c r="T87" i="8"/>
  <c r="T88" i="8" s="1"/>
  <c r="T60" i="2"/>
  <c r="S12" i="12"/>
  <c r="S31" i="8"/>
  <c r="S32" i="8" s="1"/>
  <c r="U56" i="2"/>
  <c r="T8" i="12"/>
  <c r="T15" i="8"/>
  <c r="T16" i="8" s="1"/>
  <c r="S39" i="12"/>
  <c r="S62" i="15" s="1"/>
  <c r="T54" i="2"/>
  <c r="S6" i="12"/>
  <c r="S7" i="8"/>
  <c r="S8" i="8" s="1"/>
  <c r="S63" i="2"/>
  <c r="T58" i="2"/>
  <c r="S10" i="12"/>
  <c r="S23" i="8"/>
  <c r="S24" i="8" s="1"/>
  <c r="U241" i="2"/>
  <c r="T49" i="12"/>
  <c r="T143" i="8"/>
  <c r="T144" i="8" s="1"/>
  <c r="V182" i="2"/>
  <c r="U38" i="12"/>
  <c r="U111" i="8"/>
  <c r="U112" i="8" s="1"/>
  <c r="T236" i="2"/>
  <c r="S44" i="12"/>
  <c r="S123" i="8"/>
  <c r="S124" i="8" s="1"/>
  <c r="U174" i="2"/>
  <c r="T30" i="12"/>
  <c r="T79" i="8"/>
  <c r="T80" i="8" s="1"/>
  <c r="T183" i="2"/>
  <c r="Q1525" i="8"/>
  <c r="Q1541" i="8"/>
  <c r="Q1542" i="8" s="1"/>
  <c r="U57" i="2"/>
  <c r="T9" i="12"/>
  <c r="T19" i="8"/>
  <c r="T20" i="8" s="1"/>
  <c r="U181" i="2"/>
  <c r="T107" i="8"/>
  <c r="T108" i="8" s="1"/>
  <c r="T37" i="12"/>
  <c r="V179" i="2"/>
  <c r="U35" i="12"/>
  <c r="U99" i="8"/>
  <c r="U100" i="8" s="1"/>
  <c r="T59" i="2"/>
  <c r="S11" i="12"/>
  <c r="S27" i="8"/>
  <c r="S28" i="8" s="1"/>
  <c r="T242" i="2"/>
  <c r="S50" i="12"/>
  <c r="S147" i="8"/>
  <c r="S148" i="8" s="1"/>
  <c r="T238" i="2"/>
  <c r="S46" i="12"/>
  <c r="S131" i="8"/>
  <c r="S132" i="8" s="1"/>
  <c r="T237" i="2"/>
  <c r="S45" i="12"/>
  <c r="S127" i="8"/>
  <c r="S128" i="8" s="1"/>
  <c r="V119" i="2"/>
  <c r="U63" i="8"/>
  <c r="U64" i="8" s="1"/>
  <c r="U23" i="12"/>
  <c r="U175" i="2"/>
  <c r="T83" i="8"/>
  <c r="T84" i="8" s="1"/>
  <c r="T31" i="12"/>
  <c r="R51" i="12"/>
  <c r="R67" i="15" s="1"/>
  <c r="U180" i="2"/>
  <c r="T36" i="12"/>
  <c r="T103" i="8"/>
  <c r="T104" i="8" s="1"/>
  <c r="U117" i="2"/>
  <c r="T21" i="12"/>
  <c r="T55" i="8"/>
  <c r="T56" i="8" s="1"/>
  <c r="V178" i="2"/>
  <c r="U34" i="12"/>
  <c r="U95" i="8"/>
  <c r="U96" i="8" s="1"/>
  <c r="T240" i="2"/>
  <c r="S48" i="12"/>
  <c r="S139" i="8"/>
  <c r="S140" i="8" s="1"/>
  <c r="U177" i="2"/>
  <c r="T33" i="12"/>
  <c r="T91" i="8"/>
  <c r="T92" i="8" s="1"/>
  <c r="T234" i="2"/>
  <c r="S42" i="12"/>
  <c r="S115" i="8"/>
  <c r="S116" i="8" s="1"/>
  <c r="S243" i="2"/>
  <c r="U120" i="2"/>
  <c r="T24" i="12"/>
  <c r="T67" i="8"/>
  <c r="T68" i="8" s="1"/>
  <c r="AD318" i="2"/>
  <c r="AD307" i="2" s="1"/>
  <c r="AB339" i="2"/>
  <c r="AB361" i="2" s="1"/>
  <c r="AB372" i="2"/>
  <c r="AD717" i="2"/>
  <c r="AD706" i="2" s="1"/>
  <c r="AD90" i="17" s="1"/>
  <c r="AD297" i="2"/>
  <c r="AD284" i="2"/>
  <c r="AA1434" i="8"/>
  <c r="AA328" i="2"/>
  <c r="AD696" i="2"/>
  <c r="AD383" i="2"/>
  <c r="AC396" i="2"/>
  <c r="AC964" i="8" s="1"/>
  <c r="AC965" i="8" s="1"/>
  <c r="AC840" i="8"/>
  <c r="AC841" i="8" s="1"/>
  <c r="AC296" i="2"/>
  <c r="AD683" i="2"/>
  <c r="AD86" i="17" s="1"/>
  <c r="Z285" i="2"/>
  <c r="Z286" i="2"/>
  <c r="Z1466" i="8" s="1"/>
  <c r="Y1466" i="8"/>
  <c r="AE259" i="2"/>
  <c r="AD394" i="2"/>
  <c r="AD956" i="8" s="1"/>
  <c r="AD957" i="8" s="1"/>
  <c r="AA1431" i="8"/>
  <c r="AC395" i="2"/>
  <c r="AD399" i="2"/>
  <c r="AD976" i="8" s="1"/>
  <c r="AD977" i="8" s="1"/>
  <c r="AA980" i="8"/>
  <c r="AA981" i="8" s="1"/>
  <c r="AC852" i="8"/>
  <c r="AC853" i="8" s="1"/>
  <c r="AE258" i="2"/>
  <c r="AC972" i="8"/>
  <c r="AC973" i="8" s="1"/>
  <c r="AE832" i="8"/>
  <c r="AE833" i="8" s="1"/>
  <c r="F833" i="8" s="1"/>
  <c r="AB400" i="2"/>
  <c r="AC382" i="2"/>
  <c r="AD888" i="8"/>
  <c r="AD889" i="8" s="1"/>
  <c r="AD880" i="8"/>
  <c r="AD881" i="8" s="1"/>
  <c r="AE872" i="8"/>
  <c r="AE873" i="8" s="1"/>
  <c r="F873" i="8" s="1"/>
  <c r="AE892" i="8"/>
  <c r="AE893" i="8" s="1"/>
  <c r="F893" i="8" s="1"/>
  <c r="Z1433" i="8"/>
  <c r="Z1445" i="8"/>
  <c r="AE952" i="8"/>
  <c r="AE953" i="8" s="1"/>
  <c r="F953" i="8" s="1"/>
  <c r="AC876" i="8"/>
  <c r="AC877" i="8" s="1"/>
  <c r="AD356" i="2"/>
  <c r="AD844" i="8" s="1"/>
  <c r="AD845" i="8" s="1"/>
  <c r="AA920" i="8"/>
  <c r="AA921" i="8" s="1"/>
  <c r="AA380" i="2"/>
  <c r="AA70" i="17" s="1"/>
  <c r="AB860" i="8"/>
  <c r="AB861" i="8" s="1"/>
  <c r="AB381" i="2"/>
  <c r="AD355" i="2"/>
  <c r="AD840" i="8" s="1"/>
  <c r="AD841" i="8" s="1"/>
  <c r="AE359" i="2"/>
  <c r="AE856" i="8" s="1"/>
  <c r="AE857" i="8" s="1"/>
  <c r="F857" i="8" s="1"/>
  <c r="AE354" i="2"/>
  <c r="AE394" i="2" s="1"/>
  <c r="AE352" i="2"/>
  <c r="AE392" i="2" s="1"/>
  <c r="AD349" i="2"/>
  <c r="AD824" i="8" s="1"/>
  <c r="AD825" i="8" s="1"/>
  <c r="AD358" i="2"/>
  <c r="AD852" i="8" s="1"/>
  <c r="AD853" i="8" s="1"/>
  <c r="AB390" i="2"/>
  <c r="AB69" i="17" s="1"/>
  <c r="AB84" i="17" s="1"/>
  <c r="AC389" i="2"/>
  <c r="AC940" i="8" s="1"/>
  <c r="AC941" i="8" s="1"/>
  <c r="AC385" i="2"/>
  <c r="AC924" i="8" s="1"/>
  <c r="AC925" i="8" s="1"/>
  <c r="AD748" i="2"/>
  <c r="AD1220" i="8" s="1"/>
  <c r="AD1221" i="8" s="1"/>
  <c r="AD386" i="2"/>
  <c r="AD928" i="8" s="1"/>
  <c r="AD929" i="8" s="1"/>
  <c r="AC374" i="2"/>
  <c r="AC66" i="15" s="1"/>
  <c r="AC378" i="2"/>
  <c r="AC371" i="2"/>
  <c r="AC896" i="8" s="1"/>
  <c r="AC897" i="8" s="1"/>
  <c r="AE612" i="8"/>
  <c r="AE613" i="8" s="1"/>
  <c r="F613" i="8" s="1"/>
  <c r="AE345" i="2"/>
  <c r="AE334" i="2"/>
  <c r="AE49" i="14" s="1"/>
  <c r="AD772" i="8"/>
  <c r="AD773" i="8" s="1"/>
  <c r="AD808" i="8"/>
  <c r="AD809" i="8" s="1"/>
  <c r="AD1176" i="8"/>
  <c r="AD1177" i="8" s="1"/>
  <c r="AE1016" i="8"/>
  <c r="AE1017" i="8" s="1"/>
  <c r="F1017" i="8" s="1"/>
  <c r="AE746" i="2"/>
  <c r="AE735" i="2"/>
  <c r="AE258" i="14" s="1"/>
  <c r="AB900" i="8"/>
  <c r="AB901" i="8" s="1"/>
  <c r="AB379" i="2"/>
  <c r="AD1196" i="8"/>
  <c r="AD1197" i="8" s="1"/>
  <c r="AD948" i="8"/>
  <c r="AD949" i="8" s="1"/>
  <c r="AE756" i="8"/>
  <c r="AE757" i="8" s="1"/>
  <c r="F757" i="8" s="1"/>
  <c r="AC360" i="2"/>
  <c r="AE1000" i="8"/>
  <c r="AE1001" i="8" s="1"/>
  <c r="F1001" i="8" s="1"/>
  <c r="AE731" i="2"/>
  <c r="AE254" i="14" s="1"/>
  <c r="AE742" i="2"/>
  <c r="AD816" i="8"/>
  <c r="AD817" i="8" s="1"/>
  <c r="AD1200" i="8"/>
  <c r="AD1201" i="8" s="1"/>
  <c r="AE347" i="2"/>
  <c r="AE620" i="8"/>
  <c r="AE621" i="8" s="1"/>
  <c r="F621" i="8" s="1"/>
  <c r="AE336" i="2"/>
  <c r="AE51" i="14" s="1"/>
  <c r="AE1152" i="8"/>
  <c r="AE1153" i="8" s="1"/>
  <c r="F1153" i="8" s="1"/>
  <c r="AD1212" i="8"/>
  <c r="AD1213" i="8" s="1"/>
  <c r="AD780" i="8"/>
  <c r="AD781" i="8" s="1"/>
  <c r="AE1188" i="8"/>
  <c r="AE1189" i="8" s="1"/>
  <c r="F1189" i="8" s="1"/>
  <c r="AE1004" i="8"/>
  <c r="AE1005" i="8" s="1"/>
  <c r="F1005" i="8" s="1"/>
  <c r="AE732" i="2"/>
  <c r="AE255" i="14" s="1"/>
  <c r="AE743" i="2"/>
  <c r="AE1204" i="8"/>
  <c r="AE1205" i="8" s="1"/>
  <c r="F1205" i="8" s="1"/>
  <c r="AD1156" i="8"/>
  <c r="AD1157" i="8" s="1"/>
  <c r="AE820" i="8"/>
  <c r="AE821" i="8" s="1"/>
  <c r="F821" i="8" s="1"/>
  <c r="AD828" i="8"/>
  <c r="AD829" i="8" s="1"/>
  <c r="AE792" i="8"/>
  <c r="AE793" i="8" s="1"/>
  <c r="F793" i="8" s="1"/>
  <c r="AD1160" i="8"/>
  <c r="AD1161" i="8" s="1"/>
  <c r="AD1164" i="8"/>
  <c r="AD1165" i="8" s="1"/>
  <c r="AE1168" i="8"/>
  <c r="AE1169" i="8" s="1"/>
  <c r="F1169" i="8" s="1"/>
  <c r="AD1192" i="8"/>
  <c r="AD1193" i="8" s="1"/>
  <c r="AD768" i="8"/>
  <c r="AD769" i="8" s="1"/>
  <c r="AE996" i="8"/>
  <c r="AE997" i="8" s="1"/>
  <c r="F997" i="8" s="1"/>
  <c r="AE741" i="2"/>
  <c r="AE730" i="2"/>
  <c r="AE253" i="14" s="1"/>
  <c r="AD387" i="2"/>
  <c r="AD932" i="8" s="1"/>
  <c r="AD933" i="8" s="1"/>
  <c r="AD804" i="8"/>
  <c r="AD805" i="8" s="1"/>
  <c r="AE784" i="8"/>
  <c r="AE785" i="8" s="1"/>
  <c r="F785" i="8" s="1"/>
  <c r="AD864" i="8"/>
  <c r="AD865" i="8" s="1"/>
  <c r="AE1172" i="8"/>
  <c r="AE1173" i="8" s="1"/>
  <c r="F1173" i="8" s="1"/>
  <c r="AD375" i="2"/>
  <c r="AE608" i="8"/>
  <c r="AE609" i="8" s="1"/>
  <c r="F609" i="8" s="1"/>
  <c r="AE344" i="2"/>
  <c r="AE333" i="2"/>
  <c r="AE48" i="14" s="1"/>
  <c r="AE764" i="8"/>
  <c r="AE765" i="8" s="1"/>
  <c r="F765" i="8" s="1"/>
  <c r="AD376" i="2"/>
  <c r="AE1208" i="8"/>
  <c r="AE1209" i="8" s="1"/>
  <c r="F1209" i="8" s="1"/>
  <c r="AD338" i="2"/>
  <c r="AD788" i="8" s="1"/>
  <c r="AD789" i="8" s="1"/>
  <c r="AD737" i="2"/>
  <c r="AD1184" i="8" s="1"/>
  <c r="AD1185" i="8" s="1"/>
  <c r="AE800" i="8"/>
  <c r="AE801" i="8" s="1"/>
  <c r="F801" i="8" s="1"/>
  <c r="M93" i="17" l="1"/>
  <c r="M94" i="17" s="1"/>
  <c r="M95" i="17" s="1"/>
  <c r="M1866" i="8"/>
  <c r="M91" i="17"/>
  <c r="M92" i="17" s="1"/>
  <c r="L96" i="17"/>
  <c r="L1868" i="8"/>
  <c r="Q59" i="17"/>
  <c r="M83" i="17"/>
  <c r="M1867" i="8" s="1"/>
  <c r="L85" i="17"/>
  <c r="L1867" i="8"/>
  <c r="L1865" i="8"/>
  <c r="N27" i="15"/>
  <c r="N1835" i="8" s="1"/>
  <c r="N1838" i="8"/>
  <c r="P28" i="15"/>
  <c r="P63" i="17"/>
  <c r="P1834" i="8"/>
  <c r="N1840" i="8"/>
  <c r="N1844" i="8"/>
  <c r="N82" i="17"/>
  <c r="N93" i="17"/>
  <c r="N1841" i="8"/>
  <c r="N67" i="17"/>
  <c r="N68" i="17" s="1"/>
  <c r="N81" i="17" s="1"/>
  <c r="Q18" i="15"/>
  <c r="Q19" i="15" s="1"/>
  <c r="Q25" i="15" s="1"/>
  <c r="N45" i="15"/>
  <c r="N44" i="15"/>
  <c r="N1855" i="8" s="1"/>
  <c r="Z194" i="14"/>
  <c r="Z195" i="14" s="1"/>
  <c r="Z1670" i="8" s="1"/>
  <c r="Z1671" i="8"/>
  <c r="M44" i="15"/>
  <c r="M1855" i="8" s="1"/>
  <c r="M1841" i="8"/>
  <c r="AC916" i="8"/>
  <c r="AC917" i="8" s="1"/>
  <c r="AC56" i="15"/>
  <c r="O27" i="15"/>
  <c r="O1835" i="8" s="1"/>
  <c r="O1838" i="8"/>
  <c r="R69" i="15"/>
  <c r="R68" i="15"/>
  <c r="R1850" i="8" s="1"/>
  <c r="AB944" i="8"/>
  <c r="AB22" i="15"/>
  <c r="L44" i="15"/>
  <c r="L1855" i="8" s="1"/>
  <c r="L1841" i="8"/>
  <c r="AD904" i="8"/>
  <c r="AD905" i="8" s="1"/>
  <c r="AD51" i="15"/>
  <c r="O1528" i="8"/>
  <c r="O86" i="15"/>
  <c r="AD23" i="15"/>
  <c r="AD1842" i="8" s="1"/>
  <c r="O1527" i="8"/>
  <c r="O81" i="15"/>
  <c r="Q53" i="15"/>
  <c r="Q1847" i="8" s="1"/>
  <c r="Q54" i="15"/>
  <c r="R58" i="15"/>
  <c r="R1848" i="8" s="1"/>
  <c r="R59" i="15"/>
  <c r="O92" i="15"/>
  <c r="O1854" i="8" s="1"/>
  <c r="O93" i="15"/>
  <c r="R1522" i="8"/>
  <c r="R52" i="15"/>
  <c r="R17" i="15"/>
  <c r="AD908" i="8"/>
  <c r="AD909" i="8" s="1"/>
  <c r="AD61" i="15"/>
  <c r="P1837" i="8"/>
  <c r="P26" i="15"/>
  <c r="P66" i="17" s="1"/>
  <c r="O1340" i="8"/>
  <c r="O39" i="15"/>
  <c r="O76" i="15"/>
  <c r="O34" i="15"/>
  <c r="S1523" i="8"/>
  <c r="S57" i="15"/>
  <c r="S63" i="15"/>
  <c r="S1849" i="8" s="1"/>
  <c r="S64" i="15"/>
  <c r="P1340" i="8"/>
  <c r="P39" i="15"/>
  <c r="Q1340" i="8"/>
  <c r="Q39" i="15"/>
  <c r="P1529" i="8"/>
  <c r="P91" i="15"/>
  <c r="AA24" i="15"/>
  <c r="AA1836" i="8"/>
  <c r="R344" i="14"/>
  <c r="R346" i="14" s="1"/>
  <c r="Z339" i="14"/>
  <c r="Z341" i="14" s="1"/>
  <c r="W347" i="14"/>
  <c r="W349" i="14" s="1"/>
  <c r="S344" i="14"/>
  <c r="S346" i="14" s="1"/>
  <c r="U344" i="14"/>
  <c r="U346" i="14" s="1"/>
  <c r="T347" i="14"/>
  <c r="T349" i="14" s="1"/>
  <c r="Y340" i="14"/>
  <c r="Y342" i="14" s="1"/>
  <c r="X343" i="14"/>
  <c r="X345" i="14" s="1"/>
  <c r="V344" i="14"/>
  <c r="V346" i="14" s="1"/>
  <c r="AA191" i="14"/>
  <c r="AA194" i="14" s="1"/>
  <c r="AA196" i="14" s="1"/>
  <c r="AD328" i="14"/>
  <c r="AD75" i="17" s="1"/>
  <c r="AA153" i="14"/>
  <c r="AA336" i="14"/>
  <c r="AA338" i="14" s="1"/>
  <c r="AA339" i="14" s="1"/>
  <c r="AA341" i="14" s="1"/>
  <c r="AE120" i="14"/>
  <c r="AA137" i="14"/>
  <c r="AA165" i="14"/>
  <c r="AD121" i="14"/>
  <c r="AD122" i="14" s="1"/>
  <c r="AD187" i="14" s="1"/>
  <c r="AD190" i="14" s="1"/>
  <c r="AE331" i="14"/>
  <c r="AE327" i="14"/>
  <c r="AE124" i="14"/>
  <c r="AB335" i="14"/>
  <c r="AB337" i="14" s="1"/>
  <c r="AE119" i="14"/>
  <c r="Q276" i="13"/>
  <c r="Q278" i="13" s="1"/>
  <c r="Q1720" i="8"/>
  <c r="Q406" i="14"/>
  <c r="Q407" i="14" s="1"/>
  <c r="Q1713" i="8" s="1"/>
  <c r="Q1435" i="8"/>
  <c r="Q1376" i="8"/>
  <c r="Q1377" i="8" s="1"/>
  <c r="Q1676" i="8"/>
  <c r="Q1436" i="8"/>
  <c r="AB180" i="14"/>
  <c r="AB182" i="14" s="1"/>
  <c r="AA181" i="14"/>
  <c r="T1579" i="8"/>
  <c r="T1685" i="8"/>
  <c r="AB156" i="14"/>
  <c r="AB158" i="14" s="1"/>
  <c r="P276" i="13"/>
  <c r="P278" i="13" s="1"/>
  <c r="P1720" i="8"/>
  <c r="P406" i="14"/>
  <c r="P407" i="14" s="1"/>
  <c r="P1713" i="8" s="1"/>
  <c r="P1676" i="8"/>
  <c r="P1436" i="8"/>
  <c r="P1435" i="8"/>
  <c r="P1376" i="8"/>
  <c r="P1377" i="8" s="1"/>
  <c r="O779" i="2"/>
  <c r="O1704" i="8" s="1"/>
  <c r="O1316" i="8"/>
  <c r="O1317" i="8" s="1"/>
  <c r="AB140" i="14"/>
  <c r="AB142" i="14" s="1"/>
  <c r="T1580" i="8"/>
  <c r="T1686" i="8"/>
  <c r="AC250" i="2"/>
  <c r="AC1673" i="8" s="1"/>
  <c r="AC171" i="14"/>
  <c r="AC187" i="14"/>
  <c r="AC190" i="14" s="1"/>
  <c r="AC197" i="14" s="1"/>
  <c r="AC159" i="14"/>
  <c r="AC179" i="14"/>
  <c r="AC151" i="14"/>
  <c r="AC155" i="14"/>
  <c r="AC163" i="14"/>
  <c r="AC143" i="14"/>
  <c r="AC167" i="14"/>
  <c r="AC139" i="14"/>
  <c r="AC183" i="14"/>
  <c r="AC135" i="14"/>
  <c r="AC147" i="14"/>
  <c r="AC175" i="14"/>
  <c r="AC125" i="14"/>
  <c r="AC131" i="14"/>
  <c r="P90" i="12"/>
  <c r="P1545" i="8"/>
  <c r="AA169" i="14"/>
  <c r="AB136" i="14"/>
  <c r="AB138" i="14" s="1"/>
  <c r="O1438" i="8"/>
  <c r="O727" i="2"/>
  <c r="O89" i="17" s="1"/>
  <c r="S1581" i="8"/>
  <c r="S1687" i="8"/>
  <c r="Q1438" i="8"/>
  <c r="Q727" i="2"/>
  <c r="Q89" i="17" s="1"/>
  <c r="Q1316" i="8"/>
  <c r="Q1317" i="8" s="1"/>
  <c r="Q779" i="2"/>
  <c r="Q1704" i="8" s="1"/>
  <c r="Q1546" i="8"/>
  <c r="Q102" i="12"/>
  <c r="O276" i="13"/>
  <c r="O278" i="13" s="1"/>
  <c r="O1720" i="8"/>
  <c r="O406" i="14"/>
  <c r="O407" i="14" s="1"/>
  <c r="O1676" i="8"/>
  <c r="O1436" i="8"/>
  <c r="O1435" i="8"/>
  <c r="O1376" i="8"/>
  <c r="O1377" i="8" s="1"/>
  <c r="AB164" i="14"/>
  <c r="AB166" i="14" s="1"/>
  <c r="P78" i="12"/>
  <c r="P1544" i="8"/>
  <c r="AB172" i="14"/>
  <c r="AB174" i="14" s="1"/>
  <c r="P779" i="2"/>
  <c r="P1704" i="8" s="1"/>
  <c r="P1316" i="8"/>
  <c r="P1317" i="8" s="1"/>
  <c r="Q69" i="12"/>
  <c r="Q522" i="2"/>
  <c r="Q1701" i="8" s="1"/>
  <c r="Q187" i="8"/>
  <c r="Q188" i="8" s="1"/>
  <c r="AB132" i="14"/>
  <c r="AB134" i="14" s="1"/>
  <c r="Q57" i="12"/>
  <c r="Q151" i="8"/>
  <c r="Q152" i="8" s="1"/>
  <c r="Q462" i="2"/>
  <c r="Q1700" i="8" s="1"/>
  <c r="P1586" i="8"/>
  <c r="P1714" i="8"/>
  <c r="P1582" i="8"/>
  <c r="P1688" i="8"/>
  <c r="P1590" i="8"/>
  <c r="AA149" i="14"/>
  <c r="Q81" i="12"/>
  <c r="Q582" i="2"/>
  <c r="Q1702" i="8" s="1"/>
  <c r="Q223" i="8"/>
  <c r="Q224" i="8" s="1"/>
  <c r="Q1589" i="8"/>
  <c r="Q1717" i="8"/>
  <c r="Q1691" i="8"/>
  <c r="Q1585" i="8"/>
  <c r="Q1593" i="8"/>
  <c r="AB148" i="14"/>
  <c r="AB150" i="14" s="1"/>
  <c r="AB184" i="14"/>
  <c r="AB186" i="14" s="1"/>
  <c r="P1543" i="8"/>
  <c r="P66" i="12"/>
  <c r="AA133" i="14"/>
  <c r="AE326" i="14"/>
  <c r="AC1705" i="8"/>
  <c r="AC649" i="2"/>
  <c r="AC1677" i="8" s="1"/>
  <c r="AC332" i="14"/>
  <c r="P1588" i="8"/>
  <c r="P1716" i="8"/>
  <c r="P1690" i="8"/>
  <c r="P1584" i="8"/>
  <c r="P1592" i="8"/>
  <c r="AB176" i="14"/>
  <c r="AB178" i="14" s="1"/>
  <c r="AA145" i="14"/>
  <c r="O1526" i="8"/>
  <c r="O1718" i="8"/>
  <c r="AA161" i="14"/>
  <c r="AA177" i="14"/>
  <c r="AB128" i="14"/>
  <c r="AB130" i="14" s="1"/>
  <c r="AB160" i="14"/>
  <c r="AB162" i="14" s="1"/>
  <c r="AB199" i="14"/>
  <c r="AB200" i="14" s="1"/>
  <c r="AB1672" i="8"/>
  <c r="AB1669" i="8"/>
  <c r="AB211" i="14"/>
  <c r="AB209" i="14"/>
  <c r="AB207" i="14"/>
  <c r="AB205" i="14"/>
  <c r="AB203" i="14"/>
  <c r="AB208" i="14"/>
  <c r="AB204" i="14"/>
  <c r="AB206" i="14"/>
  <c r="AB210" i="14"/>
  <c r="AB193" i="14"/>
  <c r="AB192" i="14"/>
  <c r="AA185" i="14"/>
  <c r="P1438" i="8"/>
  <c r="P727" i="2"/>
  <c r="P89" i="17" s="1"/>
  <c r="AB168" i="14"/>
  <c r="AB170" i="14" s="1"/>
  <c r="S1578" i="8"/>
  <c r="S1684" i="8"/>
  <c r="AA173" i="14"/>
  <c r="AA129" i="14"/>
  <c r="AA157" i="14"/>
  <c r="P1587" i="8"/>
  <c r="P1715" i="8"/>
  <c r="P1689" i="8"/>
  <c r="P1583" i="8"/>
  <c r="P1591" i="8"/>
  <c r="AA141" i="14"/>
  <c r="AB152" i="14"/>
  <c r="AB154" i="14" s="1"/>
  <c r="AB144" i="14"/>
  <c r="AB146" i="14" s="1"/>
  <c r="R1532" i="8"/>
  <c r="R1533" i="8" s="1"/>
  <c r="S1535" i="8"/>
  <c r="S1536" i="8" s="1"/>
  <c r="S15" i="12"/>
  <c r="T27" i="12"/>
  <c r="D25" i="18" s="1"/>
  <c r="N40" i="18" s="1"/>
  <c r="P40" i="18" s="1"/>
  <c r="W178" i="2"/>
  <c r="V34" i="12"/>
  <c r="V95" i="8"/>
  <c r="V96" i="8" s="1"/>
  <c r="U60" i="2"/>
  <c r="T12" i="12"/>
  <c r="T31" i="8"/>
  <c r="T32" i="8" s="1"/>
  <c r="AB1431" i="8"/>
  <c r="AB137" i="13"/>
  <c r="AB139" i="13" s="1"/>
  <c r="AB1563" i="8" s="1"/>
  <c r="U239" i="2"/>
  <c r="T47" i="12"/>
  <c r="T135" i="8"/>
  <c r="T136" i="8" s="1"/>
  <c r="W179" i="2"/>
  <c r="V35" i="12"/>
  <c r="V99" i="8"/>
  <c r="V100" i="8" s="1"/>
  <c r="U234" i="2"/>
  <c r="T42" i="12"/>
  <c r="T115" i="8"/>
  <c r="T116" i="8" s="1"/>
  <c r="T243" i="2"/>
  <c r="W119" i="2"/>
  <c r="V63" i="8"/>
  <c r="V64" i="8" s="1"/>
  <c r="V23" i="12"/>
  <c r="V55" i="2"/>
  <c r="U7" i="12"/>
  <c r="U11" i="8"/>
  <c r="U12" i="8" s="1"/>
  <c r="W116" i="2"/>
  <c r="V20" i="12"/>
  <c r="V51" i="8"/>
  <c r="V52" i="8" s="1"/>
  <c r="U235" i="2"/>
  <c r="T43" i="12"/>
  <c r="T119" i="8"/>
  <c r="T120" i="8" s="1"/>
  <c r="V180" i="2"/>
  <c r="U36" i="12"/>
  <c r="U103" i="8"/>
  <c r="U104" i="8" s="1"/>
  <c r="U238" i="2"/>
  <c r="T46" i="12"/>
  <c r="T131" i="8"/>
  <c r="T132" i="8" s="1"/>
  <c r="V56" i="2"/>
  <c r="U8" i="12"/>
  <c r="U15" i="8"/>
  <c r="U16" i="8" s="1"/>
  <c r="V176" i="2"/>
  <c r="U32" i="12"/>
  <c r="U87" i="8"/>
  <c r="U88" i="8" s="1"/>
  <c r="R1525" i="8"/>
  <c r="R1541" i="8"/>
  <c r="R1542" i="8" s="1"/>
  <c r="U54" i="2"/>
  <c r="T6" i="12"/>
  <c r="T7" i="8"/>
  <c r="T8" i="8" s="1"/>
  <c r="T63" i="2"/>
  <c r="V177" i="2"/>
  <c r="U33" i="12"/>
  <c r="U91" i="8"/>
  <c r="U92" i="8" s="1"/>
  <c r="W182" i="2"/>
  <c r="V38" i="12"/>
  <c r="V111" i="8"/>
  <c r="V112" i="8" s="1"/>
  <c r="U61" i="2"/>
  <c r="T13" i="12"/>
  <c r="T35" i="8"/>
  <c r="T36" i="8" s="1"/>
  <c r="U242" i="2"/>
  <c r="T50" i="12"/>
  <c r="T147" i="8"/>
  <c r="T148" i="8" s="1"/>
  <c r="U236" i="2"/>
  <c r="T44" i="12"/>
  <c r="T123" i="8"/>
  <c r="T124" i="8" s="1"/>
  <c r="S51" i="12"/>
  <c r="S67" i="15" s="1"/>
  <c r="U237" i="2"/>
  <c r="T45" i="12"/>
  <c r="T127" i="8"/>
  <c r="T128" i="8" s="1"/>
  <c r="V62" i="2"/>
  <c r="U14" i="12"/>
  <c r="U39" i="8"/>
  <c r="U40" i="8" s="1"/>
  <c r="V115" i="2"/>
  <c r="U19" i="12"/>
  <c r="U47" i="8"/>
  <c r="U48" i="8" s="1"/>
  <c r="V120" i="2"/>
  <c r="U24" i="12"/>
  <c r="U67" i="8"/>
  <c r="U68" i="8" s="1"/>
  <c r="V117" i="2"/>
  <c r="U21" i="12"/>
  <c r="U55" i="8"/>
  <c r="U56" i="8" s="1"/>
  <c r="W118" i="2"/>
  <c r="V22" i="12"/>
  <c r="V59" i="8"/>
  <c r="V60" i="8" s="1"/>
  <c r="U240" i="2"/>
  <c r="T48" i="12"/>
  <c r="T139" i="8"/>
  <c r="T140" i="8" s="1"/>
  <c r="T39" i="12"/>
  <c r="T62" i="15" s="1"/>
  <c r="V181" i="2"/>
  <c r="U37" i="12"/>
  <c r="U107" i="8"/>
  <c r="U108" i="8" s="1"/>
  <c r="V241" i="2"/>
  <c r="U49" i="12"/>
  <c r="U143" i="8"/>
  <c r="U144" i="8" s="1"/>
  <c r="S1524" i="8"/>
  <c r="S1538" i="8"/>
  <c r="S1539" i="8" s="1"/>
  <c r="W121" i="2"/>
  <c r="V25" i="12"/>
  <c r="V71" i="8"/>
  <c r="V72" i="8" s="1"/>
  <c r="U59" i="2"/>
  <c r="T11" i="12"/>
  <c r="T27" i="8"/>
  <c r="T28" i="8" s="1"/>
  <c r="V175" i="2"/>
  <c r="U31" i="12"/>
  <c r="U83" i="8"/>
  <c r="U84" i="8" s="1"/>
  <c r="W122" i="2"/>
  <c r="V26" i="12"/>
  <c r="V75" i="8"/>
  <c r="V76" i="8" s="1"/>
  <c r="V57" i="2"/>
  <c r="U9" i="12"/>
  <c r="U19" i="8"/>
  <c r="U20" i="8" s="1"/>
  <c r="V174" i="2"/>
  <c r="U30" i="12"/>
  <c r="U79" i="8"/>
  <c r="U80" i="8" s="1"/>
  <c r="U183" i="2"/>
  <c r="U58" i="2"/>
  <c r="T10" i="12"/>
  <c r="T23" i="8"/>
  <c r="T24" i="8" s="1"/>
  <c r="V114" i="2"/>
  <c r="U18" i="12"/>
  <c r="U43" i="8"/>
  <c r="U44" i="8" s="1"/>
  <c r="U123" i="2"/>
  <c r="AE717" i="2"/>
  <c r="AE706" i="2" s="1"/>
  <c r="AE90" i="17" s="1"/>
  <c r="AC372" i="2"/>
  <c r="AE383" i="2"/>
  <c r="AC339" i="2"/>
  <c r="AC361" i="2" s="1"/>
  <c r="AE376" i="2"/>
  <c r="AD398" i="2"/>
  <c r="AD972" i="8" s="1"/>
  <c r="AD973" i="8" s="1"/>
  <c r="AE318" i="2"/>
  <c r="AB1434" i="8"/>
  <c r="AB328" i="2"/>
  <c r="AC400" i="2"/>
  <c r="AE683" i="2"/>
  <c r="AE86" i="17" s="1"/>
  <c r="AE284" i="2"/>
  <c r="F1483" i="8"/>
  <c r="AC960" i="8"/>
  <c r="AC961" i="8" s="1"/>
  <c r="AE297" i="2"/>
  <c r="AE836" i="8"/>
  <c r="AE837" i="8" s="1"/>
  <c r="F837" i="8" s="1"/>
  <c r="AE696" i="2"/>
  <c r="AA285" i="2"/>
  <c r="AA286" i="2"/>
  <c r="AD296" i="2"/>
  <c r="AD395" i="2"/>
  <c r="AD960" i="8" s="1"/>
  <c r="AD961" i="8" s="1"/>
  <c r="AD396" i="2"/>
  <c r="AD964" i="8" s="1"/>
  <c r="AD965" i="8" s="1"/>
  <c r="AD378" i="2"/>
  <c r="AB1432" i="8"/>
  <c r="AE399" i="2"/>
  <c r="AE976" i="8" s="1"/>
  <c r="AE977" i="8" s="1"/>
  <c r="F977" i="8" s="1"/>
  <c r="AD382" i="2"/>
  <c r="AB980" i="8"/>
  <c r="AB981" i="8" s="1"/>
  <c r="AD876" i="8"/>
  <c r="AD877" i="8" s="1"/>
  <c r="AE956" i="8"/>
  <c r="AE957" i="8" s="1"/>
  <c r="F957" i="8" s="1"/>
  <c r="AC390" i="2"/>
  <c r="AC69" i="17" s="1"/>
  <c r="AC84" i="17" s="1"/>
  <c r="AA1433" i="8"/>
  <c r="AA1445" i="8"/>
  <c r="AC860" i="8"/>
  <c r="AC861" i="8" s="1"/>
  <c r="AC381" i="2"/>
  <c r="AE356" i="2"/>
  <c r="AE844" i="8" s="1"/>
  <c r="AE845" i="8" s="1"/>
  <c r="F845" i="8" s="1"/>
  <c r="AE358" i="2"/>
  <c r="AE852" i="8" s="1"/>
  <c r="AE853" i="8" s="1"/>
  <c r="F853" i="8" s="1"/>
  <c r="AC379" i="2"/>
  <c r="AB920" i="8"/>
  <c r="AB921" i="8" s="1"/>
  <c r="AB380" i="2"/>
  <c r="AB70" i="17" s="1"/>
  <c r="AC900" i="8"/>
  <c r="AC901" i="8" s="1"/>
  <c r="AE338" i="2"/>
  <c r="AE788" i="8" s="1"/>
  <c r="AE789" i="8" s="1"/>
  <c r="F789" i="8" s="1"/>
  <c r="AE355" i="2"/>
  <c r="AE395" i="2" s="1"/>
  <c r="AE387" i="2"/>
  <c r="AE932" i="8" s="1"/>
  <c r="AE933" i="8" s="1"/>
  <c r="F933" i="8" s="1"/>
  <c r="AE386" i="2"/>
  <c r="AE928" i="8" s="1"/>
  <c r="AE929" i="8" s="1"/>
  <c r="F929" i="8" s="1"/>
  <c r="AE772" i="8"/>
  <c r="AE773" i="8" s="1"/>
  <c r="F773" i="8" s="1"/>
  <c r="AE880" i="8"/>
  <c r="AE881" i="8" s="1"/>
  <c r="F881" i="8" s="1"/>
  <c r="AE808" i="8"/>
  <c r="AE809" i="8" s="1"/>
  <c r="F809" i="8" s="1"/>
  <c r="AE375" i="2"/>
  <c r="AD385" i="2"/>
  <c r="AD924" i="8" s="1"/>
  <c r="AD925" i="8" s="1"/>
  <c r="AE804" i="8"/>
  <c r="AE805" i="8" s="1"/>
  <c r="F805" i="8" s="1"/>
  <c r="AE876" i="8"/>
  <c r="AE877" i="8" s="1"/>
  <c r="AE1164" i="8"/>
  <c r="AE1165" i="8" s="1"/>
  <c r="F1165" i="8" s="1"/>
  <c r="AD371" i="2"/>
  <c r="AD896" i="8" s="1"/>
  <c r="AD897" i="8" s="1"/>
  <c r="AE1160" i="8"/>
  <c r="AE1161" i="8" s="1"/>
  <c r="F1161" i="8" s="1"/>
  <c r="AE1200" i="8"/>
  <c r="AE1201" i="8" s="1"/>
  <c r="F1201" i="8" s="1"/>
  <c r="AE1176" i="8"/>
  <c r="AE1177" i="8" s="1"/>
  <c r="F1177" i="8" s="1"/>
  <c r="AE1212" i="8"/>
  <c r="AE1213" i="8" s="1"/>
  <c r="F1213" i="8" s="1"/>
  <c r="AE737" i="2"/>
  <c r="AE1184" i="8" s="1"/>
  <c r="AE1185" i="8" s="1"/>
  <c r="F1185" i="8" s="1"/>
  <c r="AE349" i="2"/>
  <c r="AE824" i="8" s="1"/>
  <c r="AE825" i="8" s="1"/>
  <c r="F825" i="8" s="1"/>
  <c r="AE1196" i="8"/>
  <c r="AE1197" i="8" s="1"/>
  <c r="F1197" i="8" s="1"/>
  <c r="AE816" i="8"/>
  <c r="AE817" i="8" s="1"/>
  <c r="F817" i="8" s="1"/>
  <c r="AE888" i="8"/>
  <c r="AE889" i="8" s="1"/>
  <c r="F889" i="8" s="1"/>
  <c r="AE828" i="8"/>
  <c r="AE829" i="8" s="1"/>
  <c r="F829" i="8" s="1"/>
  <c r="AD389" i="2"/>
  <c r="AD940" i="8" s="1"/>
  <c r="AD941" i="8" s="1"/>
  <c r="AE948" i="8"/>
  <c r="AE949" i="8" s="1"/>
  <c r="F949" i="8" s="1"/>
  <c r="AE748" i="2"/>
  <c r="AE1220" i="8" s="1"/>
  <c r="AE1221" i="8" s="1"/>
  <c r="F1221" i="8" s="1"/>
  <c r="AE768" i="8"/>
  <c r="AE769" i="8" s="1"/>
  <c r="F769" i="8" s="1"/>
  <c r="AE864" i="8"/>
  <c r="AE865" i="8" s="1"/>
  <c r="F865" i="8" s="1"/>
  <c r="AD374" i="2"/>
  <c r="AD66" i="15" s="1"/>
  <c r="AE780" i="8"/>
  <c r="AE781" i="8" s="1"/>
  <c r="F781" i="8" s="1"/>
  <c r="AE1156" i="8"/>
  <c r="AE1157" i="8" s="1"/>
  <c r="F1157" i="8" s="1"/>
  <c r="AD360" i="2"/>
  <c r="AE1192" i="8"/>
  <c r="AE1193" i="8" s="1"/>
  <c r="F1193" i="8" s="1"/>
  <c r="R40" i="18" l="1"/>
  <c r="Q40" i="18"/>
  <c r="O1713" i="8"/>
  <c r="P64" i="17"/>
  <c r="M1868" i="8"/>
  <c r="M96" i="17"/>
  <c r="M1865" i="8" s="1"/>
  <c r="N94" i="17"/>
  <c r="N95" i="17" s="1"/>
  <c r="N1866" i="8"/>
  <c r="N91" i="17"/>
  <c r="N92" i="17" s="1"/>
  <c r="N96" i="17" s="1"/>
  <c r="O60" i="17"/>
  <c r="O61" i="17" s="1"/>
  <c r="O65" i="17" s="1"/>
  <c r="R59" i="17"/>
  <c r="M85" i="17"/>
  <c r="Q63" i="17"/>
  <c r="Q64" i="17" s="1"/>
  <c r="N83" i="17"/>
  <c r="Q28" i="15"/>
  <c r="Q1834" i="8"/>
  <c r="R18" i="15"/>
  <c r="R19" i="15" s="1"/>
  <c r="R28" i="15" s="1"/>
  <c r="O35" i="15"/>
  <c r="O36" i="15" s="1"/>
  <c r="O42" i="15" s="1"/>
  <c r="Z196" i="14"/>
  <c r="R54" i="15"/>
  <c r="R53" i="15"/>
  <c r="R1847" i="8" s="1"/>
  <c r="O88" i="15"/>
  <c r="O87" i="15"/>
  <c r="O1853" i="8" s="1"/>
  <c r="T64" i="15"/>
  <c r="T63" i="15"/>
  <c r="T1849" i="8" s="1"/>
  <c r="S59" i="15"/>
  <c r="S58" i="15"/>
  <c r="S1848" i="8" s="1"/>
  <c r="AE908" i="8"/>
  <c r="AE909" i="8" s="1"/>
  <c r="F909" i="8" s="1"/>
  <c r="AE61" i="15"/>
  <c r="S1522" i="8"/>
  <c r="S52" i="15"/>
  <c r="S17" i="15"/>
  <c r="P1527" i="8"/>
  <c r="P81" i="15"/>
  <c r="AE904" i="8"/>
  <c r="AE905" i="8" s="1"/>
  <c r="F905" i="8" s="1"/>
  <c r="AE51" i="15"/>
  <c r="P93" i="15"/>
  <c r="P92" i="15"/>
  <c r="P1854" i="8" s="1"/>
  <c r="O41" i="15"/>
  <c r="O1839" i="8"/>
  <c r="AE23" i="15"/>
  <c r="AE1842" i="8" s="1"/>
  <c r="F1842" i="8" s="1"/>
  <c r="O77" i="15"/>
  <c r="O1851" i="8" s="1"/>
  <c r="O78" i="15"/>
  <c r="T1523" i="8"/>
  <c r="T57" i="15"/>
  <c r="AC944" i="8"/>
  <c r="AC22" i="15"/>
  <c r="S68" i="15"/>
  <c r="S1850" i="8" s="1"/>
  <c r="S69" i="15"/>
  <c r="P1528" i="8"/>
  <c r="P86" i="15"/>
  <c r="Q41" i="15"/>
  <c r="Q1839" i="8"/>
  <c r="P27" i="15"/>
  <c r="P1835" i="8" s="1"/>
  <c r="P1838" i="8"/>
  <c r="Q1529" i="8"/>
  <c r="Q91" i="15"/>
  <c r="AB24" i="15"/>
  <c r="AB1836" i="8"/>
  <c r="Q1837" i="8"/>
  <c r="Q26" i="15"/>
  <c r="Q66" i="17" s="1"/>
  <c r="P41" i="15"/>
  <c r="P1839" i="8"/>
  <c r="O83" i="15"/>
  <c r="O82" i="15"/>
  <c r="O1852" i="8" s="1"/>
  <c r="AD916" i="8"/>
  <c r="AD917" i="8" s="1"/>
  <c r="AD56" i="15"/>
  <c r="P76" i="15"/>
  <c r="P34" i="15"/>
  <c r="AA195" i="14"/>
  <c r="AA1670" i="8" s="1"/>
  <c r="AA1671" i="8"/>
  <c r="AA198" i="14"/>
  <c r="Y343" i="14"/>
  <c r="Y345" i="14" s="1"/>
  <c r="V347" i="14"/>
  <c r="V349" i="14" s="1"/>
  <c r="U347" i="14"/>
  <c r="U349" i="14" s="1"/>
  <c r="T348" i="14"/>
  <c r="T350" i="14" s="1"/>
  <c r="AE121" i="14"/>
  <c r="AE122" i="14" s="1"/>
  <c r="R347" i="14"/>
  <c r="R349" i="14" s="1"/>
  <c r="AA340" i="14"/>
  <c r="AA342" i="14" s="1"/>
  <c r="W348" i="14"/>
  <c r="W350" i="14" s="1"/>
  <c r="S347" i="14"/>
  <c r="S349" i="14" s="1"/>
  <c r="X344" i="14"/>
  <c r="X346" i="14" s="1"/>
  <c r="Z340" i="14"/>
  <c r="Z342" i="14" s="1"/>
  <c r="AD167" i="14"/>
  <c r="AD168" i="14" s="1"/>
  <c r="AD170" i="14" s="1"/>
  <c r="AD143" i="14"/>
  <c r="AD144" i="14" s="1"/>
  <c r="AD146" i="14" s="1"/>
  <c r="AD171" i="14"/>
  <c r="AD172" i="14" s="1"/>
  <c r="AD174" i="14" s="1"/>
  <c r="AD250" i="2"/>
  <c r="AD1673" i="8" s="1"/>
  <c r="AE328" i="14"/>
  <c r="AE75" i="17" s="1"/>
  <c r="AD151" i="14"/>
  <c r="AD152" i="14" s="1"/>
  <c r="AD154" i="14" s="1"/>
  <c r="AD139" i="14"/>
  <c r="AD140" i="14" s="1"/>
  <c r="AD142" i="14" s="1"/>
  <c r="AD131" i="14"/>
  <c r="AD132" i="14" s="1"/>
  <c r="AD134" i="14" s="1"/>
  <c r="AD155" i="14"/>
  <c r="AD156" i="14" s="1"/>
  <c r="AD158" i="14" s="1"/>
  <c r="AD135" i="14"/>
  <c r="AD136" i="14" s="1"/>
  <c r="AD138" i="14" s="1"/>
  <c r="AD183" i="14"/>
  <c r="AD184" i="14" s="1"/>
  <c r="AD186" i="14" s="1"/>
  <c r="AD163" i="14"/>
  <c r="AD164" i="14" s="1"/>
  <c r="AD166" i="14" s="1"/>
  <c r="AD179" i="14"/>
  <c r="AD180" i="14" s="1"/>
  <c r="AD182" i="14" s="1"/>
  <c r="AD125" i="14"/>
  <c r="AD128" i="14" s="1"/>
  <c r="AD130" i="14" s="1"/>
  <c r="AD147" i="14"/>
  <c r="AD148" i="14" s="1"/>
  <c r="AD150" i="14" s="1"/>
  <c r="AD175" i="14"/>
  <c r="AD176" i="14" s="1"/>
  <c r="AD178" i="14" s="1"/>
  <c r="AD197" i="14"/>
  <c r="AD159" i="14"/>
  <c r="AD160" i="14" s="1"/>
  <c r="AD162" i="14" s="1"/>
  <c r="AB165" i="14"/>
  <c r="AB149" i="14"/>
  <c r="AB141" i="14"/>
  <c r="AB169" i="14"/>
  <c r="AB177" i="14"/>
  <c r="AC180" i="14"/>
  <c r="AC182" i="14" s="1"/>
  <c r="AB129" i="14"/>
  <c r="AC335" i="14"/>
  <c r="AC337" i="14" s="1"/>
  <c r="P1719" i="8"/>
  <c r="P1696" i="8"/>
  <c r="P684" i="2"/>
  <c r="P1437" i="8"/>
  <c r="P685" i="2"/>
  <c r="P1448" i="8"/>
  <c r="O1721" i="8"/>
  <c r="O1698" i="8"/>
  <c r="O1573" i="8"/>
  <c r="O1595" i="8"/>
  <c r="Q1719" i="8"/>
  <c r="Q1696" i="8"/>
  <c r="Q684" i="2"/>
  <c r="Q1448" i="8"/>
  <c r="Q685" i="2"/>
  <c r="Q1437" i="8"/>
  <c r="AC132" i="14"/>
  <c r="AC134" i="14" s="1"/>
  <c r="AB185" i="14"/>
  <c r="AC164" i="14"/>
  <c r="AC166" i="14" s="1"/>
  <c r="AB153" i="14"/>
  <c r="AC128" i="14"/>
  <c r="AC130" i="14" s="1"/>
  <c r="AC160" i="14"/>
  <c r="AC162" i="14" s="1"/>
  <c r="AC144" i="14"/>
  <c r="AC146" i="14" s="1"/>
  <c r="AC152" i="14"/>
  <c r="AC154" i="14" s="1"/>
  <c r="AB133" i="14"/>
  <c r="AB173" i="14"/>
  <c r="AC176" i="14"/>
  <c r="AC178" i="14" s="1"/>
  <c r="AC1669" i="8"/>
  <c r="AC210" i="14"/>
  <c r="AC208" i="14"/>
  <c r="AC206" i="14"/>
  <c r="AC204" i="14"/>
  <c r="AC205" i="14"/>
  <c r="AC209" i="14"/>
  <c r="AC207" i="14"/>
  <c r="AC203" i="14"/>
  <c r="AC211" i="14"/>
  <c r="AC193" i="14"/>
  <c r="AC192" i="14"/>
  <c r="Q1544" i="8"/>
  <c r="Q78" i="12"/>
  <c r="AB191" i="14"/>
  <c r="P1526" i="8"/>
  <c r="P1718" i="8"/>
  <c r="AC172" i="14"/>
  <c r="AC174" i="14" s="1"/>
  <c r="AB336" i="14"/>
  <c r="AB338" i="14" s="1"/>
  <c r="AB339" i="14" s="1"/>
  <c r="AB341" i="14" s="1"/>
  <c r="AB145" i="14"/>
  <c r="U1580" i="8"/>
  <c r="U1686" i="8"/>
  <c r="AC148" i="14"/>
  <c r="AC150" i="14" s="1"/>
  <c r="P1595" i="8"/>
  <c r="P1721" i="8"/>
  <c r="P1698" i="8"/>
  <c r="P1573" i="8"/>
  <c r="AC156" i="14"/>
  <c r="AC158" i="14" s="1"/>
  <c r="O1719" i="8"/>
  <c r="O1696" i="8"/>
  <c r="O1448" i="8"/>
  <c r="O685" i="2"/>
  <c r="O684" i="2"/>
  <c r="O1437" i="8"/>
  <c r="AB161" i="14"/>
  <c r="AD1705" i="8"/>
  <c r="AD649" i="2"/>
  <c r="AD1677" i="8" s="1"/>
  <c r="AD332" i="14"/>
  <c r="AD1669" i="8"/>
  <c r="AD210" i="14"/>
  <c r="AD208" i="14"/>
  <c r="AD206" i="14"/>
  <c r="AD204" i="14"/>
  <c r="AD211" i="14"/>
  <c r="AD205" i="14"/>
  <c r="AD207" i="14"/>
  <c r="AD209" i="14"/>
  <c r="AD203" i="14"/>
  <c r="AD193" i="14"/>
  <c r="AD192" i="14"/>
  <c r="Q1588" i="8"/>
  <c r="Q1716" i="8"/>
  <c r="Q1690" i="8"/>
  <c r="Q1584" i="8"/>
  <c r="Q1592" i="8"/>
  <c r="AC136" i="14"/>
  <c r="AC138" i="14" s="1"/>
  <c r="Q1721" i="8"/>
  <c r="Q1698" i="8"/>
  <c r="Q1573" i="8"/>
  <c r="Q1595" i="8"/>
  <c r="AC199" i="14"/>
  <c r="AC200" i="14" s="1"/>
  <c r="AC1672" i="8"/>
  <c r="Q90" i="12"/>
  <c r="Q1545" i="8"/>
  <c r="AB137" i="14"/>
  <c r="AC184" i="14"/>
  <c r="AC186" i="14" s="1"/>
  <c r="AB157" i="14"/>
  <c r="Q1586" i="8"/>
  <c r="Q1714" i="8"/>
  <c r="Q1582" i="8"/>
  <c r="Q1688" i="8"/>
  <c r="Q1590" i="8"/>
  <c r="AC140" i="14"/>
  <c r="AC142" i="14" s="1"/>
  <c r="Q1543" i="8"/>
  <c r="Q66" i="12"/>
  <c r="T1578" i="8"/>
  <c r="T1684" i="8"/>
  <c r="T1581" i="8"/>
  <c r="T1687" i="8"/>
  <c r="U1579" i="8"/>
  <c r="U1685" i="8"/>
  <c r="Q1587" i="8"/>
  <c r="Q1715" i="8"/>
  <c r="Q1583" i="8"/>
  <c r="Q1689" i="8"/>
  <c r="Q1591" i="8"/>
  <c r="AC168" i="14"/>
  <c r="AC170" i="14" s="1"/>
  <c r="AB181" i="14"/>
  <c r="S1532" i="8"/>
  <c r="S1533" i="8" s="1"/>
  <c r="T1535" i="8"/>
  <c r="T1536" i="8" s="1"/>
  <c r="T15" i="12"/>
  <c r="D24" i="18" s="1"/>
  <c r="N38" i="18" s="1"/>
  <c r="P38" i="18" s="1"/>
  <c r="U27" i="12"/>
  <c r="W117" i="2"/>
  <c r="V21" i="12"/>
  <c r="V55" i="8"/>
  <c r="V56" i="8" s="1"/>
  <c r="X116" i="2"/>
  <c r="W20" i="12"/>
  <c r="W51" i="8"/>
  <c r="W52" i="8" s="1"/>
  <c r="W62" i="2"/>
  <c r="V14" i="12"/>
  <c r="V39" i="8"/>
  <c r="V40" i="8" s="1"/>
  <c r="AC137" i="13"/>
  <c r="AC139" i="13" s="1"/>
  <c r="AC1563" i="8" s="1"/>
  <c r="V58" i="2"/>
  <c r="U10" i="12"/>
  <c r="U23" i="8"/>
  <c r="U24" i="8" s="1"/>
  <c r="W180" i="2"/>
  <c r="V36" i="12"/>
  <c r="V103" i="8"/>
  <c r="V104" i="8" s="1"/>
  <c r="V60" i="2"/>
  <c r="U12" i="12"/>
  <c r="U31" i="8"/>
  <c r="U32" i="8" s="1"/>
  <c r="T1538" i="8"/>
  <c r="T1539" i="8" s="1"/>
  <c r="T1524" i="8"/>
  <c r="W120" i="2"/>
  <c r="V24" i="12"/>
  <c r="V67" i="8"/>
  <c r="V68" i="8" s="1"/>
  <c r="W55" i="2"/>
  <c r="V11" i="8"/>
  <c r="V12" i="8" s="1"/>
  <c r="V7" i="12"/>
  <c r="X122" i="2"/>
  <c r="W26" i="12"/>
  <c r="W75" i="8"/>
  <c r="W76" i="8" s="1"/>
  <c r="X121" i="2"/>
  <c r="W25" i="12"/>
  <c r="W71" i="8"/>
  <c r="W72" i="8" s="1"/>
  <c r="X182" i="2"/>
  <c r="W38" i="12"/>
  <c r="W111" i="8"/>
  <c r="W112" i="8" s="1"/>
  <c r="U39" i="12"/>
  <c r="U62" i="15" s="1"/>
  <c r="T51" i="12"/>
  <c r="T67" i="15" s="1"/>
  <c r="V236" i="2"/>
  <c r="U44" i="12"/>
  <c r="U123" i="8"/>
  <c r="U124" i="8" s="1"/>
  <c r="W177" i="2"/>
  <c r="V33" i="12"/>
  <c r="V91" i="8"/>
  <c r="V92" i="8" s="1"/>
  <c r="X178" i="2"/>
  <c r="W34" i="12"/>
  <c r="W95" i="8"/>
  <c r="W96" i="8" s="1"/>
  <c r="W56" i="2"/>
  <c r="V8" i="12"/>
  <c r="V15" i="8"/>
  <c r="V16" i="8" s="1"/>
  <c r="W174" i="2"/>
  <c r="V30" i="12"/>
  <c r="V79" i="8"/>
  <c r="V80" i="8" s="1"/>
  <c r="V183" i="2"/>
  <c r="V240" i="2"/>
  <c r="U139" i="8"/>
  <c r="U140" i="8" s="1"/>
  <c r="U48" i="12"/>
  <c r="V237" i="2"/>
  <c r="U45" i="12"/>
  <c r="U127" i="8"/>
  <c r="U128" i="8" s="1"/>
  <c r="X179" i="2"/>
  <c r="W35" i="12"/>
  <c r="W99" i="8"/>
  <c r="W100" i="8" s="1"/>
  <c r="V59" i="2"/>
  <c r="U11" i="12"/>
  <c r="U27" i="8"/>
  <c r="U28" i="8" s="1"/>
  <c r="W57" i="2"/>
  <c r="V9" i="12"/>
  <c r="V19" i="8"/>
  <c r="V20" i="8" s="1"/>
  <c r="W241" i="2"/>
  <c r="V49" i="12"/>
  <c r="V143" i="8"/>
  <c r="V144" i="8" s="1"/>
  <c r="V234" i="2"/>
  <c r="U42" i="12"/>
  <c r="U115" i="8"/>
  <c r="U116" i="8" s="1"/>
  <c r="U243" i="2"/>
  <c r="V242" i="2"/>
  <c r="U50" i="12"/>
  <c r="U147" i="8"/>
  <c r="U148" i="8" s="1"/>
  <c r="X119" i="2"/>
  <c r="W23" i="12"/>
  <c r="W63" i="8"/>
  <c r="W64" i="8" s="1"/>
  <c r="V54" i="2"/>
  <c r="U6" i="12"/>
  <c r="U7" i="8"/>
  <c r="U8" i="8" s="1"/>
  <c r="U63" i="2"/>
  <c r="W114" i="2"/>
  <c r="V18" i="12"/>
  <c r="V43" i="8"/>
  <c r="V44" i="8" s="1"/>
  <c r="V123" i="2"/>
  <c r="X118" i="2"/>
  <c r="W22" i="12"/>
  <c r="W59" i="8"/>
  <c r="W60" i="8" s="1"/>
  <c r="S1525" i="8"/>
  <c r="S1541" i="8"/>
  <c r="S1542" i="8" s="1"/>
  <c r="V61" i="2"/>
  <c r="U13" i="12"/>
  <c r="U35" i="8"/>
  <c r="U36" i="8" s="1"/>
  <c r="W176" i="2"/>
  <c r="V32" i="12"/>
  <c r="V87" i="8"/>
  <c r="V88" i="8" s="1"/>
  <c r="V235" i="2"/>
  <c r="U43" i="12"/>
  <c r="U119" i="8"/>
  <c r="U120" i="8" s="1"/>
  <c r="W175" i="2"/>
  <c r="V31" i="12"/>
  <c r="V83" i="8"/>
  <c r="V84" i="8" s="1"/>
  <c r="V239" i="2"/>
  <c r="U47" i="12"/>
  <c r="U135" i="8"/>
  <c r="U136" i="8" s="1"/>
  <c r="W181" i="2"/>
  <c r="V37" i="12"/>
  <c r="V107" i="8"/>
  <c r="V108" i="8" s="1"/>
  <c r="W115" i="2"/>
  <c r="V19" i="12"/>
  <c r="V47" i="8"/>
  <c r="V48" i="8" s="1"/>
  <c r="V238" i="2"/>
  <c r="U46" i="12"/>
  <c r="U131" i="8"/>
  <c r="U132" i="8" s="1"/>
  <c r="AC1431" i="8"/>
  <c r="AC1432" i="8"/>
  <c r="AC980" i="8"/>
  <c r="AC981" i="8" s="1"/>
  <c r="F1467" i="8"/>
  <c r="AD339" i="2"/>
  <c r="AD361" i="2" s="1"/>
  <c r="AD372" i="2"/>
  <c r="F1470" i="8"/>
  <c r="AE307" i="2"/>
  <c r="AC1434" i="8"/>
  <c r="AC328" i="2"/>
  <c r="AE396" i="2"/>
  <c r="AE964" i="8" s="1"/>
  <c r="AE965" i="8" s="1"/>
  <c r="F965" i="8" s="1"/>
  <c r="F877" i="8"/>
  <c r="AB285" i="2"/>
  <c r="AB286" i="2"/>
  <c r="AE296" i="2"/>
  <c r="AA1466" i="8"/>
  <c r="AE398" i="2"/>
  <c r="AE382" i="2"/>
  <c r="AD400" i="2"/>
  <c r="AB1433" i="8"/>
  <c r="AB1445" i="8"/>
  <c r="AE840" i="8"/>
  <c r="AE841" i="8" s="1"/>
  <c r="F841" i="8" s="1"/>
  <c r="AE960" i="8"/>
  <c r="AE961" i="8" s="1"/>
  <c r="F961" i="8" s="1"/>
  <c r="AE378" i="2"/>
  <c r="AD860" i="8"/>
  <c r="AD861" i="8" s="1"/>
  <c r="AD381" i="2"/>
  <c r="AC920" i="8"/>
  <c r="AC921" i="8" s="1"/>
  <c r="AC380" i="2"/>
  <c r="AC70" i="17" s="1"/>
  <c r="AE385" i="2"/>
  <c r="AE924" i="8" s="1"/>
  <c r="AE925" i="8" s="1"/>
  <c r="F925" i="8" s="1"/>
  <c r="AD390" i="2"/>
  <c r="AD69" i="17" s="1"/>
  <c r="AD84" i="17" s="1"/>
  <c r="AE374" i="2"/>
  <c r="AD900" i="8"/>
  <c r="AD901" i="8" s="1"/>
  <c r="AD379" i="2"/>
  <c r="AE389" i="2"/>
  <c r="AE940" i="8" s="1"/>
  <c r="AE941" i="8" s="1"/>
  <c r="F941" i="8" s="1"/>
  <c r="AE371" i="2"/>
  <c r="AE896" i="8" s="1"/>
  <c r="AE897" i="8" s="1"/>
  <c r="F897" i="8" s="1"/>
  <c r="AE360" i="2"/>
  <c r="Q38" i="18" l="1"/>
  <c r="Q41" i="18" s="1"/>
  <c r="D44" i="18" s="1"/>
  <c r="R38" i="18"/>
  <c r="R41" i="18" s="1"/>
  <c r="D45" i="18" s="1"/>
  <c r="D66" i="18" s="1"/>
  <c r="C86" i="18" s="1"/>
  <c r="C87" i="18" s="1"/>
  <c r="P60" i="17"/>
  <c r="P61" i="17" s="1"/>
  <c r="P65" i="17" s="1"/>
  <c r="S59" i="17"/>
  <c r="N1868" i="8"/>
  <c r="N85" i="17"/>
  <c r="N1867" i="8"/>
  <c r="N1865" i="8"/>
  <c r="R63" i="17"/>
  <c r="R64" i="17" s="1"/>
  <c r="R25" i="15"/>
  <c r="R1837" i="8" s="1"/>
  <c r="R1834" i="8"/>
  <c r="O93" i="17"/>
  <c r="O82" i="17"/>
  <c r="P1469" i="8"/>
  <c r="P87" i="17"/>
  <c r="S18" i="15"/>
  <c r="S19" i="15" s="1"/>
  <c r="S25" i="15" s="1"/>
  <c r="O1469" i="8"/>
  <c r="O87" i="17"/>
  <c r="Q1469" i="8"/>
  <c r="Q87" i="17"/>
  <c r="P35" i="15"/>
  <c r="P36" i="15" s="1"/>
  <c r="O43" i="15"/>
  <c r="O67" i="17" s="1"/>
  <c r="O68" i="17" s="1"/>
  <c r="O81" i="17" s="1"/>
  <c r="O1844" i="8"/>
  <c r="O1840" i="8"/>
  <c r="AE900" i="8"/>
  <c r="AE901" i="8" s="1"/>
  <c r="F901" i="8" s="1"/>
  <c r="AE66" i="15"/>
  <c r="U64" i="15"/>
  <c r="U63" i="15"/>
  <c r="U1849" i="8" s="1"/>
  <c r="AC24" i="15"/>
  <c r="AC1836" i="8"/>
  <c r="Q1528" i="8"/>
  <c r="Q86" i="15"/>
  <c r="AD944" i="8"/>
  <c r="AD22" i="15"/>
  <c r="P82" i="15"/>
  <c r="P1852" i="8" s="1"/>
  <c r="P83" i="15"/>
  <c r="T59" i="15"/>
  <c r="T58" i="15"/>
  <c r="T1848" i="8" s="1"/>
  <c r="Q1527" i="8"/>
  <c r="Q81" i="15"/>
  <c r="P77" i="15"/>
  <c r="P1851" i="8" s="1"/>
  <c r="P78" i="15"/>
  <c r="Q93" i="15"/>
  <c r="Q92" i="15"/>
  <c r="Q1854" i="8" s="1"/>
  <c r="O45" i="15"/>
  <c r="T68" i="15"/>
  <c r="T1850" i="8" s="1"/>
  <c r="T69" i="15"/>
  <c r="Q1838" i="8"/>
  <c r="Q27" i="15"/>
  <c r="Q1835" i="8" s="1"/>
  <c r="Q76" i="15"/>
  <c r="Q34" i="15"/>
  <c r="AE916" i="8"/>
  <c r="AE917" i="8" s="1"/>
  <c r="F917" i="8" s="1"/>
  <c r="AE56" i="15"/>
  <c r="S54" i="15"/>
  <c r="S53" i="15"/>
  <c r="S1847" i="8" s="1"/>
  <c r="U1523" i="8"/>
  <c r="U57" i="15"/>
  <c r="T1522" i="8"/>
  <c r="T52" i="15"/>
  <c r="T17" i="15"/>
  <c r="P88" i="15"/>
  <c r="P87" i="15"/>
  <c r="P1853" i="8" s="1"/>
  <c r="U348" i="14"/>
  <c r="U350" i="14" s="1"/>
  <c r="AA343" i="14"/>
  <c r="AA345" i="14" s="1"/>
  <c r="X347" i="14"/>
  <c r="X349" i="14" s="1"/>
  <c r="Z343" i="14"/>
  <c r="Z345" i="14" s="1"/>
  <c r="W351" i="14"/>
  <c r="W353" i="14" s="1"/>
  <c r="R348" i="14"/>
  <c r="R350" i="14" s="1"/>
  <c r="T351" i="14"/>
  <c r="T353" i="14" s="1"/>
  <c r="V348" i="14"/>
  <c r="V350" i="14" s="1"/>
  <c r="S348" i="14"/>
  <c r="S350" i="14" s="1"/>
  <c r="Y344" i="14"/>
  <c r="Y346" i="14" s="1"/>
  <c r="AB340" i="14"/>
  <c r="AB342" i="14" s="1"/>
  <c r="AD191" i="14"/>
  <c r="AD198" i="14" s="1"/>
  <c r="AD161" i="14"/>
  <c r="AC141" i="14"/>
  <c r="AD165" i="14"/>
  <c r="AC129" i="14"/>
  <c r="AC336" i="14"/>
  <c r="AC338" i="14" s="1"/>
  <c r="AC339" i="14" s="1"/>
  <c r="AC341" i="14" s="1"/>
  <c r="AD137" i="14"/>
  <c r="AD145" i="14"/>
  <c r="AD181" i="14"/>
  <c r="AC191" i="14"/>
  <c r="AC194" i="14" s="1"/>
  <c r="AC196" i="14" s="1"/>
  <c r="AC137" i="14"/>
  <c r="AC161" i="14"/>
  <c r="AC165" i="14"/>
  <c r="AC185" i="14"/>
  <c r="U1578" i="8"/>
  <c r="U1684" i="8"/>
  <c r="AC153" i="14"/>
  <c r="AC145" i="14"/>
  <c r="Q1526" i="8"/>
  <c r="Q1718" i="8"/>
  <c r="AD173" i="14"/>
  <c r="AE1705" i="8"/>
  <c r="F1705" i="8" s="1"/>
  <c r="AE649" i="2"/>
  <c r="AE1677" i="8" s="1"/>
  <c r="F1677" i="8" s="1"/>
  <c r="AE332" i="14"/>
  <c r="AC181" i="14"/>
  <c r="AD199" i="14"/>
  <c r="AD200" i="14" s="1"/>
  <c r="AD1672" i="8"/>
  <c r="AD129" i="14"/>
  <c r="V1580" i="8"/>
  <c r="V1686" i="8"/>
  <c r="AC169" i="14"/>
  <c r="AD157" i="14"/>
  <c r="AD153" i="14"/>
  <c r="AC149" i="14"/>
  <c r="AC173" i="14"/>
  <c r="AD133" i="14"/>
  <c r="AD335" i="14"/>
  <c r="AD337" i="14" s="1"/>
  <c r="AC157" i="14"/>
  <c r="V1579" i="8"/>
  <c r="V1685" i="8"/>
  <c r="AB198" i="14"/>
  <c r="AB1671" i="8"/>
  <c r="AB194" i="14"/>
  <c r="AC177" i="14"/>
  <c r="AD177" i="14"/>
  <c r="AD185" i="14"/>
  <c r="AC133" i="14"/>
  <c r="AD169" i="14"/>
  <c r="U1581" i="8"/>
  <c r="U1687" i="8"/>
  <c r="AD141" i="14"/>
  <c r="AE250" i="2"/>
  <c r="AE1673" i="8" s="1"/>
  <c r="F1673" i="8" s="1"/>
  <c r="AE183" i="14"/>
  <c r="AE155" i="14"/>
  <c r="AE171" i="14"/>
  <c r="AE143" i="14"/>
  <c r="AE187" i="14"/>
  <c r="AE190" i="14" s="1"/>
  <c r="AE197" i="14" s="1"/>
  <c r="AE163" i="14"/>
  <c r="AE135" i="14"/>
  <c r="AE125" i="14"/>
  <c r="AE159" i="14"/>
  <c r="AE179" i="14"/>
  <c r="AE167" i="14"/>
  <c r="AE139" i="14"/>
  <c r="AE147" i="14"/>
  <c r="AE131" i="14"/>
  <c r="AE151" i="14"/>
  <c r="AE175" i="14"/>
  <c r="AD149" i="14"/>
  <c r="U1535" i="8"/>
  <c r="U1536" i="8" s="1"/>
  <c r="T1532" i="8"/>
  <c r="T1533" i="8" s="1"/>
  <c r="U51" i="12"/>
  <c r="V27" i="12"/>
  <c r="U15" i="12"/>
  <c r="X181" i="2"/>
  <c r="W37" i="12"/>
  <c r="W107" i="8"/>
  <c r="W108" i="8" s="1"/>
  <c r="Y179" i="2"/>
  <c r="X35" i="12"/>
  <c r="X99" i="8"/>
  <c r="X100" i="8" s="1"/>
  <c r="Y122" i="2"/>
  <c r="X26" i="12"/>
  <c r="X75" i="8"/>
  <c r="X76" i="8" s="1"/>
  <c r="X120" i="2"/>
  <c r="W24" i="12"/>
  <c r="W67" i="8"/>
  <c r="W68" i="8" s="1"/>
  <c r="X117" i="2"/>
  <c r="W21" i="12"/>
  <c r="W55" i="8"/>
  <c r="W56" i="8" s="1"/>
  <c r="W240" i="2"/>
  <c r="V48" i="12"/>
  <c r="V139" i="8"/>
  <c r="V140" i="8" s="1"/>
  <c r="Y178" i="2"/>
  <c r="X34" i="12"/>
  <c r="X95" i="8"/>
  <c r="X96" i="8" s="1"/>
  <c r="W236" i="2"/>
  <c r="V44" i="12"/>
  <c r="V123" i="8"/>
  <c r="V124" i="8" s="1"/>
  <c r="Y116" i="2"/>
  <c r="X20" i="12"/>
  <c r="X51" i="8"/>
  <c r="X52" i="8" s="1"/>
  <c r="AD137" i="13"/>
  <c r="AD139" i="13" s="1"/>
  <c r="AD1563" i="8" s="1"/>
  <c r="W235" i="2"/>
  <c r="V43" i="12"/>
  <c r="V119" i="8"/>
  <c r="V120" i="8" s="1"/>
  <c r="Y119" i="2"/>
  <c r="X23" i="12"/>
  <c r="X63" i="8"/>
  <c r="X64" i="8" s="1"/>
  <c r="T1525" i="8"/>
  <c r="T1541" i="8"/>
  <c r="T1542" i="8" s="1"/>
  <c r="W58" i="2"/>
  <c r="V10" i="12"/>
  <c r="V23" i="8"/>
  <c r="V24" i="8" s="1"/>
  <c r="X177" i="2"/>
  <c r="W33" i="12"/>
  <c r="W91" i="8"/>
  <c r="W92" i="8" s="1"/>
  <c r="Y118" i="2"/>
  <c r="X22" i="12"/>
  <c r="X59" i="8"/>
  <c r="X60" i="8" s="1"/>
  <c r="X241" i="2"/>
  <c r="W49" i="12"/>
  <c r="W143" i="8"/>
  <c r="W144" i="8" s="1"/>
  <c r="V39" i="12"/>
  <c r="V62" i="15" s="1"/>
  <c r="X176" i="2"/>
  <c r="W32" i="12"/>
  <c r="W87" i="8"/>
  <c r="W88" i="8" s="1"/>
  <c r="X174" i="2"/>
  <c r="W30" i="12"/>
  <c r="W79" i="8"/>
  <c r="W80" i="8" s="1"/>
  <c r="W183" i="2"/>
  <c r="X55" i="2"/>
  <c r="W7" i="12"/>
  <c r="W11" i="8"/>
  <c r="W12" i="8" s="1"/>
  <c r="W60" i="2"/>
  <c r="V12" i="12"/>
  <c r="V31" i="8"/>
  <c r="V32" i="8" s="1"/>
  <c r="X62" i="2"/>
  <c r="W14" i="12"/>
  <c r="W39" i="8"/>
  <c r="W40" i="8" s="1"/>
  <c r="W242" i="2"/>
  <c r="V50" i="12"/>
  <c r="V147" i="8"/>
  <c r="V148" i="8" s="1"/>
  <c r="Y121" i="2"/>
  <c r="X25" i="12"/>
  <c r="X71" i="8"/>
  <c r="X72" i="8" s="1"/>
  <c r="X114" i="2"/>
  <c r="W18" i="12"/>
  <c r="W43" i="8"/>
  <c r="W44" i="8" s="1"/>
  <c r="W123" i="2"/>
  <c r="X57" i="2"/>
  <c r="W9" i="12"/>
  <c r="W19" i="8"/>
  <c r="W20" i="8" s="1"/>
  <c r="U1524" i="8"/>
  <c r="U1538" i="8"/>
  <c r="U1539" i="8" s="1"/>
  <c r="W238" i="2"/>
  <c r="V46" i="12"/>
  <c r="V131" i="8"/>
  <c r="V132" i="8" s="1"/>
  <c r="W239" i="2"/>
  <c r="V47" i="12"/>
  <c r="V135" i="8"/>
  <c r="V136" i="8" s="1"/>
  <c r="W234" i="2"/>
  <c r="V42" i="12"/>
  <c r="V115" i="8"/>
  <c r="V116" i="8" s="1"/>
  <c r="V243" i="2"/>
  <c r="W59" i="2"/>
  <c r="V11" i="12"/>
  <c r="V27" i="8"/>
  <c r="V28" i="8" s="1"/>
  <c r="X180" i="2"/>
  <c r="W36" i="12"/>
  <c r="W103" i="8"/>
  <c r="W104" i="8" s="1"/>
  <c r="W61" i="2"/>
  <c r="V13" i="12"/>
  <c r="V35" i="8"/>
  <c r="V36" i="8" s="1"/>
  <c r="W237" i="2"/>
  <c r="V45" i="12"/>
  <c r="V127" i="8"/>
  <c r="V128" i="8" s="1"/>
  <c r="Y182" i="2"/>
  <c r="X38" i="12"/>
  <c r="X111" i="8"/>
  <c r="X112" i="8" s="1"/>
  <c r="X115" i="2"/>
  <c r="W19" i="12"/>
  <c r="W47" i="8"/>
  <c r="W48" i="8" s="1"/>
  <c r="X175" i="2"/>
  <c r="W31" i="12"/>
  <c r="W83" i="8"/>
  <c r="W84" i="8" s="1"/>
  <c r="W54" i="2"/>
  <c r="V6" i="12"/>
  <c r="V7" i="8"/>
  <c r="V8" i="8" s="1"/>
  <c r="V63" i="2"/>
  <c r="X56" i="2"/>
  <c r="W8" i="12"/>
  <c r="W15" i="8"/>
  <c r="W16" i="8" s="1"/>
  <c r="AE400" i="2"/>
  <c r="AE339" i="2"/>
  <c r="AE372" i="2"/>
  <c r="AD1434" i="8"/>
  <c r="AD328" i="2"/>
  <c r="AE972" i="8"/>
  <c r="AE973" i="8" s="1"/>
  <c r="F973" i="8" s="1"/>
  <c r="AC285" i="2"/>
  <c r="AC286" i="2"/>
  <c r="AC1466" i="8" s="1"/>
  <c r="AD1431" i="8"/>
  <c r="AB1466" i="8"/>
  <c r="AD980" i="8"/>
  <c r="AD981" i="8" s="1"/>
  <c r="AD1432" i="8"/>
  <c r="AC1433" i="8"/>
  <c r="AC1445" i="8"/>
  <c r="AD920" i="8"/>
  <c r="AD921" i="8" s="1"/>
  <c r="AD380" i="2"/>
  <c r="AD70" i="17" s="1"/>
  <c r="AE379" i="2"/>
  <c r="AE860" i="8"/>
  <c r="AE861" i="8" s="1"/>
  <c r="F861" i="8" s="1"/>
  <c r="AE381" i="2"/>
  <c r="AE390" i="2"/>
  <c r="AE69" i="17" s="1"/>
  <c r="AE84" i="17" s="1"/>
  <c r="D48" i="18" l="1"/>
  <c r="O94" i="17"/>
  <c r="O95" i="17" s="1"/>
  <c r="O1866" i="8"/>
  <c r="O91" i="17"/>
  <c r="O92" i="17" s="1"/>
  <c r="O96" i="17" s="1"/>
  <c r="Q60" i="17"/>
  <c r="Q61" i="17" s="1"/>
  <c r="Q65" i="17" s="1"/>
  <c r="T59" i="17"/>
  <c r="S28" i="15"/>
  <c r="S63" i="17"/>
  <c r="S64" i="17" s="1"/>
  <c r="S1834" i="8"/>
  <c r="R26" i="15"/>
  <c r="R66" i="17" s="1"/>
  <c r="P82" i="17"/>
  <c r="P93" i="17"/>
  <c r="O83" i="17"/>
  <c r="O1841" i="8"/>
  <c r="O44" i="15"/>
  <c r="O1855" i="8" s="1"/>
  <c r="Q35" i="15"/>
  <c r="Q36" i="15" s="1"/>
  <c r="T18" i="15"/>
  <c r="T19" i="15" s="1"/>
  <c r="P45" i="15"/>
  <c r="P42" i="15"/>
  <c r="T54" i="15"/>
  <c r="T53" i="15"/>
  <c r="T1847" i="8" s="1"/>
  <c r="Q87" i="15"/>
  <c r="Q1853" i="8" s="1"/>
  <c r="Q88" i="15"/>
  <c r="AE944" i="8"/>
  <c r="AE22" i="15"/>
  <c r="Q82" i="15"/>
  <c r="Q1852" i="8" s="1"/>
  <c r="Q83" i="15"/>
  <c r="U59" i="15"/>
  <c r="U58" i="15"/>
  <c r="U1848" i="8" s="1"/>
  <c r="Q77" i="15"/>
  <c r="Q1851" i="8" s="1"/>
  <c r="Q78" i="15"/>
  <c r="V64" i="15"/>
  <c r="V63" i="15"/>
  <c r="V1849" i="8" s="1"/>
  <c r="U1522" i="8"/>
  <c r="U52" i="15"/>
  <c r="U17" i="15"/>
  <c r="AD24" i="15"/>
  <c r="AD1836" i="8"/>
  <c r="V1535" i="8"/>
  <c r="V1536" i="8" s="1"/>
  <c r="V57" i="15"/>
  <c r="U1541" i="8"/>
  <c r="U1542" i="8" s="1"/>
  <c r="U67" i="15"/>
  <c r="S1837" i="8"/>
  <c r="S26" i="15"/>
  <c r="S66" i="17" s="1"/>
  <c r="AD194" i="14"/>
  <c r="AD195" i="14" s="1"/>
  <c r="AD1670" i="8" s="1"/>
  <c r="AC340" i="14"/>
  <c r="AC342" i="14" s="1"/>
  <c r="Y347" i="14"/>
  <c r="Y349" i="14" s="1"/>
  <c r="U351" i="14"/>
  <c r="U353" i="14" s="1"/>
  <c r="T352" i="14"/>
  <c r="T354" i="14" s="1"/>
  <c r="W352" i="14"/>
  <c r="W354" i="14" s="1"/>
  <c r="S351" i="14"/>
  <c r="S353" i="14" s="1"/>
  <c r="AD1671" i="8"/>
  <c r="Z344" i="14"/>
  <c r="Z346" i="14" s="1"/>
  <c r="X348" i="14"/>
  <c r="X350" i="14" s="1"/>
  <c r="R351" i="14"/>
  <c r="R353" i="14" s="1"/>
  <c r="V351" i="14"/>
  <c r="V353" i="14" s="1"/>
  <c r="AB343" i="14"/>
  <c r="AB345" i="14" s="1"/>
  <c r="AA344" i="14"/>
  <c r="AA346" i="14" s="1"/>
  <c r="AC195" i="14"/>
  <c r="AC1670" i="8" s="1"/>
  <c r="AC1671" i="8"/>
  <c r="AC198" i="14"/>
  <c r="AE168" i="14"/>
  <c r="AE170" i="14" s="1"/>
  <c r="AD336" i="14"/>
  <c r="AD338" i="14" s="1"/>
  <c r="V1581" i="8"/>
  <c r="V1687" i="8"/>
  <c r="AE148" i="14"/>
  <c r="AE150" i="14" s="1"/>
  <c r="AE180" i="14"/>
  <c r="AE182" i="14" s="1"/>
  <c r="AE160" i="14"/>
  <c r="AE162" i="14" s="1"/>
  <c r="AE128" i="14"/>
  <c r="AE130" i="14" s="1"/>
  <c r="V1578" i="8"/>
  <c r="V1684" i="8"/>
  <c r="AE199" i="14"/>
  <c r="AE200" i="14" s="1"/>
  <c r="AE1672" i="8"/>
  <c r="F1672" i="8" s="1"/>
  <c r="AE140" i="14"/>
  <c r="AE142" i="14" s="1"/>
  <c r="AE136" i="14"/>
  <c r="AE138" i="14" s="1"/>
  <c r="AE164" i="14"/>
  <c r="AE166" i="14" s="1"/>
  <c r="AE335" i="14"/>
  <c r="AE337" i="14" s="1"/>
  <c r="AE1669" i="8"/>
  <c r="F1669" i="8" s="1"/>
  <c r="AE210" i="14"/>
  <c r="AE208" i="14"/>
  <c r="AE206" i="14"/>
  <c r="AE204" i="14"/>
  <c r="AE211" i="14"/>
  <c r="AE209" i="14"/>
  <c r="AE207" i="14"/>
  <c r="AE205" i="14"/>
  <c r="AE203" i="14"/>
  <c r="AE193" i="14"/>
  <c r="AE192" i="14"/>
  <c r="AE176" i="14"/>
  <c r="AE178" i="14" s="1"/>
  <c r="AE144" i="14"/>
  <c r="AE146" i="14" s="1"/>
  <c r="W1580" i="8"/>
  <c r="W1686" i="8"/>
  <c r="AE172" i="14"/>
  <c r="AE174" i="14" s="1"/>
  <c r="AE152" i="14"/>
  <c r="AE154" i="14" s="1"/>
  <c r="AE156" i="14"/>
  <c r="AE158" i="14" s="1"/>
  <c r="W1579" i="8"/>
  <c r="W1685" i="8"/>
  <c r="AE132" i="14"/>
  <c r="AE134" i="14" s="1"/>
  <c r="AE184" i="14"/>
  <c r="AE186" i="14" s="1"/>
  <c r="AB195" i="14"/>
  <c r="AB1670" i="8" s="1"/>
  <c r="AB196" i="14"/>
  <c r="U1525" i="8"/>
  <c r="U1532" i="8"/>
  <c r="U1533" i="8" s="1"/>
  <c r="V1523" i="8"/>
  <c r="W27" i="12"/>
  <c r="V15" i="12"/>
  <c r="Y114" i="2"/>
  <c r="X18" i="12"/>
  <c r="X43" i="8"/>
  <c r="X44" i="8" s="1"/>
  <c r="X123" i="2"/>
  <c r="Y177" i="2"/>
  <c r="X33" i="12"/>
  <c r="X91" i="8"/>
  <c r="X92" i="8" s="1"/>
  <c r="V51" i="12"/>
  <c r="V67" i="15" s="1"/>
  <c r="Z182" i="2"/>
  <c r="Y38" i="12"/>
  <c r="Y111" i="8"/>
  <c r="Y112" i="8" s="1"/>
  <c r="Y115" i="2"/>
  <c r="X19" i="12"/>
  <c r="X47" i="8"/>
  <c r="X48" i="8" s="1"/>
  <c r="Z122" i="2"/>
  <c r="Y26" i="12"/>
  <c r="Y75" i="8"/>
  <c r="Y76" i="8" s="1"/>
  <c r="X234" i="2"/>
  <c r="W42" i="12"/>
  <c r="W115" i="8"/>
  <c r="W116" i="8" s="1"/>
  <c r="W243" i="2"/>
  <c r="Y241" i="2"/>
  <c r="X49" i="12"/>
  <c r="X143" i="8"/>
  <c r="X144" i="8" s="1"/>
  <c r="Z116" i="2"/>
  <c r="Y20" i="12"/>
  <c r="Y51" i="8"/>
  <c r="Y52" i="8" s="1"/>
  <c r="X240" i="2"/>
  <c r="W139" i="8"/>
  <c r="W140" i="8" s="1"/>
  <c r="W48" i="12"/>
  <c r="Z179" i="2"/>
  <c r="Y35" i="12"/>
  <c r="Y99" i="8"/>
  <c r="Y100" i="8" s="1"/>
  <c r="X61" i="2"/>
  <c r="W13" i="12"/>
  <c r="W35" i="8"/>
  <c r="W36" i="8" s="1"/>
  <c r="X60" i="2"/>
  <c r="W12" i="12"/>
  <c r="W31" i="8"/>
  <c r="W32" i="8" s="1"/>
  <c r="X239" i="2"/>
  <c r="W47" i="12"/>
  <c r="W135" i="8"/>
  <c r="W136" i="8" s="1"/>
  <c r="Y176" i="2"/>
  <c r="X32" i="12"/>
  <c r="X87" i="8"/>
  <c r="X88" i="8" s="1"/>
  <c r="Z119" i="2"/>
  <c r="Y23" i="12"/>
  <c r="Y63" i="8"/>
  <c r="Y64" i="8" s="1"/>
  <c r="Y181" i="2"/>
  <c r="X37" i="12"/>
  <c r="X107" i="8"/>
  <c r="X108" i="8" s="1"/>
  <c r="Z121" i="2"/>
  <c r="Y25" i="12"/>
  <c r="Y71" i="8"/>
  <c r="Y72" i="8" s="1"/>
  <c r="Y180" i="2"/>
  <c r="X36" i="12"/>
  <c r="X103" i="8"/>
  <c r="X104" i="8" s="1"/>
  <c r="Y55" i="2"/>
  <c r="X7" i="12"/>
  <c r="X11" i="8"/>
  <c r="X12" i="8" s="1"/>
  <c r="V1524" i="8"/>
  <c r="V1538" i="8"/>
  <c r="V1539" i="8" s="1"/>
  <c r="Y174" i="2"/>
  <c r="X30" i="12"/>
  <c r="X79" i="8"/>
  <c r="X80" i="8" s="1"/>
  <c r="X183" i="2"/>
  <c r="X54" i="2"/>
  <c r="W6" i="12"/>
  <c r="W7" i="8"/>
  <c r="W8" i="8" s="1"/>
  <c r="W63" i="2"/>
  <c r="X242" i="2"/>
  <c r="W50" i="12"/>
  <c r="W147" i="8"/>
  <c r="W148" i="8" s="1"/>
  <c r="Y117" i="2"/>
  <c r="X21" i="12"/>
  <c r="X55" i="8"/>
  <c r="X56" i="8" s="1"/>
  <c r="Z178" i="2"/>
  <c r="Y34" i="12"/>
  <c r="Y95" i="8"/>
  <c r="Y96" i="8" s="1"/>
  <c r="X58" i="2"/>
  <c r="W10" i="12"/>
  <c r="W23" i="8"/>
  <c r="W24" i="8" s="1"/>
  <c r="AE980" i="8"/>
  <c r="AE981" i="8" s="1"/>
  <c r="F981" i="8" s="1"/>
  <c r="AE137" i="13"/>
  <c r="AE139" i="13" s="1"/>
  <c r="AE1563" i="8" s="1"/>
  <c r="F1563" i="8" s="1"/>
  <c r="Y56" i="2"/>
  <c r="X8" i="12"/>
  <c r="X15" i="8"/>
  <c r="X16" i="8" s="1"/>
  <c r="X237" i="2"/>
  <c r="W45" i="12"/>
  <c r="W127" i="8"/>
  <c r="W128" i="8" s="1"/>
  <c r="X238" i="2"/>
  <c r="W46" i="12"/>
  <c r="W131" i="8"/>
  <c r="W132" i="8" s="1"/>
  <c r="Y175" i="2"/>
  <c r="X31" i="12"/>
  <c r="X83" i="8"/>
  <c r="X84" i="8" s="1"/>
  <c r="Y62" i="2"/>
  <c r="X14" i="12"/>
  <c r="X39" i="8"/>
  <c r="X40" i="8" s="1"/>
  <c r="X236" i="2"/>
  <c r="W44" i="12"/>
  <c r="W123" i="8"/>
  <c r="W124" i="8" s="1"/>
  <c r="Y120" i="2"/>
  <c r="X24" i="12"/>
  <c r="X67" i="8"/>
  <c r="X68" i="8" s="1"/>
  <c r="Y57" i="2"/>
  <c r="X9" i="12"/>
  <c r="X19" i="8"/>
  <c r="X20" i="8" s="1"/>
  <c r="X235" i="2"/>
  <c r="W43" i="12"/>
  <c r="W119" i="8"/>
  <c r="W120" i="8" s="1"/>
  <c r="X59" i="2"/>
  <c r="W11" i="12"/>
  <c r="W27" i="8"/>
  <c r="W28" i="8" s="1"/>
  <c r="W39" i="12"/>
  <c r="W62" i="15" s="1"/>
  <c r="Z118" i="2"/>
  <c r="Y22" i="12"/>
  <c r="Y59" i="8"/>
  <c r="Y60" i="8" s="1"/>
  <c r="AE1431" i="8"/>
  <c r="F1431" i="8" s="1"/>
  <c r="AE1432" i="8"/>
  <c r="F1432" i="8" s="1"/>
  <c r="AE361" i="2"/>
  <c r="F1513" i="8" s="1"/>
  <c r="F1514" i="8"/>
  <c r="F1512" i="8"/>
  <c r="AE1434" i="8"/>
  <c r="F1434" i="8" s="1"/>
  <c r="AE328" i="2"/>
  <c r="AD286" i="2"/>
  <c r="AD285" i="2"/>
  <c r="AD1433" i="8"/>
  <c r="AD1445" i="8"/>
  <c r="AE920" i="8"/>
  <c r="AE921" i="8" s="1"/>
  <c r="F921" i="8" s="1"/>
  <c r="AE380" i="2"/>
  <c r="P1866" i="8" l="1"/>
  <c r="P91" i="17"/>
  <c r="P92" i="17" s="1"/>
  <c r="P94" i="17"/>
  <c r="P95" i="17" s="1"/>
  <c r="U59" i="17"/>
  <c r="O1868" i="8"/>
  <c r="O85" i="17"/>
  <c r="O1867" i="8"/>
  <c r="O1865" i="8"/>
  <c r="T63" i="17"/>
  <c r="T64" i="17" s="1"/>
  <c r="R27" i="15"/>
  <c r="R1835" i="8" s="1"/>
  <c r="R1838" i="8"/>
  <c r="Q82" i="17"/>
  <c r="Q93" i="17"/>
  <c r="F1498" i="8"/>
  <c r="AE70" i="17"/>
  <c r="U18" i="15"/>
  <c r="U19" i="15" s="1"/>
  <c r="Q45" i="15"/>
  <c r="Q42" i="15"/>
  <c r="P1844" i="8"/>
  <c r="P1840" i="8"/>
  <c r="P43" i="15"/>
  <c r="P67" i="17" s="1"/>
  <c r="P68" i="17" s="1"/>
  <c r="P81" i="17" s="1"/>
  <c r="P83" i="17" s="1"/>
  <c r="V69" i="15"/>
  <c r="V68" i="15"/>
  <c r="V1850" i="8" s="1"/>
  <c r="T1834" i="8"/>
  <c r="T28" i="15"/>
  <c r="T25" i="15"/>
  <c r="S1838" i="8"/>
  <c r="S27" i="15"/>
  <c r="S1835" i="8" s="1"/>
  <c r="U54" i="15"/>
  <c r="U53" i="15"/>
  <c r="U1847" i="8" s="1"/>
  <c r="W64" i="15"/>
  <c r="W63" i="15"/>
  <c r="W1849" i="8" s="1"/>
  <c r="U69" i="15"/>
  <c r="U68" i="15"/>
  <c r="U1850" i="8" s="1"/>
  <c r="AE24" i="15"/>
  <c r="AE1836" i="8"/>
  <c r="F1836" i="8" s="1"/>
  <c r="V1522" i="8"/>
  <c r="V52" i="15"/>
  <c r="V17" i="15"/>
  <c r="W1535" i="8"/>
  <c r="W1536" i="8" s="1"/>
  <c r="W57" i="15"/>
  <c r="V59" i="15"/>
  <c r="V58" i="15"/>
  <c r="V1848" i="8" s="1"/>
  <c r="AD196" i="14"/>
  <c r="AB344" i="14"/>
  <c r="AB346" i="14" s="1"/>
  <c r="Z347" i="14"/>
  <c r="Z349" i="14" s="1"/>
  <c r="AD339" i="14"/>
  <c r="AD341" i="14" s="1"/>
  <c r="AA347" i="14"/>
  <c r="AA349" i="14" s="1"/>
  <c r="W355" i="14"/>
  <c r="W357" i="14" s="1"/>
  <c r="S352" i="14"/>
  <c r="S354" i="14" s="1"/>
  <c r="AC343" i="14"/>
  <c r="AC345" i="14" s="1"/>
  <c r="X351" i="14"/>
  <c r="X353" i="14" s="1"/>
  <c r="T355" i="14"/>
  <c r="T357" i="14" s="1"/>
  <c r="V352" i="14"/>
  <c r="V354" i="14" s="1"/>
  <c r="R352" i="14"/>
  <c r="R354" i="14" s="1"/>
  <c r="U352" i="14"/>
  <c r="U354" i="14" s="1"/>
  <c r="Y348" i="14"/>
  <c r="Y350" i="14" s="1"/>
  <c r="AE165" i="14"/>
  <c r="AE173" i="14"/>
  <c r="AE185" i="14"/>
  <c r="V1532" i="8"/>
  <c r="V1533" i="8" s="1"/>
  <c r="AE145" i="14"/>
  <c r="AE181" i="14"/>
  <c r="AE153" i="14"/>
  <c r="AE137" i="14"/>
  <c r="X1579" i="8"/>
  <c r="X1685" i="8"/>
  <c r="AE129" i="14"/>
  <c r="AE191" i="14"/>
  <c r="AE141" i="14"/>
  <c r="AE133" i="14"/>
  <c r="AE149" i="14"/>
  <c r="AE169" i="14"/>
  <c r="AE177" i="14"/>
  <c r="W1581" i="8"/>
  <c r="W1687" i="8"/>
  <c r="AE336" i="14"/>
  <c r="AE338" i="14" s="1"/>
  <c r="AE161" i="14"/>
  <c r="W1578" i="8"/>
  <c r="W1684" i="8"/>
  <c r="X1580" i="8"/>
  <c r="X1686" i="8"/>
  <c r="AE157" i="14"/>
  <c r="W1523" i="8"/>
  <c r="W15" i="12"/>
  <c r="X27" i="12"/>
  <c r="Y60" i="2"/>
  <c r="X12" i="12"/>
  <c r="X31" i="8"/>
  <c r="X32" i="8" s="1"/>
  <c r="Y238" i="2"/>
  <c r="X46" i="12"/>
  <c r="X131" i="8"/>
  <c r="X132" i="8" s="1"/>
  <c r="Z117" i="2"/>
  <c r="Y21" i="12"/>
  <c r="Y55" i="8"/>
  <c r="Y56" i="8" s="1"/>
  <c r="Z180" i="2"/>
  <c r="Y36" i="12"/>
  <c r="Y103" i="8"/>
  <c r="Y104" i="8" s="1"/>
  <c r="W51" i="12"/>
  <c r="W67" i="15" s="1"/>
  <c r="Z115" i="2"/>
  <c r="Y19" i="12"/>
  <c r="Y47" i="8"/>
  <c r="Y48" i="8" s="1"/>
  <c r="Y235" i="2"/>
  <c r="X43" i="12"/>
  <c r="X119" i="8"/>
  <c r="X120" i="8" s="1"/>
  <c r="Z120" i="2"/>
  <c r="Y24" i="12"/>
  <c r="Y67" i="8"/>
  <c r="Y68" i="8" s="1"/>
  <c r="Y240" i="2"/>
  <c r="X48" i="12"/>
  <c r="X139" i="8"/>
  <c r="X140" i="8" s="1"/>
  <c r="AA118" i="2"/>
  <c r="Z22" i="12"/>
  <c r="Z59" i="8"/>
  <c r="Z60" i="8" s="1"/>
  <c r="Y237" i="2"/>
  <c r="X45" i="12"/>
  <c r="X127" i="8"/>
  <c r="X128" i="8" s="1"/>
  <c r="X39" i="12"/>
  <c r="X62" i="15" s="1"/>
  <c r="AA121" i="2"/>
  <c r="Z25" i="12"/>
  <c r="Z71" i="8"/>
  <c r="Z72" i="8" s="1"/>
  <c r="W1538" i="8"/>
  <c r="W1539" i="8" s="1"/>
  <c r="W1524" i="8"/>
  <c r="Z174" i="2"/>
  <c r="Y30" i="12"/>
  <c r="Y79" i="8"/>
  <c r="Y80" i="8" s="1"/>
  <c r="Y183" i="2"/>
  <c r="Z176" i="2"/>
  <c r="Y32" i="12"/>
  <c r="Y87" i="8"/>
  <c r="Y88" i="8" s="1"/>
  <c r="Y61" i="2"/>
  <c r="X13" i="12"/>
  <c r="X35" i="8"/>
  <c r="X36" i="8" s="1"/>
  <c r="Y234" i="2"/>
  <c r="X42" i="12"/>
  <c r="X115" i="8"/>
  <c r="X116" i="8" s="1"/>
  <c r="X243" i="2"/>
  <c r="AA182" i="2"/>
  <c r="Z38" i="12"/>
  <c r="Z111" i="8"/>
  <c r="Z112" i="8" s="1"/>
  <c r="Y236" i="2"/>
  <c r="X44" i="12"/>
  <c r="X123" i="8"/>
  <c r="X124" i="8" s="1"/>
  <c r="AA116" i="2"/>
  <c r="Z20" i="12"/>
  <c r="Z51" i="8"/>
  <c r="Z52" i="8" s="1"/>
  <c r="Z56" i="2"/>
  <c r="Y8" i="12"/>
  <c r="Y15" i="8"/>
  <c r="Y16" i="8" s="1"/>
  <c r="Y242" i="2"/>
  <c r="X50" i="12"/>
  <c r="X147" i="8"/>
  <c r="X148" i="8" s="1"/>
  <c r="Z181" i="2"/>
  <c r="Y37" i="12"/>
  <c r="Y107" i="8"/>
  <c r="Y108" i="8" s="1"/>
  <c r="Y59" i="2"/>
  <c r="X11" i="12"/>
  <c r="X27" i="8"/>
  <c r="X28" i="8" s="1"/>
  <c r="Z114" i="2"/>
  <c r="Y18" i="12"/>
  <c r="Y43" i="8"/>
  <c r="Y44" i="8" s="1"/>
  <c r="Y123" i="2"/>
  <c r="Y239" i="2"/>
  <c r="X47" i="12"/>
  <c r="X135" i="8"/>
  <c r="X136" i="8" s="1"/>
  <c r="V1525" i="8"/>
  <c r="V1541" i="8"/>
  <c r="V1542" i="8" s="1"/>
  <c r="AA178" i="2"/>
  <c r="Z34" i="12"/>
  <c r="Z95" i="8"/>
  <c r="Z96" i="8" s="1"/>
  <c r="Z175" i="2"/>
  <c r="Y31" i="12"/>
  <c r="Y83" i="8"/>
  <c r="Y84" i="8" s="1"/>
  <c r="Z62" i="2"/>
  <c r="Y14" i="12"/>
  <c r="Y39" i="8"/>
  <c r="Y40" i="8" s="1"/>
  <c r="Y54" i="2"/>
  <c r="X6" i="12"/>
  <c r="X7" i="8"/>
  <c r="X8" i="8" s="1"/>
  <c r="X63" i="2"/>
  <c r="AA179" i="2"/>
  <c r="Z35" i="12"/>
  <c r="Z99" i="8"/>
  <c r="Z100" i="8" s="1"/>
  <c r="AA122" i="2"/>
  <c r="Z26" i="12"/>
  <c r="Z75" i="8"/>
  <c r="Z76" i="8" s="1"/>
  <c r="AA119" i="2"/>
  <c r="Z63" i="8"/>
  <c r="Z64" i="8" s="1"/>
  <c r="Z23" i="12"/>
  <c r="Z57" i="2"/>
  <c r="Y9" i="12"/>
  <c r="Y19" i="8"/>
  <c r="Y20" i="8" s="1"/>
  <c r="Y58" i="2"/>
  <c r="X10" i="12"/>
  <c r="X23" i="8"/>
  <c r="X24" i="8" s="1"/>
  <c r="Z55" i="2"/>
  <c r="Y7" i="12"/>
  <c r="Y11" i="8"/>
  <c r="Y12" i="8" s="1"/>
  <c r="Z241" i="2"/>
  <c r="Y49" i="12"/>
  <c r="Y143" i="8"/>
  <c r="Y144" i="8" s="1"/>
  <c r="Z177" i="2"/>
  <c r="Y33" i="12"/>
  <c r="Y91" i="8"/>
  <c r="Y92" i="8" s="1"/>
  <c r="AE285" i="2"/>
  <c r="AE286" i="2"/>
  <c r="F1472" i="8" s="1"/>
  <c r="AD1466" i="8"/>
  <c r="AE1433" i="8"/>
  <c r="F1433" i="8" s="1"/>
  <c r="AE1445" i="8"/>
  <c r="F1445" i="8" s="1"/>
  <c r="Q1866" i="8" l="1"/>
  <c r="Q91" i="17"/>
  <c r="Q92" i="17" s="1"/>
  <c r="Q94" i="17"/>
  <c r="Q95" i="17" s="1"/>
  <c r="P1868" i="8"/>
  <c r="P96" i="17"/>
  <c r="P1865" i="8" s="1"/>
  <c r="V59" i="17"/>
  <c r="F102" i="17"/>
  <c r="P85" i="17"/>
  <c r="P1867" i="8"/>
  <c r="U63" i="17"/>
  <c r="U64" i="17" s="1"/>
  <c r="V18" i="15"/>
  <c r="V19" i="15" s="1"/>
  <c r="P1841" i="8"/>
  <c r="P44" i="15"/>
  <c r="P1855" i="8" s="1"/>
  <c r="Q43" i="15"/>
  <c r="Q67" i="17" s="1"/>
  <c r="Q68" i="17" s="1"/>
  <c r="Q81" i="17" s="1"/>
  <c r="Q83" i="17" s="1"/>
  <c r="Q1844" i="8"/>
  <c r="Q1840" i="8"/>
  <c r="V54" i="15"/>
  <c r="V53" i="15"/>
  <c r="V1847" i="8" s="1"/>
  <c r="W58" i="15"/>
  <c r="W1848" i="8" s="1"/>
  <c r="W59" i="15"/>
  <c r="T1837" i="8"/>
  <c r="T26" i="15"/>
  <c r="T66" i="17" s="1"/>
  <c r="X63" i="15"/>
  <c r="X1849" i="8" s="1"/>
  <c r="X64" i="15"/>
  <c r="U1834" i="8"/>
  <c r="U28" i="15"/>
  <c r="U25" i="15"/>
  <c r="X1535" i="8"/>
  <c r="X1536" i="8" s="1"/>
  <c r="X57" i="15"/>
  <c r="W69" i="15"/>
  <c r="W68" i="15"/>
  <c r="W1850" i="8" s="1"/>
  <c r="W1522" i="8"/>
  <c r="W52" i="15"/>
  <c r="W17" i="15"/>
  <c r="W356" i="14"/>
  <c r="W358" i="14" s="1"/>
  <c r="W359" i="14" s="1"/>
  <c r="W361" i="14" s="1"/>
  <c r="T356" i="14"/>
  <c r="T358" i="14" s="1"/>
  <c r="AE339" i="14"/>
  <c r="AE341" i="14" s="1"/>
  <c r="Y351" i="14"/>
  <c r="Y353" i="14" s="1"/>
  <c r="S355" i="14"/>
  <c r="S357" i="14" s="1"/>
  <c r="U355" i="14"/>
  <c r="U357" i="14" s="1"/>
  <c r="AB347" i="14"/>
  <c r="AB349" i="14" s="1"/>
  <c r="AC344" i="14"/>
  <c r="AC346" i="14" s="1"/>
  <c r="R355" i="14"/>
  <c r="R357" i="14" s="1"/>
  <c r="AA348" i="14"/>
  <c r="AA350" i="14" s="1"/>
  <c r="V355" i="14"/>
  <c r="V357" i="14" s="1"/>
  <c r="AD340" i="14"/>
  <c r="AD342" i="14" s="1"/>
  <c r="Z348" i="14"/>
  <c r="Z350" i="14" s="1"/>
  <c r="X352" i="14"/>
  <c r="X354" i="14" s="1"/>
  <c r="W1532" i="8"/>
  <c r="W1533" i="8" s="1"/>
  <c r="Y1579" i="8"/>
  <c r="Y1685" i="8"/>
  <c r="X1581" i="8"/>
  <c r="X1687" i="8"/>
  <c r="X1578" i="8"/>
  <c r="X1684" i="8"/>
  <c r="AE198" i="14"/>
  <c r="AE1671" i="8"/>
  <c r="F1671" i="8" s="1"/>
  <c r="AE194" i="14"/>
  <c r="Y1580" i="8"/>
  <c r="Y1686" i="8"/>
  <c r="X15" i="12"/>
  <c r="X1523" i="8"/>
  <c r="Y27" i="12"/>
  <c r="AB182" i="2"/>
  <c r="AA38" i="12"/>
  <c r="AA111" i="8"/>
  <c r="AA112" i="8" s="1"/>
  <c r="X1524" i="8"/>
  <c r="X1538" i="8"/>
  <c r="X1539" i="8" s="1"/>
  <c r="AB179" i="2"/>
  <c r="AA35" i="12"/>
  <c r="AA99" i="8"/>
  <c r="AA100" i="8" s="1"/>
  <c r="AA120" i="2"/>
  <c r="Z24" i="12"/>
  <c r="Z67" i="8"/>
  <c r="Z68" i="8" s="1"/>
  <c r="AA114" i="2"/>
  <c r="Z18" i="12"/>
  <c r="Z43" i="8"/>
  <c r="Z44" i="8" s="1"/>
  <c r="Z123" i="2"/>
  <c r="Z235" i="2"/>
  <c r="Y43" i="12"/>
  <c r="Y119" i="8"/>
  <c r="Y120" i="8" s="1"/>
  <c r="AA117" i="2"/>
  <c r="Z21" i="12"/>
  <c r="Z55" i="8"/>
  <c r="Z56" i="8" s="1"/>
  <c r="AB121" i="2"/>
  <c r="AA25" i="12"/>
  <c r="AA71" i="8"/>
  <c r="AA72" i="8" s="1"/>
  <c r="Z234" i="2"/>
  <c r="Y42" i="12"/>
  <c r="Y115" i="8"/>
  <c r="Y116" i="8" s="1"/>
  <c r="Y243" i="2"/>
  <c r="AA55" i="2"/>
  <c r="Z7" i="12"/>
  <c r="Z11" i="8"/>
  <c r="Z12" i="8" s="1"/>
  <c r="Z242" i="2"/>
  <c r="Y50" i="12"/>
  <c r="Y147" i="8"/>
  <c r="Y148" i="8" s="1"/>
  <c r="X51" i="12"/>
  <c r="X67" i="15" s="1"/>
  <c r="W1525" i="8"/>
  <c r="W1541" i="8"/>
  <c r="W1542" i="8" s="1"/>
  <c r="Z238" i="2"/>
  <c r="Y46" i="12"/>
  <c r="Y131" i="8"/>
  <c r="Y132" i="8" s="1"/>
  <c r="Z236" i="2"/>
  <c r="Y44" i="12"/>
  <c r="Y123" i="8"/>
  <c r="Y124" i="8" s="1"/>
  <c r="AA115" i="2"/>
  <c r="Z19" i="12"/>
  <c r="Z47" i="8"/>
  <c r="Z48" i="8" s="1"/>
  <c r="AA174" i="2"/>
  <c r="Z30" i="12"/>
  <c r="Z79" i="8"/>
  <c r="Z80" i="8" s="1"/>
  <c r="Z183" i="2"/>
  <c r="AA175" i="2"/>
  <c r="Z31" i="12"/>
  <c r="Z83" i="8"/>
  <c r="Z84" i="8" s="1"/>
  <c r="AB118" i="2"/>
  <c r="AA22" i="12"/>
  <c r="AA59" i="8"/>
  <c r="AA60" i="8" s="1"/>
  <c r="Z54" i="2"/>
  <c r="Y6" i="12"/>
  <c r="Y7" i="8"/>
  <c r="Y8" i="8" s="1"/>
  <c r="Y63" i="2"/>
  <c r="Z61" i="2"/>
  <c r="Y13" i="12"/>
  <c r="Y35" i="8"/>
  <c r="Y36" i="8" s="1"/>
  <c r="AA177" i="2"/>
  <c r="Z33" i="12"/>
  <c r="Z91" i="8"/>
  <c r="Z92" i="8" s="1"/>
  <c r="AB119" i="2"/>
  <c r="AA63" i="8"/>
  <c r="AA64" i="8" s="1"/>
  <c r="AA23" i="12"/>
  <c r="Z239" i="2"/>
  <c r="Y47" i="12"/>
  <c r="Y135" i="8"/>
  <c r="Y136" i="8" s="1"/>
  <c r="Z59" i="2"/>
  <c r="Y11" i="12"/>
  <c r="Y27" i="8"/>
  <c r="Y28" i="8" s="1"/>
  <c r="AA176" i="2"/>
  <c r="Z32" i="12"/>
  <c r="Z87" i="8"/>
  <c r="Z88" i="8" s="1"/>
  <c r="Z60" i="2"/>
  <c r="Y12" i="12"/>
  <c r="Y31" i="8"/>
  <c r="Y32" i="8" s="1"/>
  <c r="AA181" i="2"/>
  <c r="Z37" i="12"/>
  <c r="Z107" i="8"/>
  <c r="Z108" i="8" s="1"/>
  <c r="AA57" i="2"/>
  <c r="Z9" i="12"/>
  <c r="Z19" i="8"/>
  <c r="Z20" i="8" s="1"/>
  <c r="AA62" i="2"/>
  <c r="Z14" i="12"/>
  <c r="Z39" i="8"/>
  <c r="Z40" i="8" s="1"/>
  <c r="AA56" i="2"/>
  <c r="Z8" i="12"/>
  <c r="Z15" i="8"/>
  <c r="Z16" i="8" s="1"/>
  <c r="Z237" i="2"/>
  <c r="Y45" i="12"/>
  <c r="Y127" i="8"/>
  <c r="Y128" i="8" s="1"/>
  <c r="AA180" i="2"/>
  <c r="Z36" i="12"/>
  <c r="Z103" i="8"/>
  <c r="Z104" i="8" s="1"/>
  <c r="Z240" i="2"/>
  <c r="Y48" i="12"/>
  <c r="Y139" i="8"/>
  <c r="Y140" i="8" s="1"/>
  <c r="AA241" i="2"/>
  <c r="Z49" i="12"/>
  <c r="Z143" i="8"/>
  <c r="Z144" i="8" s="1"/>
  <c r="Z58" i="2"/>
  <c r="Y10" i="12"/>
  <c r="Y23" i="8"/>
  <c r="Y24" i="8" s="1"/>
  <c r="AB122" i="2"/>
  <c r="AA26" i="12"/>
  <c r="AA75" i="8"/>
  <c r="AA76" i="8" s="1"/>
  <c r="AB178" i="2"/>
  <c r="AA34" i="12"/>
  <c r="AA95" i="8"/>
  <c r="AA96" i="8" s="1"/>
  <c r="AB116" i="2"/>
  <c r="AA20" i="12"/>
  <c r="AA51" i="8"/>
  <c r="AA52" i="8" s="1"/>
  <c r="Y39" i="12"/>
  <c r="Y62" i="15" s="1"/>
  <c r="AE1466" i="8"/>
  <c r="F1466" i="8" s="1"/>
  <c r="F1468" i="8"/>
  <c r="Q1868" i="8" l="1"/>
  <c r="Q96" i="17"/>
  <c r="Q1865" i="8" s="1"/>
  <c r="W59" i="17"/>
  <c r="Q85" i="17"/>
  <c r="Q1867" i="8"/>
  <c r="V63" i="17"/>
  <c r="V64" i="17" s="1"/>
  <c r="W18" i="15"/>
  <c r="W19" i="15" s="1"/>
  <c r="Q1841" i="8"/>
  <c r="Q44" i="15"/>
  <c r="Q1855" i="8" s="1"/>
  <c r="X1522" i="8"/>
  <c r="X52" i="15"/>
  <c r="X17" i="15"/>
  <c r="X59" i="15"/>
  <c r="X58" i="15"/>
  <c r="X1848" i="8" s="1"/>
  <c r="T1838" i="8"/>
  <c r="T27" i="15"/>
  <c r="T1835" i="8" s="1"/>
  <c r="U1837" i="8"/>
  <c r="U26" i="15"/>
  <c r="U66" i="17" s="1"/>
  <c r="W54" i="15"/>
  <c r="W53" i="15"/>
  <c r="W1847" i="8" s="1"/>
  <c r="Y1535" i="8"/>
  <c r="Y1536" i="8" s="1"/>
  <c r="Y57" i="15"/>
  <c r="X69" i="15"/>
  <c r="X68" i="15"/>
  <c r="X1850" i="8" s="1"/>
  <c r="Y64" i="15"/>
  <c r="Y63" i="15"/>
  <c r="Y1849" i="8" s="1"/>
  <c r="V1834" i="8"/>
  <c r="V28" i="15"/>
  <c r="V25" i="15"/>
  <c r="W360" i="14"/>
  <c r="W362" i="14" s="1"/>
  <c r="R356" i="14"/>
  <c r="R358" i="14" s="1"/>
  <c r="AC347" i="14"/>
  <c r="AC349" i="14" s="1"/>
  <c r="X355" i="14"/>
  <c r="X357" i="14" s="1"/>
  <c r="T359" i="14"/>
  <c r="T361" i="14" s="1"/>
  <c r="AB348" i="14"/>
  <c r="AB350" i="14" s="1"/>
  <c r="AD343" i="14"/>
  <c r="AD345" i="14" s="1"/>
  <c r="U356" i="14"/>
  <c r="U358" i="14" s="1"/>
  <c r="AA351" i="14"/>
  <c r="AA353" i="14" s="1"/>
  <c r="V356" i="14"/>
  <c r="V358" i="14" s="1"/>
  <c r="S356" i="14"/>
  <c r="S358" i="14" s="1"/>
  <c r="Y352" i="14"/>
  <c r="Y354" i="14" s="1"/>
  <c r="AE340" i="14"/>
  <c r="AE342" i="14" s="1"/>
  <c r="Z351" i="14"/>
  <c r="Z353" i="14" s="1"/>
  <c r="Z1580" i="8"/>
  <c r="Z1686" i="8"/>
  <c r="Z1579" i="8"/>
  <c r="Z1685" i="8"/>
  <c r="Y1523" i="8"/>
  <c r="Y1578" i="8"/>
  <c r="Y1684" i="8"/>
  <c r="Y1581" i="8"/>
  <c r="Y1687" i="8"/>
  <c r="AE195" i="14"/>
  <c r="AE1670" i="8" s="1"/>
  <c r="F1670" i="8" s="1"/>
  <c r="AE196" i="14"/>
  <c r="X1532" i="8"/>
  <c r="X1533" i="8" s="1"/>
  <c r="Y15" i="12"/>
  <c r="Z27" i="12"/>
  <c r="Y1538" i="8"/>
  <c r="Y1539" i="8" s="1"/>
  <c r="Y1524" i="8"/>
  <c r="AA58" i="2"/>
  <c r="Z10" i="12"/>
  <c r="Z23" i="8"/>
  <c r="Z24" i="8" s="1"/>
  <c r="AB56" i="2"/>
  <c r="AA8" i="12"/>
  <c r="AA15" i="8"/>
  <c r="AA16" i="8" s="1"/>
  <c r="AA234" i="2"/>
  <c r="Z42" i="12"/>
  <c r="Z115" i="8"/>
  <c r="Z116" i="8" s="1"/>
  <c r="Z243" i="2"/>
  <c r="AB117" i="2"/>
  <c r="AA21" i="12"/>
  <c r="AA55" i="8"/>
  <c r="AA56" i="8" s="1"/>
  <c r="AC116" i="2"/>
  <c r="AB20" i="12"/>
  <c r="AB51" i="8"/>
  <c r="AB52" i="8" s="1"/>
  <c r="AB241" i="2"/>
  <c r="AA49" i="12"/>
  <c r="AA143" i="8"/>
  <c r="AA144" i="8" s="1"/>
  <c r="AC119" i="2"/>
  <c r="AB63" i="8"/>
  <c r="AB64" i="8" s="1"/>
  <c r="AB23" i="12"/>
  <c r="AA60" i="2"/>
  <c r="Z12" i="12"/>
  <c r="Z31" i="8"/>
  <c r="Z32" i="8" s="1"/>
  <c r="AA59" i="2"/>
  <c r="Z11" i="12"/>
  <c r="Z27" i="8"/>
  <c r="Z28" i="8" s="1"/>
  <c r="AA242" i="2"/>
  <c r="Z50" i="12"/>
  <c r="Z147" i="8"/>
  <c r="Z148" i="8" s="1"/>
  <c r="AA235" i="2"/>
  <c r="Z43" i="12"/>
  <c r="Z119" i="8"/>
  <c r="Z120" i="8" s="1"/>
  <c r="AB181" i="2"/>
  <c r="AA37" i="12"/>
  <c r="AA107" i="8"/>
  <c r="AA108" i="8" s="1"/>
  <c r="AC118" i="2"/>
  <c r="AB22" i="12"/>
  <c r="AB59" i="8"/>
  <c r="AB60" i="8" s="1"/>
  <c r="AB62" i="2"/>
  <c r="AA14" i="12"/>
  <c r="AA39" i="8"/>
  <c r="AA40" i="8" s="1"/>
  <c r="AB177" i="2"/>
  <c r="AA33" i="12"/>
  <c r="AA91" i="8"/>
  <c r="AA92" i="8" s="1"/>
  <c r="AA54" i="2"/>
  <c r="Z6" i="12"/>
  <c r="Z7" i="8"/>
  <c r="Z8" i="8" s="1"/>
  <c r="Z63" i="2"/>
  <c r="AA240" i="2"/>
  <c r="Z48" i="12"/>
  <c r="Z139" i="8"/>
  <c r="Z140" i="8" s="1"/>
  <c r="AA239" i="2"/>
  <c r="Z47" i="12"/>
  <c r="Z135" i="8"/>
  <c r="Z136" i="8" s="1"/>
  <c r="Y51" i="12"/>
  <c r="Y67" i="15" s="1"/>
  <c r="AB175" i="2"/>
  <c r="AA31" i="12"/>
  <c r="AA83" i="8"/>
  <c r="AA84" i="8" s="1"/>
  <c r="AC178" i="2"/>
  <c r="AB34" i="12"/>
  <c r="AB95" i="8"/>
  <c r="AB96" i="8" s="1"/>
  <c r="AB180" i="2"/>
  <c r="AA36" i="12"/>
  <c r="AA103" i="8"/>
  <c r="AA104" i="8" s="1"/>
  <c r="AC179" i="2"/>
  <c r="AB35" i="12"/>
  <c r="AB99" i="8"/>
  <c r="AB100" i="8" s="1"/>
  <c r="AC182" i="2"/>
  <c r="AB38" i="12"/>
  <c r="AB111" i="8"/>
  <c r="AB112" i="8" s="1"/>
  <c r="AA236" i="2"/>
  <c r="Z44" i="12"/>
  <c r="Z123" i="8"/>
  <c r="Z124" i="8" s="1"/>
  <c r="AA61" i="2"/>
  <c r="Z13" i="12"/>
  <c r="Z35" i="8"/>
  <c r="Z36" i="8" s="1"/>
  <c r="Z39" i="12"/>
  <c r="Z62" i="15" s="1"/>
  <c r="AA238" i="2"/>
  <c r="Z46" i="12"/>
  <c r="Z131" i="8"/>
  <c r="Z132" i="8" s="1"/>
  <c r="AC121" i="2"/>
  <c r="AB25" i="12"/>
  <c r="AB71" i="8"/>
  <c r="AB72" i="8" s="1"/>
  <c r="AB176" i="2"/>
  <c r="AA32" i="12"/>
  <c r="AA87" i="8"/>
  <c r="AA88" i="8" s="1"/>
  <c r="AB174" i="2"/>
  <c r="AA30" i="12"/>
  <c r="AA79" i="8"/>
  <c r="AA80" i="8" s="1"/>
  <c r="AA183" i="2"/>
  <c r="AB55" i="2"/>
  <c r="AA11" i="8"/>
  <c r="AA12" i="8" s="1"/>
  <c r="AA7" i="12"/>
  <c r="X1525" i="8"/>
  <c r="X1541" i="8"/>
  <c r="X1542" i="8" s="1"/>
  <c r="AB115" i="2"/>
  <c r="AA19" i="12"/>
  <c r="AA47" i="8"/>
  <c r="AA48" i="8" s="1"/>
  <c r="AC122" i="2"/>
  <c r="AB26" i="12"/>
  <c r="AB75" i="8"/>
  <c r="AB76" i="8" s="1"/>
  <c r="AA237" i="2"/>
  <c r="Z45" i="12"/>
  <c r="Z127" i="8"/>
  <c r="Z128" i="8" s="1"/>
  <c r="AB57" i="2"/>
  <c r="AA9" i="12"/>
  <c r="AA19" i="8"/>
  <c r="AA20" i="8" s="1"/>
  <c r="AB114" i="2"/>
  <c r="AA18" i="12"/>
  <c r="AA43" i="8"/>
  <c r="AA44" i="8" s="1"/>
  <c r="AA123" i="2"/>
  <c r="AB120" i="2"/>
  <c r="AA24" i="12"/>
  <c r="AA67" i="8"/>
  <c r="AA68" i="8" s="1"/>
  <c r="X59" i="17" l="1"/>
  <c r="W63" i="17"/>
  <c r="W64" i="17" s="1"/>
  <c r="X18" i="15"/>
  <c r="X19" i="15" s="1"/>
  <c r="Z1523" i="8"/>
  <c r="Z57" i="15"/>
  <c r="W1834" i="8"/>
  <c r="W28" i="15"/>
  <c r="W25" i="15"/>
  <c r="U1838" i="8"/>
  <c r="U27" i="15"/>
  <c r="U1835" i="8" s="1"/>
  <c r="Z64" i="15"/>
  <c r="Z63" i="15"/>
  <c r="Z1849" i="8" s="1"/>
  <c r="V1837" i="8"/>
  <c r="V26" i="15"/>
  <c r="V66" i="17" s="1"/>
  <c r="Y1522" i="8"/>
  <c r="Y52" i="15"/>
  <c r="Y17" i="15"/>
  <c r="Y59" i="15"/>
  <c r="Y58" i="15"/>
  <c r="Y1848" i="8" s="1"/>
  <c r="X54" i="15"/>
  <c r="X53" i="15"/>
  <c r="X1847" i="8" s="1"/>
  <c r="Y68" i="15"/>
  <c r="Y1850" i="8" s="1"/>
  <c r="Y69" i="15"/>
  <c r="AA352" i="14"/>
  <c r="AA354" i="14" s="1"/>
  <c r="AD344" i="14"/>
  <c r="AD346" i="14" s="1"/>
  <c r="Z352" i="14"/>
  <c r="Z354" i="14" s="1"/>
  <c r="U359" i="14"/>
  <c r="U361" i="14" s="1"/>
  <c r="S359" i="14"/>
  <c r="S361" i="14" s="1"/>
  <c r="AE343" i="14"/>
  <c r="AE345" i="14" s="1"/>
  <c r="Y355" i="14"/>
  <c r="Y357" i="14" s="1"/>
  <c r="T360" i="14"/>
  <c r="T362" i="14" s="1"/>
  <c r="R359" i="14"/>
  <c r="R361" i="14" s="1"/>
  <c r="V359" i="14"/>
  <c r="V361" i="14" s="1"/>
  <c r="X356" i="14"/>
  <c r="X358" i="14" s="1"/>
  <c r="AB351" i="14"/>
  <c r="AB353" i="14" s="1"/>
  <c r="W363" i="14"/>
  <c r="W365" i="14" s="1"/>
  <c r="AC348" i="14"/>
  <c r="AC350" i="14" s="1"/>
  <c r="Y1532" i="8"/>
  <c r="Y1533" i="8" s="1"/>
  <c r="AA1580" i="8"/>
  <c r="AA1686" i="8"/>
  <c r="Z1578" i="8"/>
  <c r="Z1684" i="8"/>
  <c r="Z1581" i="8"/>
  <c r="Z1687" i="8"/>
  <c r="AA1579" i="8"/>
  <c r="AA1685" i="8"/>
  <c r="Z1535" i="8"/>
  <c r="Z1536" i="8" s="1"/>
  <c r="Z15" i="12"/>
  <c r="AA27" i="12"/>
  <c r="AB240" i="2"/>
  <c r="AA48" i="12"/>
  <c r="AA139" i="8"/>
  <c r="AA140" i="8" s="1"/>
  <c r="AB58" i="2"/>
  <c r="AA10" i="12"/>
  <c r="AA23" i="8"/>
  <c r="AA24" i="8" s="1"/>
  <c r="AB242" i="2"/>
  <c r="AA50" i="12"/>
  <c r="AA147" i="8"/>
  <c r="AA148" i="8" s="1"/>
  <c r="AB234" i="2"/>
  <c r="AA42" i="12"/>
  <c r="AA115" i="8"/>
  <c r="AA116" i="8" s="1"/>
  <c r="AA243" i="2"/>
  <c r="AB235" i="2"/>
  <c r="AA43" i="12"/>
  <c r="AA119" i="8"/>
  <c r="AA120" i="8" s="1"/>
  <c r="AD121" i="2"/>
  <c r="AC25" i="12"/>
  <c r="AC71" i="8"/>
  <c r="AC72" i="8" s="1"/>
  <c r="AC120" i="2"/>
  <c r="AB24" i="12"/>
  <c r="AB67" i="8"/>
  <c r="AB68" i="8" s="1"/>
  <c r="AD116" i="2"/>
  <c r="AC20" i="12"/>
  <c r="AC51" i="8"/>
  <c r="AC52" i="8" s="1"/>
  <c r="AB239" i="2"/>
  <c r="AA47" i="12"/>
  <c r="AA135" i="8"/>
  <c r="AA136" i="8" s="1"/>
  <c r="AC180" i="2"/>
  <c r="AB36" i="12"/>
  <c r="AB103" i="8"/>
  <c r="AB104" i="8" s="1"/>
  <c r="AC62" i="2"/>
  <c r="AB14" i="12"/>
  <c r="AB39" i="8"/>
  <c r="AB40" i="8" s="1"/>
  <c r="AB59" i="2"/>
  <c r="AA11" i="12"/>
  <c r="AA27" i="8"/>
  <c r="AA28" i="8" s="1"/>
  <c r="AC176" i="2"/>
  <c r="AB32" i="12"/>
  <c r="AB87" i="8"/>
  <c r="AB88" i="8" s="1"/>
  <c r="Z1538" i="8"/>
  <c r="Z1539" i="8" s="1"/>
  <c r="Z1524" i="8"/>
  <c r="AD179" i="2"/>
  <c r="AC35" i="12"/>
  <c r="AC99" i="8"/>
  <c r="AC100" i="8" s="1"/>
  <c r="AB236" i="2"/>
  <c r="AA44" i="12"/>
  <c r="AA123" i="8"/>
  <c r="AA124" i="8" s="1"/>
  <c r="Y1541" i="8"/>
  <c r="Y1542" i="8" s="1"/>
  <c r="Y1525" i="8"/>
  <c r="AD182" i="2"/>
  <c r="AC38" i="12"/>
  <c r="AC111" i="8"/>
  <c r="AC112" i="8" s="1"/>
  <c r="AB238" i="2"/>
  <c r="AA46" i="12"/>
  <c r="AA131" i="8"/>
  <c r="AA132" i="8" s="1"/>
  <c r="AC57" i="2"/>
  <c r="AB9" i="12"/>
  <c r="AB19" i="8"/>
  <c r="AB20" i="8" s="1"/>
  <c r="AD119" i="2"/>
  <c r="AC23" i="12"/>
  <c r="AC63" i="8"/>
  <c r="AC64" i="8" s="1"/>
  <c r="AC117" i="2"/>
  <c r="AB21" i="12"/>
  <c r="AB55" i="8"/>
  <c r="AB56" i="8" s="1"/>
  <c r="AA39" i="12"/>
  <c r="AA62" i="15" s="1"/>
  <c r="AC177" i="2"/>
  <c r="AB33" i="12"/>
  <c r="AB91" i="8"/>
  <c r="AB92" i="8" s="1"/>
  <c r="AC175" i="2"/>
  <c r="AB31" i="12"/>
  <c r="AB83" i="8"/>
  <c r="AB84" i="8" s="1"/>
  <c r="AC115" i="2"/>
  <c r="AB19" i="12"/>
  <c r="AB47" i="8"/>
  <c r="AB48" i="8" s="1"/>
  <c r="AC114" i="2"/>
  <c r="AB18" i="12"/>
  <c r="AB43" i="8"/>
  <c r="AB44" i="8" s="1"/>
  <c r="AB123" i="2"/>
  <c r="AB54" i="2"/>
  <c r="AA6" i="12"/>
  <c r="AA7" i="8"/>
  <c r="AA8" i="8" s="1"/>
  <c r="AA63" i="2"/>
  <c r="AD178" i="2"/>
  <c r="AC34" i="12"/>
  <c r="AC95" i="8"/>
  <c r="AC96" i="8" s="1"/>
  <c r="AD118" i="2"/>
  <c r="AC22" i="12"/>
  <c r="AC59" i="8"/>
  <c r="AC60" i="8" s="1"/>
  <c r="AB60" i="2"/>
  <c r="AA12" i="12"/>
  <c r="AA31" i="8"/>
  <c r="AA32" i="8" s="1"/>
  <c r="AC56" i="2"/>
  <c r="AB8" i="12"/>
  <c r="AB15" i="8"/>
  <c r="AB16" i="8" s="1"/>
  <c r="AC181" i="2"/>
  <c r="AB37" i="12"/>
  <c r="AB107" i="8"/>
  <c r="AB108" i="8" s="1"/>
  <c r="AD122" i="2"/>
  <c r="AC26" i="12"/>
  <c r="AC75" i="8"/>
  <c r="AC76" i="8" s="1"/>
  <c r="AC174" i="2"/>
  <c r="AB30" i="12"/>
  <c r="AB79" i="8"/>
  <c r="AB80" i="8" s="1"/>
  <c r="AB183" i="2"/>
  <c r="AB237" i="2"/>
  <c r="AA45" i="12"/>
  <c r="AA127" i="8"/>
  <c r="AA128" i="8" s="1"/>
  <c r="AC55" i="2"/>
  <c r="AB7" i="12"/>
  <c r="AB11" i="8"/>
  <c r="AB12" i="8" s="1"/>
  <c r="AB61" i="2"/>
  <c r="AA13" i="12"/>
  <c r="AA35" i="8"/>
  <c r="AA36" i="8" s="1"/>
  <c r="Z51" i="12"/>
  <c r="Z67" i="15" s="1"/>
  <c r="AC241" i="2"/>
  <c r="AB49" i="12"/>
  <c r="AB143" i="8"/>
  <c r="AB144" i="8" s="1"/>
  <c r="Y59" i="17" l="1"/>
  <c r="X63" i="17"/>
  <c r="X64" i="17" s="1"/>
  <c r="Y18" i="15"/>
  <c r="Y19" i="15" s="1"/>
  <c r="Y1834" i="8" s="1"/>
  <c r="Z69" i="15"/>
  <c r="Z68" i="15"/>
  <c r="Z1850" i="8" s="1"/>
  <c r="V1838" i="8"/>
  <c r="V27" i="15"/>
  <c r="V1835" i="8" s="1"/>
  <c r="AA63" i="15"/>
  <c r="AA1849" i="8" s="1"/>
  <c r="AA64" i="15"/>
  <c r="Z1532" i="8"/>
  <c r="Z1533" i="8" s="1"/>
  <c r="Z52" i="15"/>
  <c r="Z17" i="15"/>
  <c r="AA1523" i="8"/>
  <c r="AA57" i="15"/>
  <c r="W1837" i="8"/>
  <c r="W26" i="15"/>
  <c r="W66" i="17" s="1"/>
  <c r="X1834" i="8"/>
  <c r="X28" i="15"/>
  <c r="X25" i="15"/>
  <c r="Y53" i="15"/>
  <c r="Y1847" i="8" s="1"/>
  <c r="Y54" i="15"/>
  <c r="Z58" i="15"/>
  <c r="Z1848" i="8" s="1"/>
  <c r="Z59" i="15"/>
  <c r="AE344" i="14"/>
  <c r="AE346" i="14" s="1"/>
  <c r="V360" i="14"/>
  <c r="V362" i="14" s="1"/>
  <c r="T363" i="14"/>
  <c r="T365" i="14" s="1"/>
  <c r="Z355" i="14"/>
  <c r="Z357" i="14" s="1"/>
  <c r="AD347" i="14"/>
  <c r="AD349" i="14" s="1"/>
  <c r="X359" i="14"/>
  <c r="X361" i="14" s="1"/>
  <c r="AA355" i="14"/>
  <c r="AA357" i="14" s="1"/>
  <c r="W364" i="14"/>
  <c r="W366" i="14" s="1"/>
  <c r="Y356" i="14"/>
  <c r="Y358" i="14" s="1"/>
  <c r="AC351" i="14"/>
  <c r="AC353" i="14" s="1"/>
  <c r="AB352" i="14"/>
  <c r="AB354" i="14" s="1"/>
  <c r="S360" i="14"/>
  <c r="S362" i="14" s="1"/>
  <c r="U360" i="14"/>
  <c r="U362" i="14" s="1"/>
  <c r="R360" i="14"/>
  <c r="R362" i="14" s="1"/>
  <c r="AB1580" i="8"/>
  <c r="AB1686" i="8"/>
  <c r="AB1579" i="8"/>
  <c r="AB1685" i="8"/>
  <c r="AA1581" i="8"/>
  <c r="AA1687" i="8"/>
  <c r="AA1578" i="8"/>
  <c r="AA1684" i="8"/>
  <c r="AA1535" i="8"/>
  <c r="AA1536" i="8" s="1"/>
  <c r="Z1522" i="8"/>
  <c r="AA15" i="12"/>
  <c r="AB39" i="12"/>
  <c r="AB1538" i="8" s="1"/>
  <c r="AB1539" i="8" s="1"/>
  <c r="AB27" i="12"/>
  <c r="AE121" i="2"/>
  <c r="AD25" i="12"/>
  <c r="AD71" i="8"/>
  <c r="AD72" i="8" s="1"/>
  <c r="AC61" i="2"/>
  <c r="AB13" i="12"/>
  <c r="AB35" i="8"/>
  <c r="AB36" i="8" s="1"/>
  <c r="AE179" i="2"/>
  <c r="AD35" i="12"/>
  <c r="AD99" i="8"/>
  <c r="AD100" i="8" s="1"/>
  <c r="AD176" i="2"/>
  <c r="AC32" i="12"/>
  <c r="AC87" i="8"/>
  <c r="AC88" i="8" s="1"/>
  <c r="AD180" i="2"/>
  <c r="AC36" i="12"/>
  <c r="AC103" i="8"/>
  <c r="AC104" i="8" s="1"/>
  <c r="Z1525" i="8"/>
  <c r="Z1541" i="8"/>
  <c r="Z1542" i="8" s="1"/>
  <c r="AD55" i="2"/>
  <c r="AC7" i="12"/>
  <c r="AC11" i="8"/>
  <c r="AC12" i="8" s="1"/>
  <c r="AA1524" i="8"/>
  <c r="AA1538" i="8"/>
  <c r="AA1539" i="8" s="1"/>
  <c r="AD120" i="2"/>
  <c r="AC24" i="12"/>
  <c r="AC67" i="8"/>
  <c r="AC68" i="8" s="1"/>
  <c r="AC58" i="2"/>
  <c r="AB10" i="12"/>
  <c r="AB23" i="8"/>
  <c r="AB24" i="8" s="1"/>
  <c r="AE118" i="2"/>
  <c r="AD22" i="12"/>
  <c r="AD59" i="8"/>
  <c r="AD60" i="8" s="1"/>
  <c r="AD57" i="2"/>
  <c r="AC9" i="12"/>
  <c r="AC19" i="8"/>
  <c r="AC20" i="8" s="1"/>
  <c r="AC238" i="2"/>
  <c r="AB46" i="12"/>
  <c r="AB131" i="8"/>
  <c r="AB132" i="8" s="1"/>
  <c r="AD177" i="2"/>
  <c r="AC33" i="12"/>
  <c r="AC91" i="8"/>
  <c r="AC92" i="8" s="1"/>
  <c r="AD174" i="2"/>
  <c r="AC30" i="12"/>
  <c r="AC79" i="8"/>
  <c r="AC80" i="8" s="1"/>
  <c r="AC183" i="2"/>
  <c r="AD175" i="2"/>
  <c r="AC31" i="12"/>
  <c r="AC83" i="8"/>
  <c r="AC84" i="8" s="1"/>
  <c r="AD117" i="2"/>
  <c r="AC21" i="12"/>
  <c r="AC55" i="8"/>
  <c r="AC56" i="8" s="1"/>
  <c r="AD241" i="2"/>
  <c r="AC49" i="12"/>
  <c r="AC143" i="8"/>
  <c r="AC144" i="8" s="1"/>
  <c r="AD62" i="2"/>
  <c r="AC14" i="12"/>
  <c r="AC39" i="8"/>
  <c r="AC40" i="8" s="1"/>
  <c r="AC236" i="2"/>
  <c r="AB44" i="12"/>
  <c r="AB123" i="8"/>
  <c r="AB124" i="8" s="1"/>
  <c r="AE122" i="2"/>
  <c r="AD26" i="12"/>
  <c r="AD75" i="8"/>
  <c r="AD76" i="8" s="1"/>
  <c r="AC235" i="2"/>
  <c r="AB43" i="12"/>
  <c r="AB119" i="8"/>
  <c r="AB120" i="8" s="1"/>
  <c r="AC239" i="2"/>
  <c r="AB47" i="12"/>
  <c r="AB135" i="8"/>
  <c r="AB136" i="8" s="1"/>
  <c r="AA51" i="12"/>
  <c r="AA67" i="15" s="1"/>
  <c r="AD115" i="2"/>
  <c r="AC19" i="12"/>
  <c r="AC47" i="8"/>
  <c r="AC48" i="8" s="1"/>
  <c r="AE178" i="2"/>
  <c r="AD34" i="12"/>
  <c r="AD95" i="8"/>
  <c r="AD96" i="8" s="1"/>
  <c r="AD181" i="2"/>
  <c r="AC37" i="12"/>
  <c r="AC107" i="8"/>
  <c r="AC108" i="8" s="1"/>
  <c r="AC240" i="2"/>
  <c r="AB48" i="12"/>
  <c r="AB139" i="8"/>
  <c r="AB140" i="8" s="1"/>
  <c r="AC60" i="2"/>
  <c r="AB12" i="12"/>
  <c r="AB31" i="8"/>
  <c r="AB32" i="8" s="1"/>
  <c r="AC237" i="2"/>
  <c r="AB45" i="12"/>
  <c r="AB127" i="8"/>
  <c r="AB128" i="8" s="1"/>
  <c r="AC54" i="2"/>
  <c r="AB6" i="12"/>
  <c r="AB7" i="8"/>
  <c r="AB8" i="8" s="1"/>
  <c r="AB63" i="2"/>
  <c r="AE182" i="2"/>
  <c r="AD38" i="12"/>
  <c r="AD111" i="8"/>
  <c r="AD112" i="8" s="1"/>
  <c r="AE119" i="2"/>
  <c r="AD23" i="12"/>
  <c r="AD63" i="8"/>
  <c r="AD64" i="8" s="1"/>
  <c r="AC234" i="2"/>
  <c r="AB42" i="12"/>
  <c r="AB115" i="8"/>
  <c r="AB116" i="8" s="1"/>
  <c r="AB243" i="2"/>
  <c r="AC242" i="2"/>
  <c r="AB50" i="12"/>
  <c r="AB147" i="8"/>
  <c r="AB148" i="8" s="1"/>
  <c r="AD56" i="2"/>
  <c r="AC8" i="12"/>
  <c r="AC15" i="8"/>
  <c r="AC16" i="8" s="1"/>
  <c r="AD114" i="2"/>
  <c r="AC18" i="12"/>
  <c r="AC43" i="8"/>
  <c r="AC44" i="8" s="1"/>
  <c r="AC123" i="2"/>
  <c r="AC59" i="2"/>
  <c r="AB11" i="12"/>
  <c r="AB27" i="8"/>
  <c r="AB28" i="8" s="1"/>
  <c r="AE116" i="2"/>
  <c r="AD20" i="12"/>
  <c r="AD51" i="8"/>
  <c r="AD52" i="8" s="1"/>
  <c r="Z59" i="17" l="1"/>
  <c r="Y63" i="17"/>
  <c r="Y64" i="17" s="1"/>
  <c r="Z18" i="15"/>
  <c r="Z19" i="15" s="1"/>
  <c r="Y25" i="15"/>
  <c r="Y1837" i="8" s="1"/>
  <c r="Y28" i="15"/>
  <c r="AA69" i="15"/>
  <c r="AA68" i="15"/>
  <c r="AA1850" i="8" s="1"/>
  <c r="AB1524" i="8"/>
  <c r="AB62" i="15"/>
  <c r="Z53" i="15"/>
  <c r="Z1847" i="8" s="1"/>
  <c r="Z54" i="15"/>
  <c r="AB1523" i="8"/>
  <c r="AB57" i="15"/>
  <c r="X1837" i="8"/>
  <c r="X26" i="15"/>
  <c r="X66" i="17" s="1"/>
  <c r="AA1532" i="8"/>
  <c r="AA1533" i="8" s="1"/>
  <c r="AA52" i="15"/>
  <c r="AA17" i="15"/>
  <c r="W1838" i="8"/>
  <c r="W27" i="15"/>
  <c r="W1835" i="8" s="1"/>
  <c r="AA58" i="15"/>
  <c r="AA1848" i="8" s="1"/>
  <c r="AA59" i="15"/>
  <c r="AC352" i="14"/>
  <c r="AC354" i="14" s="1"/>
  <c r="AC355" i="14" s="1"/>
  <c r="AC357" i="14" s="1"/>
  <c r="AB355" i="14"/>
  <c r="AB357" i="14" s="1"/>
  <c r="Y359" i="14"/>
  <c r="Y361" i="14" s="1"/>
  <c r="R363" i="14"/>
  <c r="R365" i="14" s="1"/>
  <c r="W367" i="14"/>
  <c r="W369" i="14" s="1"/>
  <c r="U363" i="14"/>
  <c r="U365" i="14" s="1"/>
  <c r="AA356" i="14"/>
  <c r="AA358" i="14" s="1"/>
  <c r="V363" i="14"/>
  <c r="V365" i="14" s="1"/>
  <c r="X360" i="14"/>
  <c r="X362" i="14" s="1"/>
  <c r="S363" i="14"/>
  <c r="S365" i="14" s="1"/>
  <c r="AD348" i="14"/>
  <c r="AD350" i="14" s="1"/>
  <c r="AE347" i="14"/>
  <c r="AE349" i="14" s="1"/>
  <c r="Z356" i="14"/>
  <c r="Z358" i="14" s="1"/>
  <c r="T364" i="14"/>
  <c r="T366" i="14" s="1"/>
  <c r="AB1581" i="8"/>
  <c r="AB1687" i="8"/>
  <c r="AB1578" i="8"/>
  <c r="AB1684" i="8"/>
  <c r="AC1580" i="8"/>
  <c r="AC1686" i="8"/>
  <c r="AA1522" i="8"/>
  <c r="AC1579" i="8"/>
  <c r="AC1685" i="8"/>
  <c r="AB1535" i="8"/>
  <c r="AB1536" i="8" s="1"/>
  <c r="AB15" i="12"/>
  <c r="AC39" i="12"/>
  <c r="AC27" i="12"/>
  <c r="AE120" i="2"/>
  <c r="AD24" i="12"/>
  <c r="AD67" i="8"/>
  <c r="AD68" i="8" s="1"/>
  <c r="AD240" i="2"/>
  <c r="AC48" i="12"/>
  <c r="AC139" i="8"/>
  <c r="AC140" i="8" s="1"/>
  <c r="AD239" i="2"/>
  <c r="AC47" i="12"/>
  <c r="AC135" i="8"/>
  <c r="AC136" i="8" s="1"/>
  <c r="AE117" i="2"/>
  <c r="AD21" i="12"/>
  <c r="AD55" i="8"/>
  <c r="AD56" i="8" s="1"/>
  <c r="AE55" i="2"/>
  <c r="AD7" i="12"/>
  <c r="AD11" i="8"/>
  <c r="AD12" i="8" s="1"/>
  <c r="AE57" i="2"/>
  <c r="AD9" i="12"/>
  <c r="AD19" i="8"/>
  <c r="AD20" i="8" s="1"/>
  <c r="AA1541" i="8"/>
  <c r="AA1542" i="8" s="1"/>
  <c r="AA1525" i="8"/>
  <c r="AE95" i="8"/>
  <c r="AE96" i="8" s="1"/>
  <c r="F96" i="8" s="1"/>
  <c r="AE34" i="12"/>
  <c r="AD235" i="2"/>
  <c r="AC43" i="12"/>
  <c r="AC119" i="8"/>
  <c r="AC120" i="8" s="1"/>
  <c r="AE176" i="2"/>
  <c r="AD32" i="12"/>
  <c r="AD87" i="8"/>
  <c r="AD88" i="8" s="1"/>
  <c r="AE177" i="2"/>
  <c r="AD33" i="12"/>
  <c r="AD91" i="8"/>
  <c r="AD92" i="8" s="1"/>
  <c r="AE22" i="12"/>
  <c r="AE59" i="8"/>
  <c r="AE60" i="8" s="1"/>
  <c r="F60" i="8" s="1"/>
  <c r="AE71" i="8"/>
  <c r="AE72" i="8" s="1"/>
  <c r="F72" i="8" s="1"/>
  <c r="AE25" i="12"/>
  <c r="AB51" i="12"/>
  <c r="AB67" i="15" s="1"/>
  <c r="AE20" i="12"/>
  <c r="AE51" i="8"/>
  <c r="AE52" i="8" s="1"/>
  <c r="F52" i="8" s="1"/>
  <c r="AE115" i="2"/>
  <c r="AD19" i="12"/>
  <c r="AD47" i="8"/>
  <c r="AD48" i="8" s="1"/>
  <c r="AD237" i="2"/>
  <c r="AC45" i="12"/>
  <c r="AC127" i="8"/>
  <c r="AC128" i="8" s="1"/>
  <c r="AD59" i="2"/>
  <c r="AC11" i="12"/>
  <c r="AC27" i="8"/>
  <c r="AC28" i="8" s="1"/>
  <c r="AE26" i="12"/>
  <c r="AE75" i="8"/>
  <c r="AE76" i="8" s="1"/>
  <c r="F76" i="8" s="1"/>
  <c r="AE99" i="8"/>
  <c r="AE100" i="8" s="1"/>
  <c r="F100" i="8" s="1"/>
  <c r="AE35" i="12"/>
  <c r="AE114" i="2"/>
  <c r="AD18" i="12"/>
  <c r="AD43" i="8"/>
  <c r="AD44" i="8" s="1"/>
  <c r="AD123" i="2"/>
  <c r="AD242" i="2"/>
  <c r="AC50" i="12"/>
  <c r="AC147" i="8"/>
  <c r="AC148" i="8" s="1"/>
  <c r="AD54" i="2"/>
  <c r="AC6" i="12"/>
  <c r="AC7" i="8"/>
  <c r="AC8" i="8" s="1"/>
  <c r="AC63" i="2"/>
  <c r="AE62" i="2"/>
  <c r="AD14" i="12"/>
  <c r="AD39" i="8"/>
  <c r="AD40" i="8" s="1"/>
  <c r="AD61" i="2"/>
  <c r="AC13" i="12"/>
  <c r="AC35" i="8"/>
  <c r="AC36" i="8" s="1"/>
  <c r="AE56" i="2"/>
  <c r="AD8" i="12"/>
  <c r="AD15" i="8"/>
  <c r="AD16" i="8" s="1"/>
  <c r="AE38" i="12"/>
  <c r="AE111" i="8"/>
  <c r="AE112" i="8" s="1"/>
  <c r="F112" i="8" s="1"/>
  <c r="AE174" i="2"/>
  <c r="AD30" i="12"/>
  <c r="AD79" i="8"/>
  <c r="AD80" i="8" s="1"/>
  <c r="AD183" i="2"/>
  <c r="AE175" i="2"/>
  <c r="AD31" i="12"/>
  <c r="AD83" i="8"/>
  <c r="AD84" i="8" s="1"/>
  <c r="AD238" i="2"/>
  <c r="AC46" i="12"/>
  <c r="AC131" i="8"/>
  <c r="AC132" i="8" s="1"/>
  <c r="AD236" i="2"/>
  <c r="AC44" i="12"/>
  <c r="AC123" i="8"/>
  <c r="AC124" i="8" s="1"/>
  <c r="AE63" i="8"/>
  <c r="AE64" i="8" s="1"/>
  <c r="F64" i="8" s="1"/>
  <c r="AE23" i="12"/>
  <c r="AE181" i="2"/>
  <c r="AD37" i="12"/>
  <c r="AD107" i="8"/>
  <c r="AD108" i="8" s="1"/>
  <c r="AD58" i="2"/>
  <c r="AC10" i="12"/>
  <c r="AC23" i="8"/>
  <c r="AC24" i="8" s="1"/>
  <c r="AD60" i="2"/>
  <c r="AC12" i="12"/>
  <c r="AC31" i="8"/>
  <c r="AC32" i="8" s="1"/>
  <c r="AE241" i="2"/>
  <c r="AD49" i="12"/>
  <c r="AD143" i="8"/>
  <c r="AD144" i="8" s="1"/>
  <c r="AD234" i="2"/>
  <c r="AC42" i="12"/>
  <c r="AC115" i="8"/>
  <c r="AC116" i="8" s="1"/>
  <c r="AC243" i="2"/>
  <c r="AE180" i="2"/>
  <c r="AD36" i="12"/>
  <c r="AD103" i="8"/>
  <c r="AD104" i="8" s="1"/>
  <c r="AA59" i="17" l="1"/>
  <c r="Z63" i="17"/>
  <c r="Z64" i="17" s="1"/>
  <c r="AA18" i="15"/>
  <c r="AA19" i="15" s="1"/>
  <c r="AA25" i="15" s="1"/>
  <c r="Y26" i="15"/>
  <c r="AA53" i="15"/>
  <c r="AA1847" i="8" s="1"/>
  <c r="AA54" i="15"/>
  <c r="X1838" i="8"/>
  <c r="X27" i="15"/>
  <c r="X1835" i="8" s="1"/>
  <c r="AB1532" i="8"/>
  <c r="AB1533" i="8" s="1"/>
  <c r="AB52" i="15"/>
  <c r="AB17" i="15"/>
  <c r="AB58" i="15"/>
  <c r="AB1848" i="8" s="1"/>
  <c r="AB59" i="15"/>
  <c r="AC1524" i="8"/>
  <c r="AC62" i="15"/>
  <c r="AB68" i="15"/>
  <c r="AB1850" i="8" s="1"/>
  <c r="AB69" i="15"/>
  <c r="AB63" i="15"/>
  <c r="AB1849" i="8" s="1"/>
  <c r="AB64" i="15"/>
  <c r="AC1523" i="8"/>
  <c r="AC57" i="15"/>
  <c r="Z28" i="15"/>
  <c r="Z1834" i="8"/>
  <c r="Z25" i="15"/>
  <c r="S364" i="14"/>
  <c r="S366" i="14" s="1"/>
  <c r="AE348" i="14"/>
  <c r="AE350" i="14" s="1"/>
  <c r="AD351" i="14"/>
  <c r="AD353" i="14" s="1"/>
  <c r="X363" i="14"/>
  <c r="X365" i="14" s="1"/>
  <c r="Z359" i="14"/>
  <c r="Z361" i="14" s="1"/>
  <c r="AC356" i="14"/>
  <c r="AC358" i="14" s="1"/>
  <c r="U364" i="14"/>
  <c r="U366" i="14" s="1"/>
  <c r="AA359" i="14"/>
  <c r="AA361" i="14" s="1"/>
  <c r="W368" i="14"/>
  <c r="W370" i="14" s="1"/>
  <c r="R364" i="14"/>
  <c r="R366" i="14" s="1"/>
  <c r="Y360" i="14"/>
  <c r="Y362" i="14" s="1"/>
  <c r="T367" i="14"/>
  <c r="T369" i="14" s="1"/>
  <c r="V364" i="14"/>
  <c r="V366" i="14" s="1"/>
  <c r="AB356" i="14"/>
  <c r="AB358" i="14" s="1"/>
  <c r="AD1580" i="8"/>
  <c r="AD1686" i="8"/>
  <c r="AC1581" i="8"/>
  <c r="AC1687" i="8"/>
  <c r="AC1578" i="8"/>
  <c r="AC1684" i="8"/>
  <c r="AB1522" i="8"/>
  <c r="AC1538" i="8"/>
  <c r="AC1539" i="8" s="1"/>
  <c r="AD1579" i="8"/>
  <c r="AD1685" i="8"/>
  <c r="AC1535" i="8"/>
  <c r="AC1536" i="8" s="1"/>
  <c r="AC51" i="12"/>
  <c r="AC15" i="12"/>
  <c r="AD27" i="12"/>
  <c r="AE83" i="8"/>
  <c r="AE84" i="8" s="1"/>
  <c r="F84" i="8" s="1"/>
  <c r="AE31" i="12"/>
  <c r="AE242" i="2"/>
  <c r="AD50" i="12"/>
  <c r="AD147" i="8"/>
  <c r="AD148" i="8" s="1"/>
  <c r="AE107" i="8"/>
  <c r="AE108" i="8" s="1"/>
  <c r="F108" i="8" s="1"/>
  <c r="AE37" i="12"/>
  <c r="AE236" i="2"/>
  <c r="AD44" i="12"/>
  <c r="AD123" i="8"/>
  <c r="AD124" i="8" s="1"/>
  <c r="AE61" i="2"/>
  <c r="AD13" i="12"/>
  <c r="AD35" i="8"/>
  <c r="AD36" i="8" s="1"/>
  <c r="AE33" i="12"/>
  <c r="AE91" i="8"/>
  <c r="AE92" i="8" s="1"/>
  <c r="F92" i="8" s="1"/>
  <c r="AE234" i="2"/>
  <c r="AD42" i="12"/>
  <c r="AD115" i="8"/>
  <c r="AD116" i="8" s="1"/>
  <c r="AD243" i="2"/>
  <c r="AE32" i="12"/>
  <c r="AE87" i="8"/>
  <c r="AE88" i="8" s="1"/>
  <c r="F88" i="8" s="1"/>
  <c r="AE47" i="8"/>
  <c r="AE48" i="8" s="1"/>
  <c r="F48" i="8" s="1"/>
  <c r="AE19" i="12"/>
  <c r="AE49" i="12"/>
  <c r="AE143" i="8"/>
  <c r="AE144" i="8" s="1"/>
  <c r="F144" i="8" s="1"/>
  <c r="AE14" i="12"/>
  <c r="AE39" i="8"/>
  <c r="AE40" i="8" s="1"/>
  <c r="F40" i="8" s="1"/>
  <c r="AE237" i="2"/>
  <c r="AD45" i="12"/>
  <c r="AD127" i="8"/>
  <c r="AD128" i="8" s="1"/>
  <c r="AE67" i="8"/>
  <c r="AE68" i="8" s="1"/>
  <c r="F68" i="8" s="1"/>
  <c r="AE24" i="12"/>
  <c r="AE54" i="2"/>
  <c r="AD6" i="12"/>
  <c r="AD7" i="8"/>
  <c r="AD8" i="8" s="1"/>
  <c r="AD63" i="2"/>
  <c r="AE18" i="12"/>
  <c r="AE43" i="8"/>
  <c r="AE44" i="8" s="1"/>
  <c r="F44" i="8" s="1"/>
  <c r="AE123" i="2"/>
  <c r="AB1541" i="8"/>
  <c r="AB1542" i="8" s="1"/>
  <c r="AB1525" i="8"/>
  <c r="AE55" i="8"/>
  <c r="AE56" i="8" s="1"/>
  <c r="F56" i="8" s="1"/>
  <c r="AE21" i="12"/>
  <c r="AE7" i="12"/>
  <c r="AE11" i="8"/>
  <c r="AE12" i="8" s="1"/>
  <c r="F12" i="8" s="1"/>
  <c r="AE58" i="2"/>
  <c r="AD10" i="12"/>
  <c r="AD23" i="8"/>
  <c r="AD24" i="8" s="1"/>
  <c r="AE240" i="2"/>
  <c r="AD139" i="8"/>
  <c r="AD140" i="8" s="1"/>
  <c r="AD48" i="12"/>
  <c r="AE8" i="12"/>
  <c r="AE15" i="8"/>
  <c r="AE16" i="8" s="1"/>
  <c r="F16" i="8" s="1"/>
  <c r="AE60" i="2"/>
  <c r="AD12" i="12"/>
  <c r="AD31" i="8"/>
  <c r="AD32" i="8" s="1"/>
  <c r="AE59" i="2"/>
  <c r="AD11" i="12"/>
  <c r="AD27" i="8"/>
  <c r="AD28" i="8" s="1"/>
  <c r="AE235" i="2"/>
  <c r="AD43" i="12"/>
  <c r="AD119" i="8"/>
  <c r="AD120" i="8" s="1"/>
  <c r="AE36" i="12"/>
  <c r="AE103" i="8"/>
  <c r="AE104" i="8" s="1"/>
  <c r="F104" i="8" s="1"/>
  <c r="AE238" i="2"/>
  <c r="AD46" i="12"/>
  <c r="AD131" i="8"/>
  <c r="AD132" i="8" s="1"/>
  <c r="AD39" i="12"/>
  <c r="AD62" i="15" s="1"/>
  <c r="AE30" i="12"/>
  <c r="AE79" i="8"/>
  <c r="AE80" i="8" s="1"/>
  <c r="F80" i="8" s="1"/>
  <c r="AE183" i="2"/>
  <c r="AE19" i="8"/>
  <c r="AE20" i="8" s="1"/>
  <c r="F20" i="8" s="1"/>
  <c r="AE9" i="12"/>
  <c r="AE239" i="2"/>
  <c r="AD47" i="12"/>
  <c r="AD135" i="8"/>
  <c r="AD136" i="8" s="1"/>
  <c r="AB59" i="17" l="1"/>
  <c r="AA63" i="17"/>
  <c r="AA64" i="17" s="1"/>
  <c r="AB18" i="15"/>
  <c r="AB19" i="15" s="1"/>
  <c r="Y1838" i="8"/>
  <c r="Y66" i="17"/>
  <c r="AA1834" i="8"/>
  <c r="Y27" i="15"/>
  <c r="Y1835" i="8" s="1"/>
  <c r="AA28" i="15"/>
  <c r="AB53" i="15"/>
  <c r="AB1847" i="8" s="1"/>
  <c r="AB54" i="15"/>
  <c r="AD1523" i="8"/>
  <c r="AD57" i="15"/>
  <c r="AA1837" i="8"/>
  <c r="AA26" i="15"/>
  <c r="AA66" i="17" s="1"/>
  <c r="AC1522" i="8"/>
  <c r="AC52" i="15"/>
  <c r="AC17" i="15"/>
  <c r="AC58" i="15"/>
  <c r="AC1848" i="8" s="1"/>
  <c r="AC59" i="15"/>
  <c r="AC1525" i="8"/>
  <c r="AC67" i="15"/>
  <c r="AD63" i="15"/>
  <c r="AD1849" i="8" s="1"/>
  <c r="AD64" i="15"/>
  <c r="Z1837" i="8"/>
  <c r="Z26" i="15"/>
  <c r="Z66" i="17" s="1"/>
  <c r="AC63" i="15"/>
  <c r="AC1849" i="8" s="1"/>
  <c r="AC64" i="15"/>
  <c r="AA360" i="14"/>
  <c r="AA362" i="14" s="1"/>
  <c r="W371" i="14"/>
  <c r="W373" i="14" s="1"/>
  <c r="AB359" i="14"/>
  <c r="AB361" i="14" s="1"/>
  <c r="Y363" i="14"/>
  <c r="Y365" i="14" s="1"/>
  <c r="AC359" i="14"/>
  <c r="AC361" i="14" s="1"/>
  <c r="V367" i="14"/>
  <c r="V369" i="14" s="1"/>
  <c r="U367" i="14"/>
  <c r="U369" i="14" s="1"/>
  <c r="T368" i="14"/>
  <c r="T370" i="14" s="1"/>
  <c r="Z360" i="14"/>
  <c r="Z362" i="14" s="1"/>
  <c r="S367" i="14"/>
  <c r="S369" i="14" s="1"/>
  <c r="X364" i="14"/>
  <c r="X366" i="14" s="1"/>
  <c r="R367" i="14"/>
  <c r="R369" i="14" s="1"/>
  <c r="AD352" i="14"/>
  <c r="AD354" i="14" s="1"/>
  <c r="AE351" i="14"/>
  <c r="AE353" i="14" s="1"/>
  <c r="AC1541" i="8"/>
  <c r="AC1542" i="8" s="1"/>
  <c r="AE1580" i="8"/>
  <c r="F1580" i="8" s="1"/>
  <c r="AE1686" i="8"/>
  <c r="F1686" i="8" s="1"/>
  <c r="AD1581" i="8"/>
  <c r="AD1687" i="8"/>
  <c r="AD1578" i="8"/>
  <c r="AD1684" i="8"/>
  <c r="AE1579" i="8"/>
  <c r="F1579" i="8" s="1"/>
  <c r="AE1685" i="8"/>
  <c r="F1685" i="8" s="1"/>
  <c r="AC1532" i="8"/>
  <c r="AC1533" i="8" s="1"/>
  <c r="AD1535" i="8"/>
  <c r="AD1536" i="8" s="1"/>
  <c r="AD15" i="12"/>
  <c r="AE27" i="12"/>
  <c r="AD51" i="12"/>
  <c r="AD67" i="15" s="1"/>
  <c r="AE147" i="8"/>
  <c r="AE148" i="8" s="1"/>
  <c r="F148" i="8" s="1"/>
  <c r="AE50" i="12"/>
  <c r="AE27" i="8"/>
  <c r="AE28" i="8" s="1"/>
  <c r="F28" i="8" s="1"/>
  <c r="AE11" i="12"/>
  <c r="AE42" i="12"/>
  <c r="AE115" i="8"/>
  <c r="AE116" i="8" s="1"/>
  <c r="F116" i="8" s="1"/>
  <c r="AE243" i="2"/>
  <c r="AE127" i="8"/>
  <c r="AE128" i="8" s="1"/>
  <c r="F128" i="8" s="1"/>
  <c r="AE45" i="12"/>
  <c r="AE39" i="12"/>
  <c r="AE62" i="15" s="1"/>
  <c r="AE6" i="12"/>
  <c r="AE7" i="8"/>
  <c r="AE8" i="8" s="1"/>
  <c r="F8" i="8" s="1"/>
  <c r="AE63" i="2"/>
  <c r="AE119" i="8"/>
  <c r="AE120" i="8" s="1"/>
  <c r="F120" i="8" s="1"/>
  <c r="AE43" i="12"/>
  <c r="AD1524" i="8"/>
  <c r="AD1538" i="8"/>
  <c r="AD1539" i="8" s="1"/>
  <c r="AE135" i="8"/>
  <c r="AE136" i="8" s="1"/>
  <c r="F136" i="8" s="1"/>
  <c r="AE47" i="12"/>
  <c r="AE139" i="8"/>
  <c r="AE140" i="8" s="1"/>
  <c r="F140" i="8" s="1"/>
  <c r="AE48" i="12"/>
  <c r="AE31" i="8"/>
  <c r="AE32" i="8" s="1"/>
  <c r="F32" i="8" s="1"/>
  <c r="AE12" i="12"/>
  <c r="AE13" i="12"/>
  <c r="AE35" i="8"/>
  <c r="AE36" i="8" s="1"/>
  <c r="F36" i="8" s="1"/>
  <c r="AE131" i="8"/>
  <c r="AE132" i="8" s="1"/>
  <c r="F132" i="8" s="1"/>
  <c r="AE46" i="12"/>
  <c r="AE23" i="8"/>
  <c r="AE24" i="8" s="1"/>
  <c r="F24" i="8" s="1"/>
  <c r="AE10" i="12"/>
  <c r="AE123" i="8"/>
  <c r="AE124" i="8" s="1"/>
  <c r="F124" i="8" s="1"/>
  <c r="AE44" i="12"/>
  <c r="AC59" i="17" l="1"/>
  <c r="AB63" i="17"/>
  <c r="AB64" i="17" s="1"/>
  <c r="AC18" i="15"/>
  <c r="AC19" i="15" s="1"/>
  <c r="AD68" i="15"/>
  <c r="AD1850" i="8" s="1"/>
  <c r="AD69" i="15"/>
  <c r="AE1523" i="8"/>
  <c r="F1523" i="8" s="1"/>
  <c r="AE57" i="15"/>
  <c r="AD1522" i="8"/>
  <c r="AD52" i="15"/>
  <c r="AD17" i="15"/>
  <c r="AE63" i="15"/>
  <c r="AE1849" i="8" s="1"/>
  <c r="F1849" i="8" s="1"/>
  <c r="AE64" i="15"/>
  <c r="AA1838" i="8"/>
  <c r="AA27" i="15"/>
  <c r="AA1835" i="8" s="1"/>
  <c r="Z27" i="15"/>
  <c r="Z1835" i="8" s="1"/>
  <c r="Z1838" i="8"/>
  <c r="AC54" i="15"/>
  <c r="AC53" i="15"/>
  <c r="AC1847" i="8" s="1"/>
  <c r="AD58" i="15"/>
  <c r="AD1848" i="8" s="1"/>
  <c r="AD59" i="15"/>
  <c r="AB1834" i="8"/>
  <c r="AB25" i="15"/>
  <c r="AB28" i="15"/>
  <c r="AC68" i="15"/>
  <c r="AC1850" i="8" s="1"/>
  <c r="AC69" i="15"/>
  <c r="V368" i="14"/>
  <c r="V370" i="14" s="1"/>
  <c r="S368" i="14"/>
  <c r="S370" i="14" s="1"/>
  <c r="S371" i="14" s="1"/>
  <c r="S373" i="14" s="1"/>
  <c r="T371" i="14"/>
  <c r="T373" i="14" s="1"/>
  <c r="X367" i="14"/>
  <c r="X369" i="14" s="1"/>
  <c r="AA363" i="14"/>
  <c r="AA365" i="14" s="1"/>
  <c r="R368" i="14"/>
  <c r="R370" i="14" s="1"/>
  <c r="AC360" i="14"/>
  <c r="AC362" i="14" s="1"/>
  <c r="AE352" i="14"/>
  <c r="AE354" i="14" s="1"/>
  <c r="Y364" i="14"/>
  <c r="Y366" i="14" s="1"/>
  <c r="AD355" i="14"/>
  <c r="AD357" i="14" s="1"/>
  <c r="AB360" i="14"/>
  <c r="AB362" i="14" s="1"/>
  <c r="Z363" i="14"/>
  <c r="Z365" i="14" s="1"/>
  <c r="W372" i="14"/>
  <c r="W374" i="14" s="1"/>
  <c r="U368" i="14"/>
  <c r="U370" i="14" s="1"/>
  <c r="AD1532" i="8"/>
  <c r="AD1533" i="8" s="1"/>
  <c r="AE1581" i="8"/>
  <c r="F1581" i="8" s="1"/>
  <c r="AE1687" i="8"/>
  <c r="F1687" i="8" s="1"/>
  <c r="AE1578" i="8"/>
  <c r="F1578" i="8" s="1"/>
  <c r="AE1684" i="8"/>
  <c r="F1684" i="8" s="1"/>
  <c r="AE1535" i="8"/>
  <c r="AE1536" i="8" s="1"/>
  <c r="F1536" i="8" s="1"/>
  <c r="G1536" i="8" s="1"/>
  <c r="AE15" i="12"/>
  <c r="D2" i="8"/>
  <c r="AE1524" i="8"/>
  <c r="F1524" i="8" s="1"/>
  <c r="AE1538" i="8"/>
  <c r="AE1539" i="8" s="1"/>
  <c r="F1539" i="8" s="1"/>
  <c r="AD1525" i="8"/>
  <c r="AD1541" i="8"/>
  <c r="AD1542" i="8" s="1"/>
  <c r="AE51" i="12"/>
  <c r="AE67" i="15" s="1"/>
  <c r="AD59" i="17" l="1"/>
  <c r="AC63" i="17"/>
  <c r="AC64" i="17" s="1"/>
  <c r="AD18" i="15"/>
  <c r="AD19" i="15" s="1"/>
  <c r="AE68" i="15"/>
  <c r="AE1850" i="8" s="1"/>
  <c r="F1850" i="8" s="1"/>
  <c r="AE69" i="15"/>
  <c r="AC1834" i="8"/>
  <c r="AC25" i="15"/>
  <c r="AC28" i="15"/>
  <c r="AB1837" i="8"/>
  <c r="AB26" i="15"/>
  <c r="AB66" i="17" s="1"/>
  <c r="AE1532" i="8"/>
  <c r="AE1533" i="8" s="1"/>
  <c r="F1533" i="8" s="1"/>
  <c r="G1533" i="8" s="1"/>
  <c r="AE52" i="15"/>
  <c r="AE17" i="15"/>
  <c r="AD53" i="15"/>
  <c r="AD1847" i="8" s="1"/>
  <c r="AD54" i="15"/>
  <c r="AE58" i="15"/>
  <c r="AE1848" i="8" s="1"/>
  <c r="F1848" i="8" s="1"/>
  <c r="AE59" i="15"/>
  <c r="AE1522" i="8"/>
  <c r="F1522" i="8" s="1"/>
  <c r="S372" i="14"/>
  <c r="S374" i="14" s="1"/>
  <c r="Y367" i="14"/>
  <c r="Y369" i="14" s="1"/>
  <c r="AE355" i="14"/>
  <c r="AE357" i="14" s="1"/>
  <c r="U371" i="14"/>
  <c r="U373" i="14" s="1"/>
  <c r="AB363" i="14"/>
  <c r="AB365" i="14" s="1"/>
  <c r="Z364" i="14"/>
  <c r="Z366" i="14" s="1"/>
  <c r="AA364" i="14"/>
  <c r="W375" i="14"/>
  <c r="W377" i="14" s="1"/>
  <c r="AA366" i="14"/>
  <c r="V371" i="14"/>
  <c r="V373" i="14" s="1"/>
  <c r="AD356" i="14"/>
  <c r="AD358" i="14" s="1"/>
  <c r="X368" i="14"/>
  <c r="X370" i="14" s="1"/>
  <c r="AC363" i="14"/>
  <c r="AC365" i="14" s="1"/>
  <c r="R371" i="14"/>
  <c r="R373" i="14" s="1"/>
  <c r="T372" i="14"/>
  <c r="T374" i="14"/>
  <c r="AE1525" i="8"/>
  <c r="F1525" i="8" s="1"/>
  <c r="AE1541" i="8"/>
  <c r="AE1542" i="8" s="1"/>
  <c r="F1542" i="8" s="1"/>
  <c r="AE59" i="17" l="1"/>
  <c r="F1912" i="8" s="1"/>
  <c r="AD63" i="17"/>
  <c r="AD64" i="17" s="1"/>
  <c r="AE18" i="15"/>
  <c r="AE19" i="15" s="1"/>
  <c r="AE28" i="15" s="1"/>
  <c r="AE53" i="15"/>
  <c r="AE1847" i="8" s="1"/>
  <c r="F1847" i="8" s="1"/>
  <c r="AE54" i="15"/>
  <c r="AB1838" i="8"/>
  <c r="AB27" i="15"/>
  <c r="AB1835" i="8" s="1"/>
  <c r="AC1837" i="8"/>
  <c r="AC26" i="15"/>
  <c r="AC66" i="17" s="1"/>
  <c r="AD1834" i="8"/>
  <c r="AD25" i="15"/>
  <c r="AD28" i="15"/>
  <c r="V372" i="14"/>
  <c r="V374" i="14" s="1"/>
  <c r="V375" i="14" s="1"/>
  <c r="V377" i="14" s="1"/>
  <c r="AC364" i="14"/>
  <c r="AC366" i="14" s="1"/>
  <c r="X371" i="14"/>
  <c r="X373" i="14" s="1"/>
  <c r="AD359" i="14"/>
  <c r="AD361" i="14" s="1"/>
  <c r="Z367" i="14"/>
  <c r="Z369" i="14" s="1"/>
  <c r="R372" i="14"/>
  <c r="R374" i="14" s="1"/>
  <c r="W376" i="14"/>
  <c r="W378" i="14" s="1"/>
  <c r="AB364" i="14"/>
  <c r="AB366" i="14" s="1"/>
  <c r="U372" i="14"/>
  <c r="U374" i="14" s="1"/>
  <c r="AE356" i="14"/>
  <c r="AE358" i="14" s="1"/>
  <c r="T375" i="14"/>
  <c r="T377" i="14" s="1"/>
  <c r="AA367" i="14"/>
  <c r="AA369" i="14" s="1"/>
  <c r="Y368" i="14"/>
  <c r="Y370" i="14" s="1"/>
  <c r="S375" i="14"/>
  <c r="S377" i="14" s="1"/>
  <c r="AE63" i="17" l="1"/>
  <c r="AE1834" i="8"/>
  <c r="F1834" i="8" s="1"/>
  <c r="AE25" i="15"/>
  <c r="AE1837" i="8" s="1"/>
  <c r="AD1837" i="8"/>
  <c r="AD26" i="15"/>
  <c r="AD66" i="17" s="1"/>
  <c r="AC27" i="15"/>
  <c r="AC1835" i="8" s="1"/>
  <c r="AC1838" i="8"/>
  <c r="U375" i="14"/>
  <c r="U377" i="14" s="1"/>
  <c r="W379" i="14"/>
  <c r="W381" i="14" s="1"/>
  <c r="AC367" i="14"/>
  <c r="AC369" i="14" s="1"/>
  <c r="AB367" i="14"/>
  <c r="AB369" i="14" s="1"/>
  <c r="R375" i="14"/>
  <c r="R377" i="14" s="1"/>
  <c r="V376" i="14"/>
  <c r="V378" i="14" s="1"/>
  <c r="S376" i="14"/>
  <c r="S378" i="14" s="1"/>
  <c r="Y371" i="14"/>
  <c r="Y373" i="14" s="1"/>
  <c r="AA368" i="14"/>
  <c r="AA370" i="14" s="1"/>
  <c r="Z368" i="14"/>
  <c r="Z370" i="14" s="1"/>
  <c r="AE359" i="14"/>
  <c r="AE361" i="14" s="1"/>
  <c r="AD360" i="14"/>
  <c r="AD362" i="14" s="1"/>
  <c r="T376" i="14"/>
  <c r="T378" i="14" s="1"/>
  <c r="X372" i="14"/>
  <c r="X374" i="14" s="1"/>
  <c r="AE64" i="17" l="1"/>
  <c r="F1914" i="8"/>
  <c r="F1913" i="8"/>
  <c r="AE26" i="15"/>
  <c r="AE66" i="17" s="1"/>
  <c r="F1837" i="8"/>
  <c r="AD27" i="15"/>
  <c r="AD1835" i="8" s="1"/>
  <c r="AD1838" i="8"/>
  <c r="AA371" i="14"/>
  <c r="AA373" i="14" s="1"/>
  <c r="S379" i="14"/>
  <c r="S381" i="14" s="1"/>
  <c r="T379" i="14"/>
  <c r="T381" i="14" s="1"/>
  <c r="R376" i="14"/>
  <c r="R378" i="14" s="1"/>
  <c r="AD363" i="14"/>
  <c r="AD365" i="14" s="1"/>
  <c r="AE360" i="14"/>
  <c r="AE362" i="14" s="1"/>
  <c r="AB368" i="14"/>
  <c r="AB370" i="14" s="1"/>
  <c r="X375" i="14"/>
  <c r="X377" i="14" s="1"/>
  <c r="AC368" i="14"/>
  <c r="AC370" i="14" s="1"/>
  <c r="V379" i="14"/>
  <c r="V381" i="14" s="1"/>
  <c r="Z371" i="14"/>
  <c r="Z373" i="14" s="1"/>
  <c r="W380" i="14"/>
  <c r="W382" i="14" s="1"/>
  <c r="Y372" i="14"/>
  <c r="Y374" i="14" s="1"/>
  <c r="U376" i="14"/>
  <c r="U378" i="14"/>
  <c r="AE27" i="15" l="1"/>
  <c r="AE1835" i="8" s="1"/>
  <c r="F1835" i="8" s="1"/>
  <c r="AE1838" i="8"/>
  <c r="F1838" i="8" s="1"/>
  <c r="AE363" i="14"/>
  <c r="AE365" i="14" s="1"/>
  <c r="R379" i="14"/>
  <c r="R381" i="14" s="1"/>
  <c r="U379" i="14"/>
  <c r="U381" i="14" s="1"/>
  <c r="Y375" i="14"/>
  <c r="Y377" i="14" s="1"/>
  <c r="Z372" i="14"/>
  <c r="Z374" i="14" s="1"/>
  <c r="AB371" i="14"/>
  <c r="AB373" i="14" s="1"/>
  <c r="AD364" i="14"/>
  <c r="AD366" i="14" s="1"/>
  <c r="T380" i="14"/>
  <c r="T382" i="14" s="1"/>
  <c r="W383" i="14"/>
  <c r="W385" i="14" s="1"/>
  <c r="V380" i="14"/>
  <c r="V382" i="14" s="1"/>
  <c r="AC371" i="14"/>
  <c r="AC373" i="14" s="1"/>
  <c r="S380" i="14"/>
  <c r="S382" i="14" s="1"/>
  <c r="X376" i="14"/>
  <c r="X378" i="14" s="1"/>
  <c r="AA372" i="14"/>
  <c r="AA374" i="14" s="1"/>
  <c r="T383" i="14" l="1"/>
  <c r="T385" i="14" s="1"/>
  <c r="AD367" i="14"/>
  <c r="AD369" i="14" s="1"/>
  <c r="X379" i="14"/>
  <c r="X381" i="14" s="1"/>
  <c r="AA375" i="14"/>
  <c r="AA377" i="14" s="1"/>
  <c r="AB372" i="14"/>
  <c r="AB374" i="14" s="1"/>
  <c r="V383" i="14"/>
  <c r="V385" i="14" s="1"/>
  <c r="S383" i="14"/>
  <c r="S385" i="14" s="1"/>
  <c r="Y376" i="14"/>
  <c r="Y378" i="14" s="1"/>
  <c r="Z375" i="14"/>
  <c r="Z377" i="14" s="1"/>
  <c r="AC372" i="14"/>
  <c r="AC374" i="14" s="1"/>
  <c r="U380" i="14"/>
  <c r="U382" i="14" s="1"/>
  <c r="W384" i="14"/>
  <c r="W386" i="14" s="1"/>
  <c r="R380" i="14"/>
  <c r="R382" i="14" s="1"/>
  <c r="AE364" i="14"/>
  <c r="AE366" i="14" s="1"/>
  <c r="Y379" i="14" l="1"/>
  <c r="Y381" i="14" s="1"/>
  <c r="AC375" i="14"/>
  <c r="AC377" i="14" s="1"/>
  <c r="S384" i="14"/>
  <c r="S386" i="14" s="1"/>
  <c r="AB375" i="14"/>
  <c r="AB377" i="14" s="1"/>
  <c r="AE367" i="14"/>
  <c r="AE369" i="14" s="1"/>
  <c r="W387" i="14"/>
  <c r="W389" i="14" s="1"/>
  <c r="R383" i="14"/>
  <c r="R385" i="14" s="1"/>
  <c r="V384" i="14"/>
  <c r="V386" i="14" s="1"/>
  <c r="AA376" i="14"/>
  <c r="AA378" i="14" s="1"/>
  <c r="U383" i="14"/>
  <c r="U385" i="14" s="1"/>
  <c r="X380" i="14"/>
  <c r="X382" i="14" s="1"/>
  <c r="Z376" i="14"/>
  <c r="Z378" i="14" s="1"/>
  <c r="AD368" i="14"/>
  <c r="AD370" i="14" s="1"/>
  <c r="T384" i="14"/>
  <c r="T386" i="14" s="1"/>
  <c r="X383" i="14" l="1"/>
  <c r="X385" i="14" s="1"/>
  <c r="V387" i="14"/>
  <c r="V389" i="14" s="1"/>
  <c r="AA379" i="14"/>
  <c r="AA381" i="14" s="1"/>
  <c r="S387" i="14"/>
  <c r="S389" i="14" s="1"/>
  <c r="Z379" i="14"/>
  <c r="Z381" i="14" s="1"/>
  <c r="W388" i="14"/>
  <c r="W390" i="14" s="1"/>
  <c r="T387" i="14"/>
  <c r="T389" i="14" s="1"/>
  <c r="R384" i="14"/>
  <c r="R386" i="14" s="1"/>
  <c r="AD371" i="14"/>
  <c r="AD373" i="14" s="1"/>
  <c r="AE368" i="14"/>
  <c r="AE370" i="14" s="1"/>
  <c r="AB376" i="14"/>
  <c r="AB378" i="14" s="1"/>
  <c r="U384" i="14"/>
  <c r="U386" i="14" s="1"/>
  <c r="AC376" i="14"/>
  <c r="AC378" i="14" s="1"/>
  <c r="Y380" i="14"/>
  <c r="Y382" i="14" s="1"/>
  <c r="W391" i="14" l="1"/>
  <c r="W393" i="14" s="1"/>
  <c r="AB379" i="14"/>
  <c r="AB381" i="14" s="1"/>
  <c r="U387" i="14"/>
  <c r="U389" i="14" s="1"/>
  <c r="R387" i="14"/>
  <c r="R389" i="14" s="1"/>
  <c r="Y383" i="14"/>
  <c r="Y385" i="14" s="1"/>
  <c r="Z380" i="14"/>
  <c r="Z382" i="14" s="1"/>
  <c r="AE371" i="14"/>
  <c r="AE373" i="14" s="1"/>
  <c r="S388" i="14"/>
  <c r="S390" i="14" s="1"/>
  <c r="AC379" i="14"/>
  <c r="AC381" i="14" s="1"/>
  <c r="AA380" i="14"/>
  <c r="AA382" i="14" s="1"/>
  <c r="AD372" i="14"/>
  <c r="AD374" i="14" s="1"/>
  <c r="V388" i="14"/>
  <c r="V390" i="14" s="1"/>
  <c r="T388" i="14"/>
  <c r="T390" i="14" s="1"/>
  <c r="X384" i="14"/>
  <c r="X386" i="14" s="1"/>
  <c r="AC380" i="14" l="1"/>
  <c r="AC382" i="14" s="1"/>
  <c r="Z383" i="14"/>
  <c r="Z385" i="14" s="1"/>
  <c r="AA383" i="14"/>
  <c r="AA385" i="14" s="1"/>
  <c r="S391" i="14"/>
  <c r="S393" i="14" s="1"/>
  <c r="AE372" i="14"/>
  <c r="AE374" i="14" s="1"/>
  <c r="U388" i="14"/>
  <c r="U390" i="14" s="1"/>
  <c r="AB380" i="14"/>
  <c r="AB382" i="14"/>
  <c r="X387" i="14"/>
  <c r="X389" i="14" s="1"/>
  <c r="AD375" i="14"/>
  <c r="AD377" i="14" s="1"/>
  <c r="V391" i="14"/>
  <c r="V393" i="14" s="1"/>
  <c r="Y384" i="14"/>
  <c r="Y386" i="14" s="1"/>
  <c r="R388" i="14"/>
  <c r="R390" i="14" s="1"/>
  <c r="W392" i="14"/>
  <c r="W394" i="14" s="1"/>
  <c r="W397" i="14" s="1"/>
  <c r="T391" i="14"/>
  <c r="T393" i="14" s="1"/>
  <c r="U391" i="14" l="1"/>
  <c r="U393" i="14" s="1"/>
  <c r="AB383" i="14"/>
  <c r="AB385" i="14" s="1"/>
  <c r="Y387" i="14"/>
  <c r="Y389" i="14" s="1"/>
  <c r="W404" i="14"/>
  <c r="W1712" i="8" s="1"/>
  <c r="W410" i="14"/>
  <c r="W81" i="5" s="1"/>
  <c r="W413" i="14"/>
  <c r="W84" i="5" s="1"/>
  <c r="W416" i="14"/>
  <c r="W87" i="5" s="1"/>
  <c r="W414" i="14"/>
  <c r="W85" i="5" s="1"/>
  <c r="W1706" i="8"/>
  <c r="W418" i="14"/>
  <c r="W89" i="5" s="1"/>
  <c r="W412" i="14"/>
  <c r="W83" i="5" s="1"/>
  <c r="W415" i="14"/>
  <c r="W86" i="5" s="1"/>
  <c r="W1699" i="8"/>
  <c r="W411" i="14"/>
  <c r="W82" i="5" s="1"/>
  <c r="W400" i="14"/>
  <c r="W1709" i="8" s="1"/>
  <c r="W399" i="14"/>
  <c r="W417" i="14"/>
  <c r="W88" i="5" s="1"/>
  <c r="W49" i="10"/>
  <c r="T392" i="14"/>
  <c r="T394" i="14" s="1"/>
  <c r="T397" i="14" s="1"/>
  <c r="R391" i="14"/>
  <c r="R393" i="14" s="1"/>
  <c r="AC383" i="14"/>
  <c r="AC385" i="14" s="1"/>
  <c r="AE375" i="14"/>
  <c r="AE377" i="14" s="1"/>
  <c r="V392" i="14"/>
  <c r="V394" i="14" s="1"/>
  <c r="V397" i="14" s="1"/>
  <c r="S392" i="14"/>
  <c r="S394" i="14"/>
  <c r="S397" i="14" s="1"/>
  <c r="AD376" i="14"/>
  <c r="AD378" i="14" s="1"/>
  <c r="AA384" i="14"/>
  <c r="AA386" i="14" s="1"/>
  <c r="X388" i="14"/>
  <c r="X390" i="14" s="1"/>
  <c r="Z384" i="14"/>
  <c r="Z386" i="14" s="1"/>
  <c r="Y388" i="14" l="1"/>
  <c r="AB384" i="14"/>
  <c r="AB386" i="14" s="1"/>
  <c r="AB387" i="14" s="1"/>
  <c r="AB389" i="14" s="1"/>
  <c r="T404" i="14"/>
  <c r="T1712" i="8" s="1"/>
  <c r="T413" i="14"/>
  <c r="T84" i="5" s="1"/>
  <c r="T418" i="14"/>
  <c r="T89" i="5" s="1"/>
  <c r="T412" i="14"/>
  <c r="T83" i="5" s="1"/>
  <c r="T411" i="14"/>
  <c r="T82" i="5" s="1"/>
  <c r="T1706" i="8"/>
  <c r="T410" i="14"/>
  <c r="T81" i="5" s="1"/>
  <c r="T49" i="10"/>
  <c r="T416" i="14"/>
  <c r="T87" i="5" s="1"/>
  <c r="T1699" i="8"/>
  <c r="T414" i="14"/>
  <c r="T85" i="5" s="1"/>
  <c r="T399" i="14"/>
  <c r="T415" i="14"/>
  <c r="T86" i="5" s="1"/>
  <c r="T417" i="14"/>
  <c r="T88" i="5" s="1"/>
  <c r="T400" i="14"/>
  <c r="T1709" i="8" s="1"/>
  <c r="X391" i="14"/>
  <c r="X393" i="14" s="1"/>
  <c r="W609" i="2"/>
  <c r="W549" i="2"/>
  <c r="W429" i="2"/>
  <c r="W489" i="2"/>
  <c r="AA387" i="14"/>
  <c r="AA389" i="14" s="1"/>
  <c r="W546" i="2"/>
  <c r="W426" i="2"/>
  <c r="W486" i="2"/>
  <c r="W606" i="2"/>
  <c r="W1682" i="8"/>
  <c r="W139" i="5"/>
  <c r="W648" i="2" s="1"/>
  <c r="W432" i="2"/>
  <c r="W552" i="2"/>
  <c r="W492" i="2"/>
  <c r="W612" i="2"/>
  <c r="W1708" i="8"/>
  <c r="W398" i="14"/>
  <c r="V416" i="14"/>
  <c r="V87" i="5" s="1"/>
  <c r="V400" i="14"/>
  <c r="V1709" i="8" s="1"/>
  <c r="V399" i="14"/>
  <c r="V1706" i="8"/>
  <c r="V1699" i="8"/>
  <c r="V49" i="10"/>
  <c r="V404" i="14"/>
  <c r="V1712" i="8" s="1"/>
  <c r="V413" i="14"/>
  <c r="V84" i="5" s="1"/>
  <c r="V415" i="14"/>
  <c r="V86" i="5" s="1"/>
  <c r="V411" i="14"/>
  <c r="V82" i="5" s="1"/>
  <c r="V410" i="14"/>
  <c r="V81" i="5" s="1"/>
  <c r="V418" i="14"/>
  <c r="V89" i="5" s="1"/>
  <c r="V417" i="14"/>
  <c r="V88" i="5" s="1"/>
  <c r="V414" i="14"/>
  <c r="V85" i="5" s="1"/>
  <c r="V412" i="14"/>
  <c r="V83" i="5" s="1"/>
  <c r="Y390" i="14"/>
  <c r="R392" i="14"/>
  <c r="R394" i="14" s="1"/>
  <c r="R397" i="14" s="1"/>
  <c r="AD379" i="14"/>
  <c r="AD381" i="14" s="1"/>
  <c r="S404" i="14"/>
  <c r="S1712" i="8" s="1"/>
  <c r="S417" i="14"/>
  <c r="S88" i="5" s="1"/>
  <c r="S414" i="14"/>
  <c r="S85" i="5" s="1"/>
  <c r="S415" i="14"/>
  <c r="S86" i="5" s="1"/>
  <c r="S418" i="14"/>
  <c r="S89" i="5" s="1"/>
  <c r="S412" i="14"/>
  <c r="S83" i="5" s="1"/>
  <c r="S411" i="14"/>
  <c r="S82" i="5" s="1"/>
  <c r="S49" i="10"/>
  <c r="S416" i="14"/>
  <c r="S87" i="5" s="1"/>
  <c r="S1706" i="8"/>
  <c r="S410" i="14"/>
  <c r="S81" i="5" s="1"/>
  <c r="S399" i="14"/>
  <c r="S413" i="14"/>
  <c r="S84" i="5" s="1"/>
  <c r="S1699" i="8"/>
  <c r="S400" i="14"/>
  <c r="S1709" i="8" s="1"/>
  <c r="W607" i="2"/>
  <c r="W487" i="2"/>
  <c r="W547" i="2"/>
  <c r="W427" i="2"/>
  <c r="W550" i="2"/>
  <c r="W610" i="2"/>
  <c r="W490" i="2"/>
  <c r="W430" i="2"/>
  <c r="AE376" i="14"/>
  <c r="AE378" i="14" s="1"/>
  <c r="W431" i="2"/>
  <c r="W551" i="2"/>
  <c r="W611" i="2"/>
  <c r="W491" i="2"/>
  <c r="W428" i="2"/>
  <c r="W548" i="2"/>
  <c r="W488" i="2"/>
  <c r="W608" i="2"/>
  <c r="U392" i="14"/>
  <c r="U394" i="14" s="1"/>
  <c r="U397" i="14" s="1"/>
  <c r="Z387" i="14"/>
  <c r="Z389" i="14" s="1"/>
  <c r="W553" i="2"/>
  <c r="W613" i="2"/>
  <c r="W493" i="2"/>
  <c r="W433" i="2"/>
  <c r="AC384" i="14"/>
  <c r="AC386" i="14" s="1"/>
  <c r="W494" i="2"/>
  <c r="W554" i="2"/>
  <c r="W434" i="2"/>
  <c r="W614" i="2"/>
  <c r="W659" i="2" l="1"/>
  <c r="W37" i="15" s="1"/>
  <c r="W660" i="2"/>
  <c r="W38" i="15" s="1"/>
  <c r="W1575" i="8"/>
  <c r="W1574" i="8"/>
  <c r="W1576" i="8"/>
  <c r="AB388" i="14"/>
  <c r="AB390" i="14" s="1"/>
  <c r="Z388" i="14"/>
  <c r="Z390" i="14" s="1"/>
  <c r="Z391" i="14" s="1"/>
  <c r="Z393" i="14" s="1"/>
  <c r="W1577" i="8"/>
  <c r="R404" i="14"/>
  <c r="R1712" i="8" s="1"/>
  <c r="R410" i="14"/>
  <c r="R81" i="5" s="1"/>
  <c r="R411" i="14"/>
  <c r="R82" i="5" s="1"/>
  <c r="R415" i="14"/>
  <c r="R86" i="5" s="1"/>
  <c r="R416" i="14"/>
  <c r="R87" i="5" s="1"/>
  <c r="R413" i="14"/>
  <c r="R84" i="5" s="1"/>
  <c r="R1699" i="8"/>
  <c r="R414" i="14"/>
  <c r="R85" i="5" s="1"/>
  <c r="R400" i="14"/>
  <c r="R1709" i="8" s="1"/>
  <c r="R399" i="14"/>
  <c r="R1706" i="8"/>
  <c r="R418" i="14"/>
  <c r="R89" i="5" s="1"/>
  <c r="R412" i="14"/>
  <c r="R83" i="5" s="1"/>
  <c r="R49" i="10"/>
  <c r="R417" i="14"/>
  <c r="R88" i="5" s="1"/>
  <c r="AE379" i="14"/>
  <c r="AE381" i="14" s="1"/>
  <c r="U404" i="14"/>
  <c r="U1712" i="8" s="1"/>
  <c r="U416" i="14"/>
  <c r="U87" i="5" s="1"/>
  <c r="U412" i="14"/>
  <c r="U83" i="5" s="1"/>
  <c r="U1699" i="8"/>
  <c r="U414" i="14"/>
  <c r="U85" i="5" s="1"/>
  <c r="U418" i="14"/>
  <c r="U89" i="5" s="1"/>
  <c r="U417" i="14"/>
  <c r="U88" i="5" s="1"/>
  <c r="U400" i="14"/>
  <c r="U1709" i="8" s="1"/>
  <c r="U49" i="10"/>
  <c r="U399" i="14"/>
  <c r="U415" i="14"/>
  <c r="U86" i="5" s="1"/>
  <c r="U413" i="14"/>
  <c r="U84" i="5" s="1"/>
  <c r="U410" i="14"/>
  <c r="U81" i="5" s="1"/>
  <c r="U411" i="14"/>
  <c r="U82" i="5" s="1"/>
  <c r="U1706" i="8"/>
  <c r="V1708" i="8"/>
  <c r="V398" i="14"/>
  <c r="W1680" i="8"/>
  <c r="T1708" i="8"/>
  <c r="T398" i="14"/>
  <c r="V490" i="2"/>
  <c r="V550" i="2"/>
  <c r="V610" i="2"/>
  <c r="V430" i="2"/>
  <c r="T492" i="2"/>
  <c r="T612" i="2"/>
  <c r="T432" i="2"/>
  <c r="T552" i="2"/>
  <c r="S434" i="2"/>
  <c r="S614" i="2"/>
  <c r="S494" i="2"/>
  <c r="S554" i="2"/>
  <c r="V554" i="2"/>
  <c r="V494" i="2"/>
  <c r="V614" i="2"/>
  <c r="V434" i="2"/>
  <c r="T426" i="2"/>
  <c r="T606" i="2"/>
  <c r="T546" i="2"/>
  <c r="T486" i="2"/>
  <c r="Y391" i="14"/>
  <c r="Y393" i="14" s="1"/>
  <c r="V428" i="2"/>
  <c r="V488" i="2"/>
  <c r="V608" i="2"/>
  <c r="V548" i="2"/>
  <c r="V426" i="2"/>
  <c r="V546" i="2"/>
  <c r="V486" i="2"/>
  <c r="V606" i="2"/>
  <c r="S430" i="2"/>
  <c r="S550" i="2"/>
  <c r="S610" i="2"/>
  <c r="S490" i="2"/>
  <c r="V607" i="2"/>
  <c r="V487" i="2"/>
  <c r="V547" i="2"/>
  <c r="V427" i="2"/>
  <c r="T607" i="2"/>
  <c r="T547" i="2"/>
  <c r="T427" i="2"/>
  <c r="T487" i="2"/>
  <c r="W1678" i="8"/>
  <c r="AA388" i="14"/>
  <c r="AA390" i="14" s="1"/>
  <c r="T430" i="2"/>
  <c r="T610" i="2"/>
  <c r="T490" i="2"/>
  <c r="T550" i="2"/>
  <c r="S1682" i="8"/>
  <c r="S139" i="5"/>
  <c r="S648" i="2" s="1"/>
  <c r="V612" i="2"/>
  <c r="V552" i="2"/>
  <c r="V492" i="2"/>
  <c r="V432" i="2"/>
  <c r="S547" i="2"/>
  <c r="S487" i="2"/>
  <c r="S607" i="2"/>
  <c r="S427" i="2"/>
  <c r="W1707" i="8"/>
  <c r="W401" i="14"/>
  <c r="V433" i="2"/>
  <c r="V613" i="2"/>
  <c r="V553" i="2"/>
  <c r="V493" i="2"/>
  <c r="T1682" i="8"/>
  <c r="T139" i="5"/>
  <c r="T648" i="2" s="1"/>
  <c r="S551" i="2"/>
  <c r="S431" i="2"/>
  <c r="S611" i="2"/>
  <c r="S491" i="2"/>
  <c r="S433" i="2"/>
  <c r="S493" i="2"/>
  <c r="S553" i="2"/>
  <c r="S613" i="2"/>
  <c r="V431" i="2"/>
  <c r="V611" i="2"/>
  <c r="V551" i="2"/>
  <c r="V491" i="2"/>
  <c r="X392" i="14"/>
  <c r="X394" i="14" s="1"/>
  <c r="X397" i="14" s="1"/>
  <c r="T428" i="2"/>
  <c r="T488" i="2"/>
  <c r="T548" i="2"/>
  <c r="T608" i="2"/>
  <c r="W1679" i="8"/>
  <c r="S488" i="2"/>
  <c r="S548" i="2"/>
  <c r="S428" i="2"/>
  <c r="S608" i="2"/>
  <c r="V549" i="2"/>
  <c r="V429" i="2"/>
  <c r="V489" i="2"/>
  <c r="V609" i="2"/>
  <c r="T434" i="2"/>
  <c r="T614" i="2"/>
  <c r="T494" i="2"/>
  <c r="T554" i="2"/>
  <c r="S1708" i="8"/>
  <c r="S398" i="14"/>
  <c r="T493" i="2"/>
  <c r="T553" i="2"/>
  <c r="T433" i="2"/>
  <c r="T613" i="2"/>
  <c r="S606" i="2"/>
  <c r="S546" i="2"/>
  <c r="S426" i="2"/>
  <c r="S486" i="2"/>
  <c r="AC387" i="14"/>
  <c r="AC389" i="14" s="1"/>
  <c r="T611" i="2"/>
  <c r="T431" i="2"/>
  <c r="T551" i="2"/>
  <c r="T491" i="2"/>
  <c r="S432" i="2"/>
  <c r="S552" i="2"/>
  <c r="S492" i="2"/>
  <c r="S612" i="2"/>
  <c r="W769" i="2"/>
  <c r="W756" i="2"/>
  <c r="W765" i="2"/>
  <c r="W751" i="2"/>
  <c r="W752" i="2"/>
  <c r="W754" i="2"/>
  <c r="W762" i="2"/>
  <c r="W757" i="2"/>
  <c r="W763" i="2"/>
  <c r="W1264" i="8" s="1"/>
  <c r="W1265" i="8" s="1"/>
  <c r="W753" i="2"/>
  <c r="W1683" i="8"/>
  <c r="W767" i="2"/>
  <c r="W1280" i="8" s="1"/>
  <c r="W1281" i="8" s="1"/>
  <c r="W764" i="2"/>
  <c r="W1268" i="8" s="1"/>
  <c r="W1269" i="8" s="1"/>
  <c r="W768" i="2"/>
  <c r="W1284" i="8" s="1"/>
  <c r="W1285" i="8" s="1"/>
  <c r="W758" i="2"/>
  <c r="W766" i="2"/>
  <c r="W657" i="2"/>
  <c r="W658" i="2"/>
  <c r="W755" i="2"/>
  <c r="AD380" i="14"/>
  <c r="AD382" i="14" s="1"/>
  <c r="T429" i="2"/>
  <c r="T549" i="2"/>
  <c r="T489" i="2"/>
  <c r="T609" i="2"/>
  <c r="S489" i="2"/>
  <c r="S429" i="2"/>
  <c r="S609" i="2"/>
  <c r="S549" i="2"/>
  <c r="V1682" i="8"/>
  <c r="V139" i="5"/>
  <c r="V648" i="2" s="1"/>
  <c r="W1681" i="8"/>
  <c r="T659" i="2" l="1"/>
  <c r="T37" i="15" s="1"/>
  <c r="T660" i="2"/>
  <c r="T38" i="15" s="1"/>
  <c r="V659" i="2"/>
  <c r="V37" i="15" s="1"/>
  <c r="V660" i="2"/>
  <c r="V38" i="15" s="1"/>
  <c r="S660" i="2"/>
  <c r="S38" i="15" s="1"/>
  <c r="S659" i="2"/>
  <c r="S37" i="15" s="1"/>
  <c r="W40" i="15"/>
  <c r="V1574" i="8"/>
  <c r="S1679" i="8"/>
  <c r="S1575" i="8"/>
  <c r="S1678" i="8"/>
  <c r="S1574" i="8"/>
  <c r="S1576" i="8"/>
  <c r="S1577" i="8"/>
  <c r="Y392" i="14"/>
  <c r="Y394" i="14" s="1"/>
  <c r="Y397" i="14" s="1"/>
  <c r="T1575" i="8"/>
  <c r="T1576" i="8"/>
  <c r="T1577" i="8"/>
  <c r="V1577" i="8"/>
  <c r="T1574" i="8"/>
  <c r="V1575" i="8"/>
  <c r="V1576" i="8"/>
  <c r="V1679" i="8"/>
  <c r="T1678" i="8"/>
  <c r="U1708" i="8"/>
  <c r="U398" i="14"/>
  <c r="R1682" i="8"/>
  <c r="R139" i="5"/>
  <c r="R648" i="2" s="1"/>
  <c r="W792" i="2"/>
  <c r="W1348" i="8" s="1"/>
  <c r="W1349" i="8" s="1"/>
  <c r="W1228" i="8"/>
  <c r="W1229" i="8" s="1"/>
  <c r="AC388" i="14"/>
  <c r="AC390" i="14" s="1"/>
  <c r="V1680" i="8"/>
  <c r="U1682" i="8"/>
  <c r="U139" i="5"/>
  <c r="U648" i="2" s="1"/>
  <c r="R608" i="2"/>
  <c r="R635" i="2" s="1"/>
  <c r="R428" i="2"/>
  <c r="R455" i="2" s="1"/>
  <c r="R548" i="2"/>
  <c r="R575" i="2" s="1"/>
  <c r="R488" i="2"/>
  <c r="R515" i="2" s="1"/>
  <c r="W1240" i="8"/>
  <c r="W1241" i="8" s="1"/>
  <c r="W773" i="2"/>
  <c r="W90" i="15" s="1"/>
  <c r="W795" i="2"/>
  <c r="W1360" i="8" s="1"/>
  <c r="W1361" i="8" s="1"/>
  <c r="V757" i="2"/>
  <c r="V756" i="2"/>
  <c r="V758" i="2"/>
  <c r="V762" i="2"/>
  <c r="V763" i="2"/>
  <c r="V1264" i="8" s="1"/>
  <c r="V1265" i="8" s="1"/>
  <c r="V764" i="2"/>
  <c r="V1268" i="8" s="1"/>
  <c r="V1269" i="8" s="1"/>
  <c r="V658" i="2"/>
  <c r="V657" i="2"/>
  <c r="V751" i="2"/>
  <c r="V766" i="2"/>
  <c r="V767" i="2"/>
  <c r="V1280" i="8" s="1"/>
  <c r="V1281" i="8" s="1"/>
  <c r="V768" i="2"/>
  <c r="V1284" i="8" s="1"/>
  <c r="V1285" i="8" s="1"/>
  <c r="V765" i="2"/>
  <c r="V1683" i="8"/>
  <c r="V755" i="2"/>
  <c r="V754" i="2"/>
  <c r="V769" i="2"/>
  <c r="V752" i="2"/>
  <c r="V753" i="2"/>
  <c r="V1678" i="8"/>
  <c r="R614" i="2"/>
  <c r="R641" i="2" s="1"/>
  <c r="R554" i="2"/>
  <c r="R581" i="2" s="1"/>
  <c r="R494" i="2"/>
  <c r="R521" i="2" s="1"/>
  <c r="R434" i="2"/>
  <c r="R461" i="2" s="1"/>
  <c r="W798" i="2"/>
  <c r="W1372" i="8" s="1"/>
  <c r="W1373" i="8" s="1"/>
  <c r="W775" i="2"/>
  <c r="W1252" i="8"/>
  <c r="W1253" i="8" s="1"/>
  <c r="R1708" i="8"/>
  <c r="R398" i="14"/>
  <c r="S1681" i="8"/>
  <c r="U428" i="2"/>
  <c r="U548" i="2"/>
  <c r="U488" i="2"/>
  <c r="U608" i="2"/>
  <c r="R430" i="2"/>
  <c r="R457" i="2" s="1"/>
  <c r="R550" i="2"/>
  <c r="R577" i="2" s="1"/>
  <c r="R490" i="2"/>
  <c r="R517" i="2" s="1"/>
  <c r="R610" i="2"/>
  <c r="R637" i="2" s="1"/>
  <c r="U492" i="2"/>
  <c r="U552" i="2"/>
  <c r="U432" i="2"/>
  <c r="U612" i="2"/>
  <c r="R489" i="2"/>
  <c r="R516" i="2" s="1"/>
  <c r="R429" i="2"/>
  <c r="R456" i="2" s="1"/>
  <c r="R549" i="2"/>
  <c r="R576" i="2" s="1"/>
  <c r="R609" i="2"/>
  <c r="R636" i="2" s="1"/>
  <c r="W1276" i="8"/>
  <c r="W1277" i="8" s="1"/>
  <c r="W784" i="2"/>
  <c r="X404" i="14"/>
  <c r="X1712" i="8" s="1"/>
  <c r="X49" i="10"/>
  <c r="X412" i="14"/>
  <c r="X83" i="5" s="1"/>
  <c r="X1699" i="8"/>
  <c r="X413" i="14"/>
  <c r="X84" i="5" s="1"/>
  <c r="X418" i="14"/>
  <c r="X89" i="5" s="1"/>
  <c r="X414" i="14"/>
  <c r="X85" i="5" s="1"/>
  <c r="X400" i="14"/>
  <c r="X1709" i="8" s="1"/>
  <c r="X399" i="14"/>
  <c r="X1706" i="8"/>
  <c r="X416" i="14"/>
  <c r="X87" i="5" s="1"/>
  <c r="X417" i="14"/>
  <c r="X88" i="5" s="1"/>
  <c r="X410" i="14"/>
  <c r="X81" i="5" s="1"/>
  <c r="X415" i="14"/>
  <c r="X86" i="5" s="1"/>
  <c r="X411" i="14"/>
  <c r="X82" i="5" s="1"/>
  <c r="AD383" i="14"/>
  <c r="AD385" i="14" s="1"/>
  <c r="S1680" i="8"/>
  <c r="V1707" i="8"/>
  <c r="V401" i="14"/>
  <c r="V405" i="14" s="1"/>
  <c r="S765" i="2"/>
  <c r="S767" i="2"/>
  <c r="S1280" i="8" s="1"/>
  <c r="S1281" i="8" s="1"/>
  <c r="S769" i="2"/>
  <c r="S752" i="2"/>
  <c r="S754" i="2"/>
  <c r="S758" i="2"/>
  <c r="S751" i="2"/>
  <c r="S768" i="2"/>
  <c r="S1284" i="8" s="1"/>
  <c r="S1285" i="8" s="1"/>
  <c r="S658" i="2"/>
  <c r="S753" i="2"/>
  <c r="S764" i="2"/>
  <c r="S1268" i="8" s="1"/>
  <c r="S1269" i="8" s="1"/>
  <c r="S756" i="2"/>
  <c r="S763" i="2"/>
  <c r="S1264" i="8" s="1"/>
  <c r="S1265" i="8" s="1"/>
  <c r="S757" i="2"/>
  <c r="S755" i="2"/>
  <c r="S762" i="2"/>
  <c r="S766" i="2"/>
  <c r="S657" i="2"/>
  <c r="S1683" i="8"/>
  <c r="W1232" i="8"/>
  <c r="W1233" i="8" s="1"/>
  <c r="W793" i="2"/>
  <c r="W1352" i="8" s="1"/>
  <c r="W1353" i="8" s="1"/>
  <c r="Z392" i="14"/>
  <c r="Z394" i="14" s="1"/>
  <c r="Z397" i="14" s="1"/>
  <c r="R552" i="2"/>
  <c r="R579" i="2" s="1"/>
  <c r="R432" i="2"/>
  <c r="R459" i="2" s="1"/>
  <c r="R612" i="2"/>
  <c r="R639" i="2" s="1"/>
  <c r="R492" i="2"/>
  <c r="R519" i="2" s="1"/>
  <c r="W791" i="2"/>
  <c r="W1224" i="8"/>
  <c r="W1225" i="8" s="1"/>
  <c r="W781" i="2"/>
  <c r="W695" i="2"/>
  <c r="W774" i="2"/>
  <c r="W759" i="2"/>
  <c r="T768" i="2"/>
  <c r="T1284" i="8" s="1"/>
  <c r="T1285" i="8" s="1"/>
  <c r="T757" i="2"/>
  <c r="T755" i="2"/>
  <c r="T751" i="2"/>
  <c r="T766" i="2"/>
  <c r="T658" i="2"/>
  <c r="T756" i="2"/>
  <c r="T764" i="2"/>
  <c r="T1268" i="8" s="1"/>
  <c r="T1269" i="8" s="1"/>
  <c r="T754" i="2"/>
  <c r="T762" i="2"/>
  <c r="T763" i="2"/>
  <c r="T1264" i="8" s="1"/>
  <c r="T1265" i="8" s="1"/>
  <c r="T767" i="2"/>
  <c r="T1280" i="8" s="1"/>
  <c r="T1281" i="8" s="1"/>
  <c r="T1683" i="8"/>
  <c r="T657" i="2"/>
  <c r="T753" i="2"/>
  <c r="T758" i="2"/>
  <c r="T752" i="2"/>
  <c r="T765" i="2"/>
  <c r="T769" i="2"/>
  <c r="W1710" i="8"/>
  <c r="W402" i="14"/>
  <c r="W1674" i="8" s="1"/>
  <c r="W403" i="14"/>
  <c r="W1711" i="8" s="1"/>
  <c r="U607" i="2"/>
  <c r="U487" i="2"/>
  <c r="U427" i="2"/>
  <c r="U547" i="2"/>
  <c r="AE380" i="14"/>
  <c r="AE382" i="14" s="1"/>
  <c r="R611" i="2"/>
  <c r="R638" i="2" s="1"/>
  <c r="R491" i="2"/>
  <c r="R518" i="2" s="1"/>
  <c r="R551" i="2"/>
  <c r="R578" i="2" s="1"/>
  <c r="R431" i="2"/>
  <c r="R458" i="2" s="1"/>
  <c r="T1707" i="8"/>
  <c r="T401" i="14"/>
  <c r="T405" i="14" s="1"/>
  <c r="U486" i="2"/>
  <c r="U606" i="2"/>
  <c r="U546" i="2"/>
  <c r="U426" i="2"/>
  <c r="R427" i="2"/>
  <c r="R454" i="2" s="1"/>
  <c r="R487" i="2"/>
  <c r="R514" i="2" s="1"/>
  <c r="R547" i="2"/>
  <c r="R574" i="2" s="1"/>
  <c r="R607" i="2"/>
  <c r="R634" i="2" s="1"/>
  <c r="U493" i="2"/>
  <c r="U553" i="2"/>
  <c r="U613" i="2"/>
  <c r="U433" i="2"/>
  <c r="W1272" i="8"/>
  <c r="W1273" i="8" s="1"/>
  <c r="W788" i="2"/>
  <c r="W1336" i="8" s="1"/>
  <c r="W1337" i="8" s="1"/>
  <c r="U554" i="2"/>
  <c r="U434" i="2"/>
  <c r="U494" i="2"/>
  <c r="U614" i="2"/>
  <c r="W1248" i="8"/>
  <c r="W1249" i="8" s="1"/>
  <c r="W797" i="2"/>
  <c r="W1368" i="8" s="1"/>
  <c r="W1369" i="8" s="1"/>
  <c r="T1679" i="8"/>
  <c r="W782" i="2"/>
  <c r="W73" i="17" s="1"/>
  <c r="W1260" i="8"/>
  <c r="W1261" i="8" s="1"/>
  <c r="W770" i="2"/>
  <c r="W1292" i="8" s="1"/>
  <c r="W1293" i="8" s="1"/>
  <c r="W785" i="2"/>
  <c r="W1324" i="8" s="1"/>
  <c r="W1325" i="8" s="1"/>
  <c r="AA391" i="14"/>
  <c r="AA393" i="14" s="1"/>
  <c r="W405" i="14"/>
  <c r="T1680" i="8"/>
  <c r="U609" i="2"/>
  <c r="U429" i="2"/>
  <c r="U549" i="2"/>
  <c r="U489" i="2"/>
  <c r="R606" i="2"/>
  <c r="R426" i="2"/>
  <c r="R546" i="2"/>
  <c r="R486" i="2"/>
  <c r="W1244" i="8"/>
  <c r="W1245" i="8" s="1"/>
  <c r="W796" i="2"/>
  <c r="W1364" i="8" s="1"/>
  <c r="W1365" i="8" s="1"/>
  <c r="U550" i="2"/>
  <c r="U610" i="2"/>
  <c r="U490" i="2"/>
  <c r="U430" i="2"/>
  <c r="W786" i="2"/>
  <c r="W1328" i="8" s="1"/>
  <c r="W1329" i="8" s="1"/>
  <c r="W1288" i="8"/>
  <c r="W1289" i="8" s="1"/>
  <c r="S1707" i="8"/>
  <c r="S401" i="14"/>
  <c r="S405" i="14" s="1"/>
  <c r="W777" i="2"/>
  <c r="W1236" i="8"/>
  <c r="W1237" i="8" s="1"/>
  <c r="W794" i="2"/>
  <c r="W1356" i="8" s="1"/>
  <c r="W1357" i="8" s="1"/>
  <c r="AB391" i="14"/>
  <c r="AB393" i="14" s="1"/>
  <c r="V1681" i="8"/>
  <c r="T1681" i="8"/>
  <c r="U551" i="2"/>
  <c r="U611" i="2"/>
  <c r="U491" i="2"/>
  <c r="U431" i="2"/>
  <c r="R433" i="2"/>
  <c r="R460" i="2" s="1"/>
  <c r="R553" i="2"/>
  <c r="R580" i="2" s="1"/>
  <c r="R613" i="2"/>
  <c r="R640" i="2" s="1"/>
  <c r="R493" i="2"/>
  <c r="R520" i="2" s="1"/>
  <c r="R659" i="2" l="1"/>
  <c r="R37" i="15" s="1"/>
  <c r="R660" i="2"/>
  <c r="R38" i="15" s="1"/>
  <c r="U660" i="2"/>
  <c r="U38" i="15" s="1"/>
  <c r="U659" i="2"/>
  <c r="U37" i="15" s="1"/>
  <c r="S40" i="15"/>
  <c r="W1300" i="8"/>
  <c r="W1301" i="8" s="1"/>
  <c r="W75" i="15"/>
  <c r="W1304" i="8"/>
  <c r="W1305" i="8" s="1"/>
  <c r="W85" i="15"/>
  <c r="V40" i="15"/>
  <c r="W1312" i="8"/>
  <c r="W1313" i="8" s="1"/>
  <c r="W80" i="15"/>
  <c r="T40" i="15"/>
  <c r="W738" i="2"/>
  <c r="W760" i="2" s="1"/>
  <c r="U1574" i="8"/>
  <c r="U1577" i="8"/>
  <c r="U1575" i="8"/>
  <c r="U1576" i="8"/>
  <c r="AB392" i="14"/>
  <c r="AB394" i="14" s="1"/>
  <c r="AB397" i="14" s="1"/>
  <c r="R1575" i="8"/>
  <c r="R1576" i="8"/>
  <c r="R1574" i="8"/>
  <c r="R1577" i="8"/>
  <c r="S460" i="2"/>
  <c r="R64" i="12"/>
  <c r="R179" i="8"/>
  <c r="R180" i="8" s="1"/>
  <c r="S784" i="2"/>
  <c r="S1276" i="8"/>
  <c r="S1277" i="8" s="1"/>
  <c r="S1228" i="8"/>
  <c r="S1229" i="8" s="1"/>
  <c r="S792" i="2"/>
  <c r="S1348" i="8" s="1"/>
  <c r="S1349" i="8" s="1"/>
  <c r="X613" i="2"/>
  <c r="X493" i="2"/>
  <c r="X433" i="2"/>
  <c r="X553" i="2"/>
  <c r="S636" i="2"/>
  <c r="R96" i="12"/>
  <c r="R271" i="8"/>
  <c r="R272" i="8" s="1"/>
  <c r="AC391" i="14"/>
  <c r="AC393" i="14" s="1"/>
  <c r="R95" i="12"/>
  <c r="S635" i="2"/>
  <c r="R267" i="8"/>
  <c r="R268" i="8" s="1"/>
  <c r="AA392" i="14"/>
  <c r="AA394" i="14" s="1"/>
  <c r="AA397" i="14" s="1"/>
  <c r="T403" i="14"/>
  <c r="T1711" i="8" s="1"/>
  <c r="T1710" i="8"/>
  <c r="T402" i="14"/>
  <c r="T1674" i="8" s="1"/>
  <c r="T794" i="2"/>
  <c r="T1356" i="8" s="1"/>
  <c r="T1357" i="8" s="1"/>
  <c r="T777" i="2"/>
  <c r="I40" i="18" s="1"/>
  <c r="T1236" i="8"/>
  <c r="T1237" i="8" s="1"/>
  <c r="S770" i="2"/>
  <c r="S1292" i="8" s="1"/>
  <c r="S1293" i="8" s="1"/>
  <c r="S782" i="2"/>
  <c r="S73" i="17" s="1"/>
  <c r="S1260" i="8"/>
  <c r="S1261" i="8" s="1"/>
  <c r="S785" i="2"/>
  <c r="S1324" i="8" s="1"/>
  <c r="S1325" i="8" s="1"/>
  <c r="S1288" i="8"/>
  <c r="S1289" i="8" s="1"/>
  <c r="S786" i="2"/>
  <c r="S1328" i="8" s="1"/>
  <c r="S1329" i="8" s="1"/>
  <c r="X612" i="2"/>
  <c r="X432" i="2"/>
  <c r="X492" i="2"/>
  <c r="X552" i="2"/>
  <c r="R84" i="12"/>
  <c r="R235" i="8"/>
  <c r="R236" i="8" s="1"/>
  <c r="S576" i="2"/>
  <c r="V1232" i="8"/>
  <c r="V1233" i="8" s="1"/>
  <c r="V793" i="2"/>
  <c r="V1352" i="8" s="1"/>
  <c r="V1353" i="8" s="1"/>
  <c r="U765" i="2"/>
  <c r="U763" i="2"/>
  <c r="U1264" i="8" s="1"/>
  <c r="U1265" i="8" s="1"/>
  <c r="U768" i="2"/>
  <c r="U1284" i="8" s="1"/>
  <c r="U1285" i="8" s="1"/>
  <c r="U769" i="2"/>
  <c r="U756" i="2"/>
  <c r="U658" i="2"/>
  <c r="U762" i="2"/>
  <c r="U751" i="2"/>
  <c r="U766" i="2"/>
  <c r="U757" i="2"/>
  <c r="U755" i="2"/>
  <c r="U1683" i="8"/>
  <c r="U752" i="2"/>
  <c r="U753" i="2"/>
  <c r="U754" i="2"/>
  <c r="U764" i="2"/>
  <c r="U1268" i="8" s="1"/>
  <c r="U1269" i="8" s="1"/>
  <c r="U767" i="2"/>
  <c r="U1280" i="8" s="1"/>
  <c r="U1281" i="8" s="1"/>
  <c r="U758" i="2"/>
  <c r="U657" i="2"/>
  <c r="S797" i="2"/>
  <c r="S1368" i="8" s="1"/>
  <c r="S1369" i="8" s="1"/>
  <c r="S1248" i="8"/>
  <c r="S1249" i="8" s="1"/>
  <c r="X1708" i="8"/>
  <c r="X398" i="14"/>
  <c r="R199" i="8"/>
  <c r="R200" i="8" s="1"/>
  <c r="S516" i="2"/>
  <c r="R72" i="12"/>
  <c r="V1288" i="8"/>
  <c r="V1289" i="8" s="1"/>
  <c r="V786" i="2"/>
  <c r="V1328" i="8" s="1"/>
  <c r="V1329" i="8" s="1"/>
  <c r="V782" i="2"/>
  <c r="V73" i="17" s="1"/>
  <c r="V1260" i="8"/>
  <c r="V1261" i="8" s="1"/>
  <c r="V770" i="2"/>
  <c r="V1292" i="8" s="1"/>
  <c r="V1293" i="8" s="1"/>
  <c r="V785" i="2"/>
  <c r="V1324" i="8" s="1"/>
  <c r="V1325" i="8" s="1"/>
  <c r="S458" i="2"/>
  <c r="R171" i="8"/>
  <c r="R172" i="8" s="1"/>
  <c r="R62" i="12"/>
  <c r="T1272" i="8"/>
  <c r="T1273" i="8" s="1"/>
  <c r="T788" i="2"/>
  <c r="R211" i="8"/>
  <c r="R212" i="8" s="1"/>
  <c r="S519" i="2"/>
  <c r="R75" i="12"/>
  <c r="V1710" i="8"/>
  <c r="V402" i="14"/>
  <c r="V1674" i="8" s="1"/>
  <c r="V403" i="14"/>
  <c r="V1711" i="8" s="1"/>
  <c r="R1707" i="8"/>
  <c r="R401" i="14"/>
  <c r="R405" i="14" s="1"/>
  <c r="V777" i="2"/>
  <c r="V794" i="2"/>
  <c r="V1356" i="8" s="1"/>
  <c r="V1357" i="8" s="1"/>
  <c r="V1236" i="8"/>
  <c r="V1237" i="8" s="1"/>
  <c r="V775" i="2"/>
  <c r="V798" i="2"/>
  <c r="V1372" i="8" s="1"/>
  <c r="V1373" i="8" s="1"/>
  <c r="V1252" i="8"/>
  <c r="V1253" i="8" s="1"/>
  <c r="AE383" i="14"/>
  <c r="AE385" i="14" s="1"/>
  <c r="W1675" i="8"/>
  <c r="W1256" i="8"/>
  <c r="W1257" i="8" s="1"/>
  <c r="W780" i="2"/>
  <c r="U1681" i="8"/>
  <c r="S794" i="2"/>
  <c r="S1356" i="8" s="1"/>
  <c r="S1357" i="8" s="1"/>
  <c r="S777" i="2"/>
  <c r="S1236" i="8"/>
  <c r="S1237" i="8" s="1"/>
  <c r="X486" i="2"/>
  <c r="X426" i="2"/>
  <c r="X606" i="2"/>
  <c r="X546" i="2"/>
  <c r="R60" i="12"/>
  <c r="S456" i="2"/>
  <c r="R163" i="8"/>
  <c r="R164" i="8" s="1"/>
  <c r="V1228" i="8"/>
  <c r="V1229" i="8" s="1"/>
  <c r="V792" i="2"/>
  <c r="V1348" i="8" s="1"/>
  <c r="V1349" i="8" s="1"/>
  <c r="T796" i="2"/>
  <c r="T1364" i="8" s="1"/>
  <c r="T1365" i="8" s="1"/>
  <c r="T1244" i="8"/>
  <c r="T1245" i="8" s="1"/>
  <c r="S1272" i="8"/>
  <c r="S1273" i="8" s="1"/>
  <c r="S788" i="2"/>
  <c r="S1336" i="8" s="1"/>
  <c r="S1337" i="8" s="1"/>
  <c r="R1679" i="8"/>
  <c r="R513" i="2"/>
  <c r="R86" i="12"/>
  <c r="S578" i="2"/>
  <c r="R243" i="8"/>
  <c r="R244" i="8" s="1"/>
  <c r="T1228" i="8"/>
  <c r="T1229" i="8" s="1"/>
  <c r="T792" i="2"/>
  <c r="T1348" i="8" s="1"/>
  <c r="T1349" i="8" s="1"/>
  <c r="T784" i="2"/>
  <c r="J37" i="18" s="1"/>
  <c r="T1276" i="8"/>
  <c r="T1277" i="8" s="1"/>
  <c r="S639" i="2"/>
  <c r="R283" i="8"/>
  <c r="R284" i="8" s="1"/>
  <c r="R99" i="12"/>
  <c r="S1244" i="8"/>
  <c r="S1245" i="8" s="1"/>
  <c r="S796" i="2"/>
  <c r="S1364" i="8" s="1"/>
  <c r="S1365" i="8" s="1"/>
  <c r="X430" i="2"/>
  <c r="X550" i="2"/>
  <c r="X490" i="2"/>
  <c r="X610" i="2"/>
  <c r="V773" i="2"/>
  <c r="V90" i="15" s="1"/>
  <c r="V1240" i="8"/>
  <c r="V1241" i="8" s="1"/>
  <c r="V795" i="2"/>
  <c r="V1360" i="8" s="1"/>
  <c r="V1361" i="8" s="1"/>
  <c r="V1244" i="8"/>
  <c r="V1245" i="8" s="1"/>
  <c r="V796" i="2"/>
  <c r="V1364" i="8" s="1"/>
  <c r="V1365" i="8" s="1"/>
  <c r="R1680" i="8"/>
  <c r="R573" i="2"/>
  <c r="S634" i="2"/>
  <c r="R94" i="12"/>
  <c r="R263" i="8"/>
  <c r="R264" i="8" s="1"/>
  <c r="R74" i="12"/>
  <c r="S518" i="2"/>
  <c r="R207" i="8"/>
  <c r="R208" i="8" s="1"/>
  <c r="T798" i="2"/>
  <c r="T1372" i="8" s="1"/>
  <c r="T1373" i="8" s="1"/>
  <c r="T775" i="2"/>
  <c r="I39" i="18" s="1"/>
  <c r="T1252" i="8"/>
  <c r="T1253" i="8" s="1"/>
  <c r="T1224" i="8"/>
  <c r="T1225" i="8" s="1"/>
  <c r="T774" i="2"/>
  <c r="I38" i="18" s="1"/>
  <c r="T781" i="2"/>
  <c r="T695" i="2"/>
  <c r="T759" i="2"/>
  <c r="T791" i="2"/>
  <c r="R175" i="8"/>
  <c r="R176" i="8" s="1"/>
  <c r="R63" i="12"/>
  <c r="S459" i="2"/>
  <c r="X614" i="2"/>
  <c r="X434" i="2"/>
  <c r="X494" i="2"/>
  <c r="X554" i="2"/>
  <c r="V797" i="2"/>
  <c r="V1368" i="8" s="1"/>
  <c r="V1369" i="8" s="1"/>
  <c r="V1248" i="8"/>
  <c r="V1249" i="8" s="1"/>
  <c r="Z404" i="14"/>
  <c r="Z1712" i="8" s="1"/>
  <c r="Z415" i="14"/>
  <c r="Z86" i="5" s="1"/>
  <c r="Z1699" i="8"/>
  <c r="Z49" i="10"/>
  <c r="Z416" i="14"/>
  <c r="Z87" i="5" s="1"/>
  <c r="Z412" i="14"/>
  <c r="Z83" i="5" s="1"/>
  <c r="Z410" i="14"/>
  <c r="Z81" i="5" s="1"/>
  <c r="Z413" i="14"/>
  <c r="Z84" i="5" s="1"/>
  <c r="Z411" i="14"/>
  <c r="Z82" i="5" s="1"/>
  <c r="Z400" i="14"/>
  <c r="Z1709" i="8" s="1"/>
  <c r="Z399" i="14"/>
  <c r="Z1706" i="8"/>
  <c r="Z418" i="14"/>
  <c r="Z89" i="5" s="1"/>
  <c r="Z417" i="14"/>
  <c r="Z88" i="5" s="1"/>
  <c r="Z414" i="14"/>
  <c r="Z85" i="5" s="1"/>
  <c r="S455" i="2"/>
  <c r="R159" i="8"/>
  <c r="R160" i="8" s="1"/>
  <c r="R59" i="12"/>
  <c r="U1679" i="8"/>
  <c r="T1260" i="8"/>
  <c r="T1261" i="8" s="1"/>
  <c r="T770" i="2"/>
  <c r="T1292" i="8" s="1"/>
  <c r="T1293" i="8" s="1"/>
  <c r="T782" i="2"/>
  <c r="T73" i="17" s="1"/>
  <c r="D58" i="18" s="1"/>
  <c r="T785" i="2"/>
  <c r="T1288" i="8"/>
  <c r="T1289" i="8" s="1"/>
  <c r="T786" i="2"/>
  <c r="W1344" i="8"/>
  <c r="W1345" i="8" s="1"/>
  <c r="W799" i="2"/>
  <c r="W1676" i="8" s="1"/>
  <c r="R1678" i="8"/>
  <c r="R453" i="2"/>
  <c r="S574" i="2"/>
  <c r="R227" i="8"/>
  <c r="R228" i="8" s="1"/>
  <c r="R82" i="12"/>
  <c r="R279" i="8"/>
  <c r="R280" i="8" s="1"/>
  <c r="S638" i="2"/>
  <c r="R98" i="12"/>
  <c r="T793" i="2"/>
  <c r="T1352" i="8" s="1"/>
  <c r="T1353" i="8" s="1"/>
  <c r="T1232" i="8"/>
  <c r="T1233" i="8" s="1"/>
  <c r="T1240" i="8"/>
  <c r="T1241" i="8" s="1"/>
  <c r="T795" i="2"/>
  <c r="T1360" i="8" s="1"/>
  <c r="T1361" i="8" s="1"/>
  <c r="T773" i="2"/>
  <c r="R247" i="8"/>
  <c r="R248" i="8" s="1"/>
  <c r="S579" i="2"/>
  <c r="R87" i="12"/>
  <c r="S793" i="2"/>
  <c r="S1352" i="8" s="1"/>
  <c r="S1353" i="8" s="1"/>
  <c r="S1232" i="8"/>
  <c r="S1233" i="8" s="1"/>
  <c r="X609" i="2"/>
  <c r="X549" i="2"/>
  <c r="X489" i="2"/>
  <c r="X429" i="2"/>
  <c r="V788" i="2"/>
  <c r="V1336" i="8" s="1"/>
  <c r="V1337" i="8" s="1"/>
  <c r="V1272" i="8"/>
  <c r="V1273" i="8" s="1"/>
  <c r="R1683" i="8"/>
  <c r="R763" i="2"/>
  <c r="R1264" i="8" s="1"/>
  <c r="R1265" i="8" s="1"/>
  <c r="R769" i="2"/>
  <c r="R751" i="2"/>
  <c r="R765" i="2"/>
  <c r="R753" i="2"/>
  <c r="R754" i="2"/>
  <c r="R752" i="2"/>
  <c r="R758" i="2"/>
  <c r="R756" i="2"/>
  <c r="R764" i="2"/>
  <c r="R1268" i="8" s="1"/>
  <c r="R1269" i="8" s="1"/>
  <c r="R755" i="2"/>
  <c r="R768" i="2"/>
  <c r="R1284" i="8" s="1"/>
  <c r="R1285" i="8" s="1"/>
  <c r="R766" i="2"/>
  <c r="R757" i="2"/>
  <c r="R762" i="2"/>
  <c r="R658" i="2"/>
  <c r="R657" i="2"/>
  <c r="R767" i="2"/>
  <c r="R1280" i="8" s="1"/>
  <c r="R1281" i="8" s="1"/>
  <c r="S640" i="2"/>
  <c r="R287" i="8"/>
  <c r="R288" i="8" s="1"/>
  <c r="R100" i="12"/>
  <c r="S1710" i="8"/>
  <c r="S402" i="14"/>
  <c r="S1674" i="8" s="1"/>
  <c r="S403" i="14"/>
  <c r="S1711" i="8" s="1"/>
  <c r="R1681" i="8"/>
  <c r="R633" i="2"/>
  <c r="R191" i="8"/>
  <c r="R192" i="8" s="1"/>
  <c r="S514" i="2"/>
  <c r="R70" i="12"/>
  <c r="T1248" i="8"/>
  <c r="T1249" i="8" s="1"/>
  <c r="T797" i="2"/>
  <c r="T1368" i="8" s="1"/>
  <c r="T1369" i="8" s="1"/>
  <c r="AD384" i="14"/>
  <c r="AD386" i="14" s="1"/>
  <c r="Y404" i="14"/>
  <c r="Y1712" i="8" s="1"/>
  <c r="Y411" i="14"/>
  <c r="Y82" i="5" s="1"/>
  <c r="Y400" i="14"/>
  <c r="Y1709" i="8" s="1"/>
  <c r="Y399" i="14"/>
  <c r="Y1706" i="8"/>
  <c r="Y417" i="14"/>
  <c r="Y88" i="5" s="1"/>
  <c r="Y416" i="14"/>
  <c r="Y87" i="5" s="1"/>
  <c r="Y414" i="14"/>
  <c r="Y85" i="5" s="1"/>
  <c r="Y418" i="14"/>
  <c r="Y89" i="5" s="1"/>
  <c r="Y410" i="14"/>
  <c r="Y81" i="5" s="1"/>
  <c r="Y413" i="14"/>
  <c r="Y84" i="5" s="1"/>
  <c r="Y1699" i="8"/>
  <c r="Y49" i="10"/>
  <c r="Y412" i="14"/>
  <c r="Y83" i="5" s="1"/>
  <c r="Y415" i="14"/>
  <c r="Y86" i="5" s="1"/>
  <c r="U1680" i="8"/>
  <c r="S773" i="2"/>
  <c r="S90" i="15" s="1"/>
  <c r="S1240" i="8"/>
  <c r="S1241" i="8" s="1"/>
  <c r="S795" i="2"/>
  <c r="S1360" i="8" s="1"/>
  <c r="S1361" i="8" s="1"/>
  <c r="R215" i="8"/>
  <c r="R216" i="8" s="1"/>
  <c r="S520" i="2"/>
  <c r="R76" i="12"/>
  <c r="R251" i="8"/>
  <c r="R252" i="8" s="1"/>
  <c r="S580" i="2"/>
  <c r="R88" i="12"/>
  <c r="R155" i="8"/>
  <c r="R156" i="8" s="1"/>
  <c r="S454" i="2"/>
  <c r="R58" i="12"/>
  <c r="X608" i="2"/>
  <c r="X428" i="2"/>
  <c r="X488" i="2"/>
  <c r="X548" i="2"/>
  <c r="R97" i="12"/>
  <c r="R275" i="8"/>
  <c r="R276" i="8" s="1"/>
  <c r="S637" i="2"/>
  <c r="R183" i="8"/>
  <c r="R184" i="8" s="1"/>
  <c r="S461" i="2"/>
  <c r="R65" i="12"/>
  <c r="W778" i="2"/>
  <c r="W1296" i="8"/>
  <c r="W1297" i="8" s="1"/>
  <c r="U1707" i="8"/>
  <c r="U401" i="14"/>
  <c r="W771" i="2"/>
  <c r="W88" i="17" s="1"/>
  <c r="S791" i="2"/>
  <c r="S774" i="2"/>
  <c r="S695" i="2"/>
  <c r="S781" i="2"/>
  <c r="S1224" i="8"/>
  <c r="S1225" i="8" s="1"/>
  <c r="S759" i="2"/>
  <c r="X1682" i="8"/>
  <c r="X139" i="5"/>
  <c r="X648" i="2" s="1"/>
  <c r="S517" i="2"/>
  <c r="R73" i="12"/>
  <c r="R203" i="8"/>
  <c r="R204" i="8" s="1"/>
  <c r="S521" i="2"/>
  <c r="R77" i="12"/>
  <c r="R219" i="8"/>
  <c r="R220" i="8" s="1"/>
  <c r="V1276" i="8"/>
  <c r="V1277" i="8" s="1"/>
  <c r="V784" i="2"/>
  <c r="S1252" i="8"/>
  <c r="S1253" i="8" s="1"/>
  <c r="S798" i="2"/>
  <c r="S1372" i="8" s="1"/>
  <c r="S1373" i="8" s="1"/>
  <c r="S775" i="2"/>
  <c r="X547" i="2"/>
  <c r="X607" i="2"/>
  <c r="X487" i="2"/>
  <c r="X427" i="2"/>
  <c r="S577" i="2"/>
  <c r="R239" i="8"/>
  <c r="R240" i="8" s="1"/>
  <c r="R85" i="12"/>
  <c r="R255" i="8"/>
  <c r="R256" i="8" s="1"/>
  <c r="S581" i="2"/>
  <c r="R89" i="12"/>
  <c r="V781" i="2"/>
  <c r="V1224" i="8"/>
  <c r="V1225" i="8" s="1"/>
  <c r="V774" i="2"/>
  <c r="V791" i="2"/>
  <c r="V695" i="2"/>
  <c r="V759" i="2"/>
  <c r="R195" i="8"/>
  <c r="R196" i="8" s="1"/>
  <c r="S515" i="2"/>
  <c r="R71" i="12"/>
  <c r="U1678" i="8"/>
  <c r="X491" i="2"/>
  <c r="X611" i="2"/>
  <c r="X431" i="2"/>
  <c r="X551" i="2"/>
  <c r="W789" i="2"/>
  <c r="W1320" i="8"/>
  <c r="W1321" i="8" s="1"/>
  <c r="R61" i="12"/>
  <c r="S457" i="2"/>
  <c r="R167" i="8"/>
  <c r="R168" i="8" s="1"/>
  <c r="S641" i="2"/>
  <c r="R291" i="8"/>
  <c r="R292" i="8" s="1"/>
  <c r="R101" i="12"/>
  <c r="R83" i="12"/>
  <c r="S575" i="2"/>
  <c r="R231" i="8"/>
  <c r="R232" i="8" s="1"/>
  <c r="T1324" i="8" l="1"/>
  <c r="T1325" i="8" s="1"/>
  <c r="J38" i="18"/>
  <c r="T38" i="18" s="1"/>
  <c r="T90" i="15"/>
  <c r="I37" i="18"/>
  <c r="S39" i="18"/>
  <c r="T1328" i="8"/>
  <c r="T1329" i="8" s="1"/>
  <c r="J39" i="18"/>
  <c r="T39" i="18" s="1"/>
  <c r="S40" i="18"/>
  <c r="S38" i="18"/>
  <c r="T37" i="18"/>
  <c r="T1336" i="8"/>
  <c r="T1337" i="8" s="1"/>
  <c r="J40" i="18"/>
  <c r="T40" i="18" s="1"/>
  <c r="X660" i="2"/>
  <c r="X38" i="15" s="1"/>
  <c r="X659" i="2"/>
  <c r="X37" i="15" s="1"/>
  <c r="V1304" i="8"/>
  <c r="V1305" i="8" s="1"/>
  <c r="V85" i="15"/>
  <c r="U40" i="15"/>
  <c r="T1304" i="8"/>
  <c r="T1305" i="8" s="1"/>
  <c r="T85" i="15"/>
  <c r="V1312" i="8"/>
  <c r="V1313" i="8" s="1"/>
  <c r="V80" i="15"/>
  <c r="S1304" i="8"/>
  <c r="S1305" i="8" s="1"/>
  <c r="S85" i="15"/>
  <c r="V1300" i="8"/>
  <c r="V1301" i="8" s="1"/>
  <c r="V75" i="15"/>
  <c r="S1312" i="8"/>
  <c r="S1313" i="8" s="1"/>
  <c r="S80" i="15"/>
  <c r="W1340" i="8"/>
  <c r="W39" i="15"/>
  <c r="S1300" i="8"/>
  <c r="S1301" i="8" s="1"/>
  <c r="S75" i="15"/>
  <c r="T1300" i="8"/>
  <c r="T1301" i="8" s="1"/>
  <c r="T75" i="15"/>
  <c r="T1312" i="8"/>
  <c r="T1313" i="8" s="1"/>
  <c r="T80" i="15"/>
  <c r="R40" i="15"/>
  <c r="T771" i="2"/>
  <c r="T88" i="17" s="1"/>
  <c r="AC392" i="14"/>
  <c r="AC394" i="14" s="1"/>
  <c r="AC397" i="14" s="1"/>
  <c r="AE384" i="14"/>
  <c r="AE386" i="14" s="1"/>
  <c r="X1576" i="8"/>
  <c r="X1577" i="8"/>
  <c r="X1574" i="8"/>
  <c r="X1575" i="8"/>
  <c r="AD387" i="14"/>
  <c r="AD389" i="14" s="1"/>
  <c r="Y614" i="2"/>
  <c r="Y494" i="2"/>
  <c r="Y434" i="2"/>
  <c r="Y554" i="2"/>
  <c r="U793" i="2"/>
  <c r="U1352" i="8" s="1"/>
  <c r="U1353" i="8" s="1"/>
  <c r="U1232" i="8"/>
  <c r="U1233" i="8" s="1"/>
  <c r="S76" i="12"/>
  <c r="T520" i="2"/>
  <c r="S215" i="8"/>
  <c r="S216" i="8" s="1"/>
  <c r="Y610" i="2"/>
  <c r="Y430" i="2"/>
  <c r="Y490" i="2"/>
  <c r="Y550" i="2"/>
  <c r="S633" i="2"/>
  <c r="R642" i="2"/>
  <c r="R1589" i="8" s="1"/>
  <c r="R259" i="8"/>
  <c r="R260" i="8" s="1"/>
  <c r="R93" i="12"/>
  <c r="R1248" i="8"/>
  <c r="R1249" i="8" s="1"/>
  <c r="R797" i="2"/>
  <c r="R1368" i="8" s="1"/>
  <c r="R1369" i="8" s="1"/>
  <c r="Z1708" i="8"/>
  <c r="Z398" i="14"/>
  <c r="S75" i="12"/>
  <c r="T519" i="2"/>
  <c r="S211" i="8"/>
  <c r="S212" i="8" s="1"/>
  <c r="U792" i="2"/>
  <c r="U1348" i="8" s="1"/>
  <c r="U1349" i="8" s="1"/>
  <c r="U1228" i="8"/>
  <c r="U1229" i="8" s="1"/>
  <c r="Y492" i="2"/>
  <c r="Y612" i="2"/>
  <c r="Y552" i="2"/>
  <c r="Y432" i="2"/>
  <c r="R1276" i="8"/>
  <c r="R1277" i="8" s="1"/>
  <c r="R784" i="2"/>
  <c r="V1296" i="8"/>
  <c r="V1297" i="8" s="1"/>
  <c r="V778" i="2"/>
  <c r="AA413" i="14"/>
  <c r="AA84" i="5" s="1"/>
  <c r="AA416" i="14"/>
  <c r="AA87" i="5" s="1"/>
  <c r="AA400" i="14"/>
  <c r="AA1709" i="8" s="1"/>
  <c r="AA404" i="14"/>
  <c r="AA1712" i="8" s="1"/>
  <c r="AA1699" i="8"/>
  <c r="AA399" i="14"/>
  <c r="AA414" i="14"/>
  <c r="AA85" i="5" s="1"/>
  <c r="AA1706" i="8"/>
  <c r="AA418" i="14"/>
  <c r="AA89" i="5" s="1"/>
  <c r="AA415" i="14"/>
  <c r="AA86" i="5" s="1"/>
  <c r="AA49" i="10"/>
  <c r="AA412" i="14"/>
  <c r="AA83" i="5" s="1"/>
  <c r="AA417" i="14"/>
  <c r="AA88" i="5" s="1"/>
  <c r="AA411" i="14"/>
  <c r="AA82" i="5" s="1"/>
  <c r="AA410" i="14"/>
  <c r="AA81" i="5" s="1"/>
  <c r="T516" i="2"/>
  <c r="S199" i="8"/>
  <c r="S200" i="8" s="1"/>
  <c r="S72" i="12"/>
  <c r="S96" i="12"/>
  <c r="S271" i="8"/>
  <c r="S272" i="8" s="1"/>
  <c r="T636" i="2"/>
  <c r="X1680" i="8"/>
  <c r="U1248" i="8"/>
  <c r="U1249" i="8" s="1"/>
  <c r="U797" i="2"/>
  <c r="U1368" i="8" s="1"/>
  <c r="U1369" i="8" s="1"/>
  <c r="U1710" i="8"/>
  <c r="U402" i="14"/>
  <c r="U1674" i="8" s="1"/>
  <c r="U403" i="14"/>
  <c r="U1711" i="8" s="1"/>
  <c r="R1244" i="8"/>
  <c r="R1245" i="8" s="1"/>
  <c r="R796" i="2"/>
  <c r="R1364" i="8" s="1"/>
  <c r="R1365" i="8" s="1"/>
  <c r="Z608" i="2"/>
  <c r="Z548" i="2"/>
  <c r="Z428" i="2"/>
  <c r="Z488" i="2"/>
  <c r="X1679" i="8"/>
  <c r="U1276" i="8"/>
  <c r="U1277" i="8" s="1"/>
  <c r="U784" i="2"/>
  <c r="S86" i="12"/>
  <c r="T578" i="2"/>
  <c r="S243" i="8"/>
  <c r="S244" i="8" s="1"/>
  <c r="U795" i="2"/>
  <c r="U1360" i="8" s="1"/>
  <c r="U1361" i="8" s="1"/>
  <c r="U1240" i="8"/>
  <c r="U1241" i="8" s="1"/>
  <c r="U773" i="2"/>
  <c r="U90" i="15" s="1"/>
  <c r="Z429" i="2"/>
  <c r="Z549" i="2"/>
  <c r="Z609" i="2"/>
  <c r="Z489" i="2"/>
  <c r="Z486" i="2"/>
  <c r="Z426" i="2"/>
  <c r="Z546" i="2"/>
  <c r="Z606" i="2"/>
  <c r="X1678" i="8"/>
  <c r="S71" i="12"/>
  <c r="T515" i="2"/>
  <c r="S195" i="8"/>
  <c r="S196" i="8" s="1"/>
  <c r="S85" i="12"/>
  <c r="T577" i="2"/>
  <c r="S239" i="8"/>
  <c r="S240" i="8" s="1"/>
  <c r="U405" i="14"/>
  <c r="Y607" i="2"/>
  <c r="Y487" i="2"/>
  <c r="Y427" i="2"/>
  <c r="Y547" i="2"/>
  <c r="R1252" i="8"/>
  <c r="R1253" i="8" s="1"/>
  <c r="R775" i="2"/>
  <c r="R798" i="2"/>
  <c r="R1372" i="8" s="1"/>
  <c r="R1373" i="8" s="1"/>
  <c r="Z432" i="2"/>
  <c r="Z492" i="2"/>
  <c r="Z552" i="2"/>
  <c r="Z612" i="2"/>
  <c r="T738" i="2"/>
  <c r="T760" i="2" s="1"/>
  <c r="S62" i="12"/>
  <c r="T458" i="2"/>
  <c r="S171" i="8"/>
  <c r="S172" i="8" s="1"/>
  <c r="U1224" i="8"/>
  <c r="U1225" i="8" s="1"/>
  <c r="U781" i="2"/>
  <c r="U759" i="2"/>
  <c r="U791" i="2"/>
  <c r="U695" i="2"/>
  <c r="U774" i="2"/>
  <c r="U788" i="2"/>
  <c r="U1336" i="8" s="1"/>
  <c r="U1337" i="8" s="1"/>
  <c r="U1272" i="8"/>
  <c r="U1273" i="8" s="1"/>
  <c r="Y493" i="2"/>
  <c r="Y433" i="2"/>
  <c r="Y613" i="2"/>
  <c r="Y553" i="2"/>
  <c r="T575" i="2"/>
  <c r="S83" i="12"/>
  <c r="S231" i="8"/>
  <c r="S232" i="8" s="1"/>
  <c r="S1344" i="8"/>
  <c r="S1345" i="8" s="1"/>
  <c r="S799" i="2"/>
  <c r="S1676" i="8" s="1"/>
  <c r="T459" i="2"/>
  <c r="S175" i="8"/>
  <c r="S176" i="8" s="1"/>
  <c r="S63" i="12"/>
  <c r="X1707" i="8"/>
  <c r="X401" i="14"/>
  <c r="X405" i="14" s="1"/>
  <c r="V738" i="2"/>
  <c r="V760" i="2" s="1"/>
  <c r="T517" i="2"/>
  <c r="S203" i="8"/>
  <c r="S204" i="8" s="1"/>
  <c r="S73" i="12"/>
  <c r="Y431" i="2"/>
  <c r="Y551" i="2"/>
  <c r="Y491" i="2"/>
  <c r="Y611" i="2"/>
  <c r="T640" i="2"/>
  <c r="S100" i="12"/>
  <c r="S287" i="8"/>
  <c r="S288" i="8" s="1"/>
  <c r="R1228" i="8"/>
  <c r="R1229" i="8" s="1"/>
  <c r="R792" i="2"/>
  <c r="R1348" i="8" s="1"/>
  <c r="R1349" i="8" s="1"/>
  <c r="Z1682" i="8"/>
  <c r="Z139" i="5"/>
  <c r="Z648" i="2" s="1"/>
  <c r="R1710" i="8"/>
  <c r="R402" i="14"/>
  <c r="R1674" i="8" s="1"/>
  <c r="R403" i="14"/>
  <c r="R1711" i="8" s="1"/>
  <c r="AB404" i="14"/>
  <c r="AB1712" i="8" s="1"/>
  <c r="AB49" i="10"/>
  <c r="AB418" i="14"/>
  <c r="AB89" i="5" s="1"/>
  <c r="AB410" i="14"/>
  <c r="AB81" i="5" s="1"/>
  <c r="AB416" i="14"/>
  <c r="AB87" i="5" s="1"/>
  <c r="AB1706" i="8"/>
  <c r="AB417" i="14"/>
  <c r="AB88" i="5" s="1"/>
  <c r="AB414" i="14"/>
  <c r="AB85" i="5" s="1"/>
  <c r="AB411" i="14"/>
  <c r="AB82" i="5" s="1"/>
  <c r="AB412" i="14"/>
  <c r="AB83" i="5" s="1"/>
  <c r="AB413" i="14"/>
  <c r="AB84" i="5" s="1"/>
  <c r="AB1699" i="8"/>
  <c r="AB415" i="14"/>
  <c r="AB86" i="5" s="1"/>
  <c r="AB400" i="14"/>
  <c r="AB1709" i="8" s="1"/>
  <c r="AB399" i="14"/>
  <c r="U785" i="2"/>
  <c r="U1324" i="8" s="1"/>
  <c r="U1325" i="8" s="1"/>
  <c r="U770" i="2"/>
  <c r="U1292" i="8" s="1"/>
  <c r="U1293" i="8" s="1"/>
  <c r="U1260" i="8"/>
  <c r="U1261" i="8" s="1"/>
  <c r="U782" i="2"/>
  <c r="U73" i="17" s="1"/>
  <c r="V771" i="2"/>
  <c r="V88" i="17" s="1"/>
  <c r="X762" i="2"/>
  <c r="X767" i="2"/>
  <c r="X1280" i="8" s="1"/>
  <c r="X1281" i="8" s="1"/>
  <c r="X758" i="2"/>
  <c r="X658" i="2"/>
  <c r="X755" i="2"/>
  <c r="X1683" i="8"/>
  <c r="X756" i="2"/>
  <c r="X757" i="2"/>
  <c r="X765" i="2"/>
  <c r="X657" i="2"/>
  <c r="X769" i="2"/>
  <c r="X751" i="2"/>
  <c r="X766" i="2"/>
  <c r="X763" i="2"/>
  <c r="X1264" i="8" s="1"/>
  <c r="X1265" i="8" s="1"/>
  <c r="X752" i="2"/>
  <c r="X753" i="2"/>
  <c r="X764" i="2"/>
  <c r="X1268" i="8" s="1"/>
  <c r="X1269" i="8" s="1"/>
  <c r="X768" i="2"/>
  <c r="X1284" i="8" s="1"/>
  <c r="X1285" i="8" s="1"/>
  <c r="X754" i="2"/>
  <c r="S58" i="12"/>
  <c r="T454" i="2"/>
  <c r="S155" i="8"/>
  <c r="S156" i="8" s="1"/>
  <c r="Y548" i="2"/>
  <c r="Y608" i="2"/>
  <c r="Y488" i="2"/>
  <c r="Y428" i="2"/>
  <c r="R794" i="2"/>
  <c r="R1356" i="8" s="1"/>
  <c r="R1357" i="8" s="1"/>
  <c r="R777" i="2"/>
  <c r="R1236" i="8"/>
  <c r="R1237" i="8" s="1"/>
  <c r="S227" i="8"/>
  <c r="S228" i="8" s="1"/>
  <c r="T574" i="2"/>
  <c r="S82" i="12"/>
  <c r="S159" i="8"/>
  <c r="S160" i="8" s="1"/>
  <c r="T455" i="2"/>
  <c r="S59" i="12"/>
  <c r="T799" i="2"/>
  <c r="T1676" i="8" s="1"/>
  <c r="T1344" i="8"/>
  <c r="T1345" i="8" s="1"/>
  <c r="S263" i="8"/>
  <c r="S264" i="8" s="1"/>
  <c r="T634" i="2"/>
  <c r="S94" i="12"/>
  <c r="U1252" i="8"/>
  <c r="U1253" i="8" s="1"/>
  <c r="U775" i="2"/>
  <c r="U798" i="2"/>
  <c r="U1372" i="8" s="1"/>
  <c r="U1373" i="8" s="1"/>
  <c r="T457" i="2"/>
  <c r="S61" i="12"/>
  <c r="S167" i="8"/>
  <c r="S168" i="8" s="1"/>
  <c r="V1675" i="8"/>
  <c r="V1256" i="8"/>
  <c r="V1257" i="8" s="1"/>
  <c r="V780" i="2"/>
  <c r="W1316" i="8"/>
  <c r="W1317" i="8" s="1"/>
  <c r="W779" i="2"/>
  <c r="W1696" i="8" s="1"/>
  <c r="Y1682" i="8"/>
  <c r="Y139" i="5"/>
  <c r="Y648" i="2" s="1"/>
  <c r="R1232" i="8"/>
  <c r="R1233" i="8" s="1"/>
  <c r="R793" i="2"/>
  <c r="R1352" i="8" s="1"/>
  <c r="R1353" i="8" s="1"/>
  <c r="R462" i="2"/>
  <c r="R1586" i="8" s="1"/>
  <c r="R57" i="12"/>
  <c r="R151" i="8"/>
  <c r="R152" i="8" s="1"/>
  <c r="S453" i="2"/>
  <c r="Z431" i="2"/>
  <c r="Z551" i="2"/>
  <c r="Z611" i="2"/>
  <c r="Z491" i="2"/>
  <c r="T1256" i="8"/>
  <c r="T1257" i="8" s="1"/>
  <c r="T1675" i="8"/>
  <c r="T780" i="2"/>
  <c r="S573" i="2"/>
  <c r="R81" i="12"/>
  <c r="R223" i="8"/>
  <c r="R224" i="8" s="1"/>
  <c r="R582" i="2"/>
  <c r="R1588" i="8" s="1"/>
  <c r="U1244" i="8"/>
  <c r="U1245" i="8" s="1"/>
  <c r="U796" i="2"/>
  <c r="U1364" i="8" s="1"/>
  <c r="U1365" i="8" s="1"/>
  <c r="S267" i="8"/>
  <c r="S268" i="8" s="1"/>
  <c r="S95" i="12"/>
  <c r="T635" i="2"/>
  <c r="S1320" i="8"/>
  <c r="S1321" i="8" s="1"/>
  <c r="S789" i="2"/>
  <c r="T456" i="2"/>
  <c r="S60" i="12"/>
  <c r="S163" i="8"/>
  <c r="S164" i="8" s="1"/>
  <c r="S1296" i="8"/>
  <c r="S1297" i="8" s="1"/>
  <c r="S778" i="2"/>
  <c r="R522" i="2"/>
  <c r="R1587" i="8" s="1"/>
  <c r="R187" i="8"/>
  <c r="R188" i="8" s="1"/>
  <c r="S513" i="2"/>
  <c r="R69" i="12"/>
  <c r="S771" i="2"/>
  <c r="S88" i="17" s="1"/>
  <c r="R1272" i="8"/>
  <c r="R1273" i="8" s="1"/>
  <c r="R788" i="2"/>
  <c r="R1336" i="8" s="1"/>
  <c r="R1337" i="8" s="1"/>
  <c r="S87" i="12"/>
  <c r="S247" i="8"/>
  <c r="S248" i="8" s="1"/>
  <c r="T579" i="2"/>
  <c r="Z430" i="2"/>
  <c r="Z550" i="2"/>
  <c r="Z610" i="2"/>
  <c r="Z490" i="2"/>
  <c r="S99" i="12"/>
  <c r="T639" i="2"/>
  <c r="S283" i="8"/>
  <c r="S284" i="8" s="1"/>
  <c r="W1438" i="8"/>
  <c r="W727" i="2"/>
  <c r="W89" i="17" s="1"/>
  <c r="U1288" i="8"/>
  <c r="U1289" i="8" s="1"/>
  <c r="U786" i="2"/>
  <c r="U1328" i="8" s="1"/>
  <c r="U1329" i="8" s="1"/>
  <c r="T637" i="2"/>
  <c r="S97" i="12"/>
  <c r="S275" i="8"/>
  <c r="S276" i="8" s="1"/>
  <c r="T581" i="2"/>
  <c r="S89" i="12"/>
  <c r="S255" i="8"/>
  <c r="S256" i="8" s="1"/>
  <c r="Z487" i="2"/>
  <c r="Z427" i="2"/>
  <c r="Z607" i="2"/>
  <c r="Z547" i="2"/>
  <c r="S84" i="12"/>
  <c r="S235" i="8"/>
  <c r="S236" i="8" s="1"/>
  <c r="T576" i="2"/>
  <c r="R1240" i="8"/>
  <c r="R1241" i="8" s="1"/>
  <c r="R773" i="2"/>
  <c r="R90" i="15" s="1"/>
  <c r="R795" i="2"/>
  <c r="R1360" i="8" s="1"/>
  <c r="R1361" i="8" s="1"/>
  <c r="T521" i="2"/>
  <c r="S77" i="12"/>
  <c r="S219" i="8"/>
  <c r="S220" i="8" s="1"/>
  <c r="S279" i="8"/>
  <c r="S280" i="8" s="1"/>
  <c r="S98" i="12"/>
  <c r="T638" i="2"/>
  <c r="S738" i="2"/>
  <c r="S760" i="2" s="1"/>
  <c r="S65" i="12"/>
  <c r="T461" i="2"/>
  <c r="S183" i="8"/>
  <c r="S184" i="8" s="1"/>
  <c r="T580" i="2"/>
  <c r="S251" i="8"/>
  <c r="S252" i="8" s="1"/>
  <c r="S88" i="12"/>
  <c r="Y429" i="2"/>
  <c r="Y489" i="2"/>
  <c r="Y609" i="2"/>
  <c r="Y549" i="2"/>
  <c r="R695" i="2"/>
  <c r="R1224" i="8"/>
  <c r="R1225" i="8" s="1"/>
  <c r="R791" i="2"/>
  <c r="R774" i="2"/>
  <c r="R759" i="2"/>
  <c r="R781" i="2"/>
  <c r="W1720" i="8"/>
  <c r="W406" i="14"/>
  <c r="W407" i="14" s="1"/>
  <c r="W1713" i="8" s="1"/>
  <c r="W276" i="13"/>
  <c r="W278" i="13" s="1"/>
  <c r="W1698" i="8" s="1"/>
  <c r="W1436" i="8"/>
  <c r="W1376" i="8"/>
  <c r="W1377" i="8" s="1"/>
  <c r="W1435" i="8"/>
  <c r="Z493" i="2"/>
  <c r="Z433" i="2"/>
  <c r="Z613" i="2"/>
  <c r="Z553" i="2"/>
  <c r="V789" i="2"/>
  <c r="V1320" i="8"/>
  <c r="V1321" i="8" s="1"/>
  <c r="X1681" i="8"/>
  <c r="Y1708" i="8"/>
  <c r="Y398" i="14"/>
  <c r="T518" i="2"/>
  <c r="S207" i="8"/>
  <c r="S208" i="8" s="1"/>
  <c r="S74" i="12"/>
  <c r="T641" i="2"/>
  <c r="S291" i="8"/>
  <c r="S292" i="8" s="1"/>
  <c r="S101" i="12"/>
  <c r="V799" i="2"/>
  <c r="V1676" i="8" s="1"/>
  <c r="V1344" i="8"/>
  <c r="V1345" i="8" s="1"/>
  <c r="S1675" i="8"/>
  <c r="S1256" i="8"/>
  <c r="S1257" i="8" s="1"/>
  <c r="S780" i="2"/>
  <c r="Y546" i="2"/>
  <c r="Y426" i="2"/>
  <c r="Y606" i="2"/>
  <c r="Y486" i="2"/>
  <c r="S191" i="8"/>
  <c r="S192" i="8" s="1"/>
  <c r="S70" i="12"/>
  <c r="T514" i="2"/>
  <c r="R770" i="2"/>
  <c r="R1292" i="8" s="1"/>
  <c r="R1293" i="8" s="1"/>
  <c r="R782" i="2"/>
  <c r="R73" i="17" s="1"/>
  <c r="R785" i="2"/>
  <c r="R1324" i="8" s="1"/>
  <c r="R1325" i="8" s="1"/>
  <c r="R1260" i="8"/>
  <c r="R1261" i="8" s="1"/>
  <c r="R786" i="2"/>
  <c r="R1328" i="8" s="1"/>
  <c r="R1329" i="8" s="1"/>
  <c r="R1288" i="8"/>
  <c r="R1289" i="8" s="1"/>
  <c r="T1296" i="8"/>
  <c r="T1297" i="8" s="1"/>
  <c r="T778" i="2"/>
  <c r="Z554" i="2"/>
  <c r="Z494" i="2"/>
  <c r="Z614" i="2"/>
  <c r="Z434" i="2"/>
  <c r="T1320" i="8"/>
  <c r="T1321" i="8" s="1"/>
  <c r="T789" i="2"/>
  <c r="U794" i="2"/>
  <c r="U1356" i="8" s="1"/>
  <c r="U1357" i="8" s="1"/>
  <c r="U1236" i="8"/>
  <c r="U1237" i="8" s="1"/>
  <c r="U777" i="2"/>
  <c r="T460" i="2"/>
  <c r="S64" i="12"/>
  <c r="S179" i="8"/>
  <c r="S180" i="8" s="1"/>
  <c r="V38" i="18" l="1"/>
  <c r="W38" i="18"/>
  <c r="W40" i="18"/>
  <c r="V40" i="18"/>
  <c r="V39" i="18"/>
  <c r="W39" i="18"/>
  <c r="V37" i="18"/>
  <c r="I41" i="18"/>
  <c r="W37" i="18"/>
  <c r="S37" i="18"/>
  <c r="S41" i="18" s="1"/>
  <c r="D46" i="18" s="1"/>
  <c r="T41" i="18"/>
  <c r="D47" i="18" s="1"/>
  <c r="D50" i="18" s="1"/>
  <c r="K102" i="17"/>
  <c r="D62" i="18"/>
  <c r="J41" i="18"/>
  <c r="Z660" i="2"/>
  <c r="Z38" i="15" s="1"/>
  <c r="Z659" i="2"/>
  <c r="Z37" i="15" s="1"/>
  <c r="Y660" i="2"/>
  <c r="Y38" i="15" s="1"/>
  <c r="Y659" i="2"/>
  <c r="Y37" i="15" s="1"/>
  <c r="T1340" i="8"/>
  <c r="T39" i="15"/>
  <c r="S1340" i="8"/>
  <c r="S39" i="15"/>
  <c r="U1304" i="8"/>
  <c r="U1305" i="8" s="1"/>
  <c r="U85" i="15"/>
  <c r="R1312" i="8"/>
  <c r="R1313" i="8" s="1"/>
  <c r="R80" i="15"/>
  <c r="U1300" i="8"/>
  <c r="U1301" i="8" s="1"/>
  <c r="U75" i="15"/>
  <c r="R1300" i="8"/>
  <c r="R1301" i="8" s="1"/>
  <c r="R75" i="15"/>
  <c r="V1340" i="8"/>
  <c r="V39" i="15"/>
  <c r="R1304" i="8"/>
  <c r="R1305" i="8" s="1"/>
  <c r="R85" i="15"/>
  <c r="X40" i="15"/>
  <c r="W41" i="15"/>
  <c r="W1839" i="8"/>
  <c r="U1312" i="8"/>
  <c r="U1313" i="8" s="1"/>
  <c r="U80" i="15"/>
  <c r="R738" i="2"/>
  <c r="R760" i="2" s="1"/>
  <c r="R771" i="2"/>
  <c r="R88" i="17" s="1"/>
  <c r="Y1681" i="8"/>
  <c r="Y1577" i="8"/>
  <c r="R1584" i="8"/>
  <c r="R1690" i="8"/>
  <c r="R1582" i="8"/>
  <c r="R1688" i="8"/>
  <c r="R1689" i="8"/>
  <c r="R1583" i="8"/>
  <c r="Z1577" i="8"/>
  <c r="R1691" i="8"/>
  <c r="R1585" i="8"/>
  <c r="Z1576" i="8"/>
  <c r="Y1680" i="8"/>
  <c r="Y1576" i="8"/>
  <c r="Z1574" i="8"/>
  <c r="Z1575" i="8"/>
  <c r="Y1678" i="8"/>
  <c r="Y1574" i="8"/>
  <c r="Y1575" i="8"/>
  <c r="AB431" i="2"/>
  <c r="AB551" i="2"/>
  <c r="AB611" i="2"/>
  <c r="AB491" i="2"/>
  <c r="U574" i="2"/>
  <c r="T227" i="8"/>
  <c r="T228" i="8" s="1"/>
  <c r="T82" i="12"/>
  <c r="S727" i="2"/>
  <c r="S89" i="17" s="1"/>
  <c r="S1438" i="8"/>
  <c r="T65" i="12"/>
  <c r="U461" i="2"/>
  <c r="T183" i="8"/>
  <c r="T184" i="8" s="1"/>
  <c r="R1544" i="8"/>
  <c r="R78" i="12"/>
  <c r="T61" i="12"/>
  <c r="U457" i="2"/>
  <c r="T167" i="8"/>
  <c r="T168" i="8" s="1"/>
  <c r="X1232" i="8"/>
  <c r="X1233" i="8" s="1"/>
  <c r="X793" i="2"/>
  <c r="X1352" i="8" s="1"/>
  <c r="X1353" i="8" s="1"/>
  <c r="X798" i="2"/>
  <c r="X1372" i="8" s="1"/>
  <c r="X1373" i="8" s="1"/>
  <c r="X1252" i="8"/>
  <c r="X1253" i="8" s="1"/>
  <c r="X775" i="2"/>
  <c r="AB549" i="2"/>
  <c r="AB429" i="2"/>
  <c r="AB609" i="2"/>
  <c r="AB489" i="2"/>
  <c r="Z765" i="2"/>
  <c r="Z658" i="2"/>
  <c r="Z763" i="2"/>
  <c r="Z1264" i="8" s="1"/>
  <c r="Z1265" i="8" s="1"/>
  <c r="Z753" i="2"/>
  <c r="Z766" i="2"/>
  <c r="Z757" i="2"/>
  <c r="Z767" i="2"/>
  <c r="Z1280" i="8" s="1"/>
  <c r="Z1281" i="8" s="1"/>
  <c r="Z752" i="2"/>
  <c r="Z758" i="2"/>
  <c r="Z764" i="2"/>
  <c r="Z1268" i="8" s="1"/>
  <c r="Z1269" i="8" s="1"/>
  <c r="Z754" i="2"/>
  <c r="Z762" i="2"/>
  <c r="Z768" i="2"/>
  <c r="Z1284" i="8" s="1"/>
  <c r="Z1285" i="8" s="1"/>
  <c r="Z751" i="2"/>
  <c r="Z755" i="2"/>
  <c r="Z769" i="2"/>
  <c r="Z1683" i="8"/>
  <c r="Z657" i="2"/>
  <c r="Z756" i="2"/>
  <c r="U517" i="2"/>
  <c r="T73" i="12"/>
  <c r="T203" i="8"/>
  <c r="T204" i="8" s="1"/>
  <c r="T62" i="12"/>
  <c r="U458" i="2"/>
  <c r="T171" i="8"/>
  <c r="T172" i="8" s="1"/>
  <c r="T72" i="12"/>
  <c r="U516" i="2"/>
  <c r="T199" i="8"/>
  <c r="T200" i="8" s="1"/>
  <c r="U519" i="2"/>
  <c r="T75" i="12"/>
  <c r="T211" i="8"/>
  <c r="T212" i="8" s="1"/>
  <c r="T95" i="12"/>
  <c r="U635" i="2"/>
  <c r="T267" i="8"/>
  <c r="T268" i="8" s="1"/>
  <c r="U580" i="2"/>
  <c r="T88" i="12"/>
  <c r="T251" i="8"/>
  <c r="T252" i="8" s="1"/>
  <c r="U1296" i="8"/>
  <c r="U1297" i="8" s="1"/>
  <c r="U778" i="2"/>
  <c r="X785" i="2"/>
  <c r="X1324" i="8" s="1"/>
  <c r="X1325" i="8" s="1"/>
  <c r="X782" i="2"/>
  <c r="X73" i="17" s="1"/>
  <c r="X770" i="2"/>
  <c r="X1292" i="8" s="1"/>
  <c r="X1293" i="8" s="1"/>
  <c r="X1260" i="8"/>
  <c r="X1261" i="8" s="1"/>
  <c r="AA433" i="2"/>
  <c r="AA613" i="2"/>
  <c r="AA553" i="2"/>
  <c r="AA493" i="2"/>
  <c r="U639" i="2"/>
  <c r="T283" i="8"/>
  <c r="T284" i="8" s="1"/>
  <c r="T99" i="12"/>
  <c r="R1700" i="8"/>
  <c r="R1714" i="8"/>
  <c r="R1590" i="8"/>
  <c r="AA609" i="2"/>
  <c r="AA489" i="2"/>
  <c r="AA549" i="2"/>
  <c r="AA429" i="2"/>
  <c r="AB550" i="2"/>
  <c r="AB490" i="2"/>
  <c r="AB430" i="2"/>
  <c r="AB610" i="2"/>
  <c r="AA427" i="2"/>
  <c r="AA607" i="2"/>
  <c r="AA547" i="2"/>
  <c r="AA487" i="2"/>
  <c r="S81" i="12"/>
  <c r="S582" i="2"/>
  <c r="S1588" i="8" s="1"/>
  <c r="S223" i="8"/>
  <c r="S224" i="8" s="1"/>
  <c r="T573" i="2"/>
  <c r="Y766" i="2"/>
  <c r="Y763" i="2"/>
  <c r="Y1264" i="8" s="1"/>
  <c r="Y1265" i="8" s="1"/>
  <c r="Y764" i="2"/>
  <c r="Y1268" i="8" s="1"/>
  <c r="Y1269" i="8" s="1"/>
  <c r="Y768" i="2"/>
  <c r="Y1284" i="8" s="1"/>
  <c r="Y1285" i="8" s="1"/>
  <c r="Y758" i="2"/>
  <c r="Y751" i="2"/>
  <c r="Y1683" i="8"/>
  <c r="Y658" i="2"/>
  <c r="Y755" i="2"/>
  <c r="Y769" i="2"/>
  <c r="Y756" i="2"/>
  <c r="Y765" i="2"/>
  <c r="Y657" i="2"/>
  <c r="Y767" i="2"/>
  <c r="Y1280" i="8" s="1"/>
  <c r="Y1281" i="8" s="1"/>
  <c r="Y752" i="2"/>
  <c r="Y754" i="2"/>
  <c r="Y757" i="2"/>
  <c r="Y753" i="2"/>
  <c r="Y762" i="2"/>
  <c r="U634" i="2"/>
  <c r="T263" i="8"/>
  <c r="T264" i="8" s="1"/>
  <c r="T94" i="12"/>
  <c r="X786" i="2"/>
  <c r="X1328" i="8" s="1"/>
  <c r="X1329" i="8" s="1"/>
  <c r="X1288" i="8"/>
  <c r="X1289" i="8" s="1"/>
  <c r="U771" i="2"/>
  <c r="U88" i="17" s="1"/>
  <c r="U515" i="2"/>
  <c r="T195" i="8"/>
  <c r="T196" i="8" s="1"/>
  <c r="T71" i="12"/>
  <c r="AA548" i="2"/>
  <c r="AA488" i="2"/>
  <c r="AA428" i="2"/>
  <c r="AA608" i="2"/>
  <c r="R1320" i="8"/>
  <c r="R1321" i="8" s="1"/>
  <c r="R789" i="2"/>
  <c r="Y1707" i="8"/>
  <c r="Y401" i="14"/>
  <c r="Y405" i="14" s="1"/>
  <c r="T1316" i="8"/>
  <c r="T1317" i="8" s="1"/>
  <c r="T779" i="2"/>
  <c r="T1696" i="8" s="1"/>
  <c r="T84" i="12"/>
  <c r="T235" i="8"/>
  <c r="T236" i="8" s="1"/>
  <c r="U576" i="2"/>
  <c r="R1702" i="8"/>
  <c r="R1716" i="8"/>
  <c r="R1592" i="8"/>
  <c r="AB487" i="2"/>
  <c r="AB607" i="2"/>
  <c r="AB547" i="2"/>
  <c r="AB427" i="2"/>
  <c r="T85" i="12"/>
  <c r="U577" i="2"/>
  <c r="T239" i="8"/>
  <c r="T240" i="8" s="1"/>
  <c r="AA546" i="2"/>
  <c r="AA606" i="2"/>
  <c r="AA426" i="2"/>
  <c r="AA486" i="2"/>
  <c r="R1701" i="8"/>
  <c r="R1591" i="8"/>
  <c r="R1715" i="8"/>
  <c r="R1545" i="8"/>
  <c r="R90" i="12"/>
  <c r="X791" i="2"/>
  <c r="X1224" i="8"/>
  <c r="X1225" i="8" s="1"/>
  <c r="X774" i="2"/>
  <c r="X759" i="2"/>
  <c r="X695" i="2"/>
  <c r="X781" i="2"/>
  <c r="T287" i="8"/>
  <c r="T288" i="8" s="1"/>
  <c r="T100" i="12"/>
  <c r="U640" i="2"/>
  <c r="U738" i="2"/>
  <c r="U760" i="2" s="1"/>
  <c r="U578" i="2"/>
  <c r="T243" i="8"/>
  <c r="T244" i="8" s="1"/>
  <c r="T86" i="12"/>
  <c r="AA1682" i="8"/>
  <c r="AA139" i="5"/>
  <c r="AA648" i="2" s="1"/>
  <c r="X1240" i="8"/>
  <c r="X1241" i="8" s="1"/>
  <c r="X795" i="2"/>
  <c r="X1360" i="8" s="1"/>
  <c r="X1361" i="8" s="1"/>
  <c r="X773" i="2"/>
  <c r="X90" i="15" s="1"/>
  <c r="T231" i="8"/>
  <c r="T232" i="8" s="1"/>
  <c r="T83" i="12"/>
  <c r="U575" i="2"/>
  <c r="AA612" i="2"/>
  <c r="AA552" i="2"/>
  <c r="AA492" i="2"/>
  <c r="AA432" i="2"/>
  <c r="AC404" i="14"/>
  <c r="AC1712" i="8" s="1"/>
  <c r="AC414" i="14"/>
  <c r="AC85" i="5" s="1"/>
  <c r="AC412" i="14"/>
  <c r="AC83" i="5" s="1"/>
  <c r="AC410" i="14"/>
  <c r="AC81" i="5" s="1"/>
  <c r="AC411" i="14"/>
  <c r="AC82" i="5" s="1"/>
  <c r="AC413" i="14"/>
  <c r="AC84" i="5" s="1"/>
  <c r="AC418" i="14"/>
  <c r="AC89" i="5" s="1"/>
  <c r="AC399" i="14"/>
  <c r="AC49" i="10"/>
  <c r="AC416" i="14"/>
  <c r="AC87" i="5" s="1"/>
  <c r="AC1699" i="8"/>
  <c r="AC415" i="14"/>
  <c r="AC86" i="5" s="1"/>
  <c r="AC400" i="14"/>
  <c r="AC1709" i="8" s="1"/>
  <c r="AC1706" i="8"/>
  <c r="AC417" i="14"/>
  <c r="AC88" i="5" s="1"/>
  <c r="T1438" i="8"/>
  <c r="T727" i="2"/>
  <c r="T89" i="17" s="1"/>
  <c r="O102" i="17" s="1"/>
  <c r="U514" i="2"/>
  <c r="T191" i="8"/>
  <c r="T192" i="8" s="1"/>
  <c r="T70" i="12"/>
  <c r="T291" i="8"/>
  <c r="T292" i="8" s="1"/>
  <c r="U641" i="2"/>
  <c r="T101" i="12"/>
  <c r="U581" i="2"/>
  <c r="T89" i="12"/>
  <c r="T255" i="8"/>
  <c r="T256" i="8" s="1"/>
  <c r="W1704" i="8"/>
  <c r="W1437" i="8"/>
  <c r="W1719" i="8"/>
  <c r="W1448" i="8"/>
  <c r="W684" i="2"/>
  <c r="W685" i="2"/>
  <c r="X788" i="2"/>
  <c r="X1336" i="8" s="1"/>
  <c r="X1337" i="8" s="1"/>
  <c r="X1272" i="8"/>
  <c r="X1273" i="8" s="1"/>
  <c r="AB486" i="2"/>
  <c r="AB546" i="2"/>
  <c r="AB426" i="2"/>
  <c r="AB606" i="2"/>
  <c r="U459" i="2"/>
  <c r="T175" i="8"/>
  <c r="T176" i="8" s="1"/>
  <c r="T63" i="12"/>
  <c r="AA551" i="2"/>
  <c r="AA491" i="2"/>
  <c r="AA611" i="2"/>
  <c r="AA431" i="2"/>
  <c r="R1546" i="8"/>
  <c r="R102" i="12"/>
  <c r="T64" i="12"/>
  <c r="T179" i="8"/>
  <c r="T180" i="8" s="1"/>
  <c r="U460" i="2"/>
  <c r="X402" i="14"/>
  <c r="X1674" i="8" s="1"/>
  <c r="X1710" i="8"/>
  <c r="X403" i="14"/>
  <c r="X1711" i="8" s="1"/>
  <c r="X1276" i="8"/>
  <c r="X1277" i="8" s="1"/>
  <c r="X784" i="2"/>
  <c r="V779" i="2"/>
  <c r="V1696" i="8" s="1"/>
  <c r="V1316" i="8"/>
  <c r="V1317" i="8" s="1"/>
  <c r="AB492" i="2"/>
  <c r="AB432" i="2"/>
  <c r="AB612" i="2"/>
  <c r="AB552" i="2"/>
  <c r="T77" i="12"/>
  <c r="T219" i="8"/>
  <c r="T220" i="8" s="1"/>
  <c r="U521" i="2"/>
  <c r="T87" i="12"/>
  <c r="T247" i="8"/>
  <c r="T248" i="8" s="1"/>
  <c r="U579" i="2"/>
  <c r="T60" i="12"/>
  <c r="T163" i="8"/>
  <c r="T164" i="8" s="1"/>
  <c r="U456" i="2"/>
  <c r="T1436" i="8"/>
  <c r="T276" i="13"/>
  <c r="T278" i="13" s="1"/>
  <c r="T1698" i="8" s="1"/>
  <c r="T1720" i="8"/>
  <c r="T1376" i="8"/>
  <c r="T1377" i="8" s="1"/>
  <c r="T406" i="14"/>
  <c r="T407" i="14" s="1"/>
  <c r="T1713" i="8" s="1"/>
  <c r="T1435" i="8"/>
  <c r="AB554" i="2"/>
  <c r="AB614" i="2"/>
  <c r="AB434" i="2"/>
  <c r="AB494" i="2"/>
  <c r="S276" i="13"/>
  <c r="S278" i="13" s="1"/>
  <c r="S1698" i="8" s="1"/>
  <c r="S1720" i="8"/>
  <c r="S406" i="14"/>
  <c r="S407" i="14" s="1"/>
  <c r="S1713" i="8" s="1"/>
  <c r="S1436" i="8"/>
  <c r="S1435" i="8"/>
  <c r="S1376" i="8"/>
  <c r="S1377" i="8" s="1"/>
  <c r="Z1681" i="8"/>
  <c r="U789" i="2"/>
  <c r="U1320" i="8"/>
  <c r="U1321" i="8" s="1"/>
  <c r="AA554" i="2"/>
  <c r="AA434" i="2"/>
  <c r="AA494" i="2"/>
  <c r="AA614" i="2"/>
  <c r="S462" i="2"/>
  <c r="S1586" i="8" s="1"/>
  <c r="S57" i="12"/>
  <c r="T453" i="2"/>
  <c r="S151" i="8"/>
  <c r="S152" i="8" s="1"/>
  <c r="R1675" i="8"/>
  <c r="R1256" i="8"/>
  <c r="R1257" i="8" s="1"/>
  <c r="R780" i="2"/>
  <c r="T76" i="12"/>
  <c r="T215" i="8"/>
  <c r="T216" i="8" s="1"/>
  <c r="U520" i="2"/>
  <c r="R799" i="2"/>
  <c r="R1676" i="8" s="1"/>
  <c r="R1344" i="8"/>
  <c r="R1345" i="8" s="1"/>
  <c r="Z1707" i="8"/>
  <c r="Z401" i="14"/>
  <c r="S1316" i="8"/>
  <c r="S1317" i="8" s="1"/>
  <c r="S779" i="2"/>
  <c r="S1696" i="8" s="1"/>
  <c r="AB553" i="2"/>
  <c r="AB613" i="2"/>
  <c r="AB493" i="2"/>
  <c r="AB433" i="2"/>
  <c r="W1721" i="8"/>
  <c r="W1595" i="8"/>
  <c r="W1573" i="8"/>
  <c r="V1438" i="8"/>
  <c r="V727" i="2"/>
  <c r="V89" i="17" s="1"/>
  <c r="T155" i="8"/>
  <c r="T156" i="8" s="1"/>
  <c r="U454" i="2"/>
  <c r="T58" i="12"/>
  <c r="X1248" i="8"/>
  <c r="X1249" i="8" s="1"/>
  <c r="X797" i="2"/>
  <c r="X1368" i="8" s="1"/>
  <c r="X1369" i="8" s="1"/>
  <c r="AB1682" i="8"/>
  <c r="AB139" i="5"/>
  <c r="AB648" i="2" s="1"/>
  <c r="U1344" i="8"/>
  <c r="U1345" i="8" s="1"/>
  <c r="U799" i="2"/>
  <c r="U1676" i="8" s="1"/>
  <c r="Z1680" i="8"/>
  <c r="U636" i="2"/>
  <c r="T271" i="8"/>
  <c r="T272" i="8" s="1"/>
  <c r="T96" i="12"/>
  <c r="R1703" i="8"/>
  <c r="R1717" i="8"/>
  <c r="R1593" i="8"/>
  <c r="S187" i="8"/>
  <c r="S188" i="8" s="1"/>
  <c r="S522" i="2"/>
  <c r="S1587" i="8" s="1"/>
  <c r="T513" i="2"/>
  <c r="S69" i="12"/>
  <c r="R1543" i="8"/>
  <c r="R66" i="12"/>
  <c r="X1228" i="8"/>
  <c r="X1229" i="8" s="1"/>
  <c r="X792" i="2"/>
  <c r="X1348" i="8" s="1"/>
  <c r="X1349" i="8" s="1"/>
  <c r="AB548" i="2"/>
  <c r="AB428" i="2"/>
  <c r="AB488" i="2"/>
  <c r="AB608" i="2"/>
  <c r="AE387" i="14"/>
  <c r="AE389" i="14" s="1"/>
  <c r="U638" i="2"/>
  <c r="T98" i="12"/>
  <c r="T279" i="8"/>
  <c r="T280" i="8" s="1"/>
  <c r="V1376" i="8"/>
  <c r="V1377" i="8" s="1"/>
  <c r="V276" i="13"/>
  <c r="V278" i="13" s="1"/>
  <c r="V1698" i="8" s="1"/>
  <c r="V1436" i="8"/>
  <c r="V1720" i="8"/>
  <c r="V406" i="14"/>
  <c r="V407" i="14" s="1"/>
  <c r="V1713" i="8" s="1"/>
  <c r="V1435" i="8"/>
  <c r="Y1679" i="8"/>
  <c r="U518" i="2"/>
  <c r="T74" i="12"/>
  <c r="T207" i="8"/>
  <c r="T208" i="8" s="1"/>
  <c r="R1296" i="8"/>
  <c r="R1297" i="8" s="1"/>
  <c r="R778" i="2"/>
  <c r="T275" i="8"/>
  <c r="T276" i="8" s="1"/>
  <c r="U637" i="2"/>
  <c r="T97" i="12"/>
  <c r="U455" i="2"/>
  <c r="T59" i="12"/>
  <c r="T159" i="8"/>
  <c r="T160" i="8" s="1"/>
  <c r="X1244" i="8"/>
  <c r="X1245" i="8" s="1"/>
  <c r="X796" i="2"/>
  <c r="X1364" i="8" s="1"/>
  <c r="X1365" i="8" s="1"/>
  <c r="AB398" i="14"/>
  <c r="AB1708" i="8"/>
  <c r="U1675" i="8"/>
  <c r="U1256" i="8"/>
  <c r="U1257" i="8" s="1"/>
  <c r="U780" i="2"/>
  <c r="Z1678" i="8"/>
  <c r="AA490" i="2"/>
  <c r="AA610" i="2"/>
  <c r="AA550" i="2"/>
  <c r="AA430" i="2"/>
  <c r="T633" i="2"/>
  <c r="S642" i="2"/>
  <c r="S1589" i="8" s="1"/>
  <c r="S259" i="8"/>
  <c r="S260" i="8" s="1"/>
  <c r="S93" i="12"/>
  <c r="AD388" i="14"/>
  <c r="AD390" i="14" s="1"/>
  <c r="X794" i="2"/>
  <c r="X1356" i="8" s="1"/>
  <c r="X1357" i="8" s="1"/>
  <c r="X1236" i="8"/>
  <c r="X1237" i="8" s="1"/>
  <c r="X777" i="2"/>
  <c r="Z1679" i="8"/>
  <c r="AA1708" i="8"/>
  <c r="AA398" i="14"/>
  <c r="W41" i="18" l="1"/>
  <c r="D49" i="18"/>
  <c r="D75" i="18"/>
  <c r="L86" i="18" s="1"/>
  <c r="L87" i="18" s="1"/>
  <c r="V41" i="18"/>
  <c r="D51" i="18" s="1"/>
  <c r="D72" i="18" s="1"/>
  <c r="I86" i="18" s="1"/>
  <c r="I87" i="18" s="1"/>
  <c r="AA660" i="2"/>
  <c r="AA659" i="2"/>
  <c r="AA37" i="15" s="1"/>
  <c r="AB660" i="2"/>
  <c r="AB38" i="15" s="1"/>
  <c r="AB659" i="2"/>
  <c r="AB37" i="15" s="1"/>
  <c r="W1469" i="8"/>
  <c r="W87" i="17"/>
  <c r="X1300" i="8"/>
  <c r="X1301" i="8" s="1"/>
  <c r="X75" i="15"/>
  <c r="X1304" i="8"/>
  <c r="X1305" i="8" s="1"/>
  <c r="X85" i="15"/>
  <c r="R1529" i="8"/>
  <c r="R91" i="15"/>
  <c r="R1340" i="8"/>
  <c r="R39" i="15"/>
  <c r="U1340" i="8"/>
  <c r="U39" i="15"/>
  <c r="X1312" i="8"/>
  <c r="X1313" i="8" s="1"/>
  <c r="X80" i="15"/>
  <c r="R1528" i="8"/>
  <c r="R86" i="15"/>
  <c r="Y40" i="15"/>
  <c r="R34" i="15"/>
  <c r="R76" i="15"/>
  <c r="S41" i="15"/>
  <c r="S1839" i="8"/>
  <c r="T41" i="15"/>
  <c r="T1839" i="8"/>
  <c r="Z40" i="15"/>
  <c r="R1527" i="8"/>
  <c r="R81" i="15"/>
  <c r="V41" i="15"/>
  <c r="V1839" i="8"/>
  <c r="S1585" i="8"/>
  <c r="S1691" i="8"/>
  <c r="S1583" i="8"/>
  <c r="S1689" i="8"/>
  <c r="S1582" i="8"/>
  <c r="S1688" i="8"/>
  <c r="AA1575" i="8"/>
  <c r="AB1577" i="8"/>
  <c r="AA1574" i="8"/>
  <c r="X738" i="2"/>
  <c r="X760" i="2" s="1"/>
  <c r="AA1681" i="8"/>
  <c r="AA1577" i="8"/>
  <c r="AB1574" i="8"/>
  <c r="AB1576" i="8"/>
  <c r="AA1576" i="8"/>
  <c r="S1690" i="8"/>
  <c r="S1584" i="8"/>
  <c r="AB1679" i="8"/>
  <c r="AB1575" i="8"/>
  <c r="AD391" i="14"/>
  <c r="AD393" i="14" s="1"/>
  <c r="AC609" i="2"/>
  <c r="AC489" i="2"/>
  <c r="AC429" i="2"/>
  <c r="AC549" i="2"/>
  <c r="Y788" i="2"/>
  <c r="Y1336" i="8" s="1"/>
  <c r="Y1337" i="8" s="1"/>
  <c r="Y1272" i="8"/>
  <c r="Y1273" i="8" s="1"/>
  <c r="S1702" i="8"/>
  <c r="S1716" i="8"/>
  <c r="S1592" i="8"/>
  <c r="U1316" i="8"/>
  <c r="U1317" i="8" s="1"/>
  <c r="U779" i="2"/>
  <c r="U1696" i="8" s="1"/>
  <c r="Z1236" i="8"/>
  <c r="Z1237" i="8" s="1"/>
  <c r="Z794" i="2"/>
  <c r="Z1356" i="8" s="1"/>
  <c r="Z1357" i="8" s="1"/>
  <c r="Z777" i="2"/>
  <c r="U183" i="8"/>
  <c r="U184" i="8" s="1"/>
  <c r="V461" i="2"/>
  <c r="U65" i="12"/>
  <c r="AB1707" i="8"/>
  <c r="AB401" i="14"/>
  <c r="AB405" i="14" s="1"/>
  <c r="V520" i="2"/>
  <c r="U76" i="12"/>
  <c r="U215" i="8"/>
  <c r="U216" i="8" s="1"/>
  <c r="R727" i="2"/>
  <c r="R89" i="17" s="1"/>
  <c r="R1438" i="8"/>
  <c r="AC486" i="2"/>
  <c r="AC546" i="2"/>
  <c r="AC426" i="2"/>
  <c r="AC606" i="2"/>
  <c r="Y1288" i="8"/>
  <c r="Y1289" i="8" s="1"/>
  <c r="Y786" i="2"/>
  <c r="Y1328" i="8" s="1"/>
  <c r="Y1329" i="8" s="1"/>
  <c r="V455" i="2"/>
  <c r="U59" i="12"/>
  <c r="U159" i="8"/>
  <c r="U160" i="8" s="1"/>
  <c r="V1721" i="8"/>
  <c r="V1595" i="8"/>
  <c r="V1573" i="8"/>
  <c r="AB765" i="2"/>
  <c r="AB658" i="2"/>
  <c r="AB758" i="2"/>
  <c r="AB763" i="2"/>
  <c r="AB1264" i="8" s="1"/>
  <c r="AB1265" i="8" s="1"/>
  <c r="AB753" i="2"/>
  <c r="AB768" i="2"/>
  <c r="AB1284" i="8" s="1"/>
  <c r="AB1285" i="8" s="1"/>
  <c r="AB752" i="2"/>
  <c r="AB764" i="2"/>
  <c r="AB1268" i="8" s="1"/>
  <c r="AB1269" i="8" s="1"/>
  <c r="AB754" i="2"/>
  <c r="AB762" i="2"/>
  <c r="AB757" i="2"/>
  <c r="AB767" i="2"/>
  <c r="AB1280" i="8" s="1"/>
  <c r="AB1281" i="8" s="1"/>
  <c r="AB769" i="2"/>
  <c r="AB766" i="2"/>
  <c r="AB657" i="2"/>
  <c r="AB751" i="2"/>
  <c r="AB756" i="2"/>
  <c r="AB1683" i="8"/>
  <c r="AB755" i="2"/>
  <c r="T1595" i="8"/>
  <c r="T1721" i="8"/>
  <c r="T1573" i="8"/>
  <c r="AC548" i="2"/>
  <c r="AC428" i="2"/>
  <c r="AC608" i="2"/>
  <c r="AC488" i="2"/>
  <c r="Y1240" i="8"/>
  <c r="Y1241" i="8" s="1"/>
  <c r="Y773" i="2"/>
  <c r="Y90" i="15" s="1"/>
  <c r="Y795" i="2"/>
  <c r="Y1360" i="8" s="1"/>
  <c r="Y1361" i="8" s="1"/>
  <c r="Z792" i="2"/>
  <c r="Z1348" i="8" s="1"/>
  <c r="Z1349" i="8" s="1"/>
  <c r="Z1228" i="8"/>
  <c r="Z1229" i="8" s="1"/>
  <c r="AA758" i="2"/>
  <c r="AA751" i="2"/>
  <c r="AA657" i="2"/>
  <c r="AA1683" i="8"/>
  <c r="AA756" i="2"/>
  <c r="AA769" i="2"/>
  <c r="AA658" i="2"/>
  <c r="AA764" i="2"/>
  <c r="AA1268" i="8" s="1"/>
  <c r="AA1269" i="8" s="1"/>
  <c r="AA38" i="15"/>
  <c r="AA765" i="2"/>
  <c r="AA755" i="2"/>
  <c r="AA766" i="2"/>
  <c r="AA753" i="2"/>
  <c r="AA767" i="2"/>
  <c r="AA1280" i="8" s="1"/>
  <c r="AA1281" i="8" s="1"/>
  <c r="AA754" i="2"/>
  <c r="AA763" i="2"/>
  <c r="AA1264" i="8" s="1"/>
  <c r="AA1265" i="8" s="1"/>
  <c r="AA757" i="2"/>
  <c r="AA752" i="2"/>
  <c r="AA768" i="2"/>
  <c r="AA1284" i="8" s="1"/>
  <c r="AA1285" i="8" s="1"/>
  <c r="AA762" i="2"/>
  <c r="S1544" i="8"/>
  <c r="S78" i="12"/>
  <c r="AC610" i="2"/>
  <c r="AC430" i="2"/>
  <c r="AC550" i="2"/>
  <c r="AC490" i="2"/>
  <c r="X1344" i="8"/>
  <c r="X1345" i="8" s="1"/>
  <c r="X799" i="2"/>
  <c r="X1676" i="8" s="1"/>
  <c r="V634" i="2"/>
  <c r="U263" i="8"/>
  <c r="U264" i="8" s="1"/>
  <c r="U94" i="12"/>
  <c r="V580" i="2"/>
  <c r="U88" i="12"/>
  <c r="U251" i="8"/>
  <c r="U252" i="8" s="1"/>
  <c r="V515" i="2"/>
  <c r="U71" i="12"/>
  <c r="U195" i="8"/>
  <c r="U196" i="8" s="1"/>
  <c r="Z1272" i="8"/>
  <c r="Z1273" i="8" s="1"/>
  <c r="Z788" i="2"/>
  <c r="Z1336" i="8" s="1"/>
  <c r="Z1337" i="8" s="1"/>
  <c r="V636" i="2"/>
  <c r="U96" i="12"/>
  <c r="U271" i="8"/>
  <c r="U272" i="8" s="1"/>
  <c r="Z785" i="2"/>
  <c r="Z1324" i="8" s="1"/>
  <c r="Z1325" i="8" s="1"/>
  <c r="Z770" i="2"/>
  <c r="Z1292" i="8" s="1"/>
  <c r="Z1293" i="8" s="1"/>
  <c r="Z782" i="2"/>
  <c r="Z73" i="17" s="1"/>
  <c r="Z1260" i="8"/>
  <c r="Z1261" i="8" s="1"/>
  <c r="S90" i="12"/>
  <c r="S1545" i="8"/>
  <c r="Z798" i="2"/>
  <c r="Z1372" i="8" s="1"/>
  <c r="Z1373" i="8" s="1"/>
  <c r="Z775" i="2"/>
  <c r="Z1252" i="8"/>
  <c r="Z1253" i="8" s="1"/>
  <c r="V637" i="2"/>
  <c r="U275" i="8"/>
  <c r="U276" i="8" s="1"/>
  <c r="U97" i="12"/>
  <c r="U513" i="2"/>
  <c r="T69" i="12"/>
  <c r="T522" i="2"/>
  <c r="T1587" i="8" s="1"/>
  <c r="T187" i="8"/>
  <c r="T188" i="8" s="1"/>
  <c r="S1704" i="8"/>
  <c r="S685" i="2"/>
  <c r="S684" i="2"/>
  <c r="S1719" i="8"/>
  <c r="S1448" i="8"/>
  <c r="S1437" i="8"/>
  <c r="T57" i="12"/>
  <c r="T151" i="8"/>
  <c r="T152" i="8" s="1"/>
  <c r="U453" i="2"/>
  <c r="T462" i="2"/>
  <c r="T1586" i="8" s="1"/>
  <c r="U60" i="12"/>
  <c r="V456" i="2"/>
  <c r="U163" i="8"/>
  <c r="U164" i="8" s="1"/>
  <c r="V1704" i="8"/>
  <c r="V684" i="2"/>
  <c r="V1448" i="8"/>
  <c r="V1719" i="8"/>
  <c r="V685" i="2"/>
  <c r="V1437" i="8"/>
  <c r="AC553" i="2"/>
  <c r="AC493" i="2"/>
  <c r="AC433" i="2"/>
  <c r="AC613" i="2"/>
  <c r="Y1260" i="8"/>
  <c r="Y1261" i="8" s="1"/>
  <c r="Y782" i="2"/>
  <c r="Y73" i="17" s="1"/>
  <c r="Y785" i="2"/>
  <c r="Y1324" i="8" s="1"/>
  <c r="Y1325" i="8" s="1"/>
  <c r="Y770" i="2"/>
  <c r="Y1292" i="8" s="1"/>
  <c r="Y1293" i="8" s="1"/>
  <c r="V639" i="2"/>
  <c r="U99" i="12"/>
  <c r="U283" i="8"/>
  <c r="U284" i="8" s="1"/>
  <c r="V517" i="2"/>
  <c r="U73" i="12"/>
  <c r="U203" i="8"/>
  <c r="U204" i="8" s="1"/>
  <c r="X1296" i="8"/>
  <c r="X1297" i="8" s="1"/>
  <c r="X778" i="2"/>
  <c r="V514" i="2"/>
  <c r="U191" i="8"/>
  <c r="U192" i="8" s="1"/>
  <c r="U70" i="12"/>
  <c r="R1526" i="8"/>
  <c r="R1718" i="8"/>
  <c r="AA1707" i="8"/>
  <c r="AA401" i="14"/>
  <c r="AA405" i="14" s="1"/>
  <c r="S1701" i="8"/>
  <c r="S1715" i="8"/>
  <c r="S1591" i="8"/>
  <c r="S66" i="12"/>
  <c r="S1543" i="8"/>
  <c r="X789" i="2"/>
  <c r="X1320" i="8"/>
  <c r="X1321" i="8" s="1"/>
  <c r="V578" i="2"/>
  <c r="U86" i="12"/>
  <c r="U243" i="8"/>
  <c r="U244" i="8" s="1"/>
  <c r="Y793" i="2"/>
  <c r="Y1352" i="8" s="1"/>
  <c r="Y1353" i="8" s="1"/>
  <c r="Y1232" i="8"/>
  <c r="Y1233" i="8" s="1"/>
  <c r="Y791" i="2"/>
  <c r="Y1224" i="8"/>
  <c r="Y1225" i="8" s="1"/>
  <c r="Y759" i="2"/>
  <c r="Y781" i="2"/>
  <c r="Y774" i="2"/>
  <c r="Y695" i="2"/>
  <c r="U95" i="12"/>
  <c r="V635" i="2"/>
  <c r="U267" i="8"/>
  <c r="U268" i="8" s="1"/>
  <c r="Z1244" i="8"/>
  <c r="Z1245" i="8" s="1"/>
  <c r="Z796" i="2"/>
  <c r="Z1364" i="8" s="1"/>
  <c r="Z1365" i="8" s="1"/>
  <c r="Z797" i="2"/>
  <c r="Z1368" i="8" s="1"/>
  <c r="Z1369" i="8" s="1"/>
  <c r="Z1248" i="8"/>
  <c r="Z1249" i="8" s="1"/>
  <c r="V574" i="2"/>
  <c r="U227" i="8"/>
  <c r="U228" i="8" s="1"/>
  <c r="U82" i="12"/>
  <c r="T223" i="8"/>
  <c r="T224" i="8" s="1"/>
  <c r="T582" i="2"/>
  <c r="T1588" i="8" s="1"/>
  <c r="T81" i="12"/>
  <c r="U573" i="2"/>
  <c r="AA1680" i="8"/>
  <c r="S1703" i="8"/>
  <c r="S1593" i="8"/>
  <c r="S1717" i="8"/>
  <c r="U62" i="12"/>
  <c r="V458" i="2"/>
  <c r="U171" i="8"/>
  <c r="U172" i="8" s="1"/>
  <c r="Y798" i="2"/>
  <c r="Y1372" i="8" s="1"/>
  <c r="Y1373" i="8" s="1"/>
  <c r="Y1252" i="8"/>
  <c r="Y1253" i="8" s="1"/>
  <c r="Y775" i="2"/>
  <c r="Z1276" i="8"/>
  <c r="Z1277" i="8" s="1"/>
  <c r="Z784" i="2"/>
  <c r="V577" i="2"/>
  <c r="U85" i="12"/>
  <c r="U239" i="8"/>
  <c r="U240" i="8" s="1"/>
  <c r="Y796" i="2"/>
  <c r="Y1364" i="8" s="1"/>
  <c r="Y1365" i="8" s="1"/>
  <c r="Y1244" i="8"/>
  <c r="Y1245" i="8" s="1"/>
  <c r="R1316" i="8"/>
  <c r="R1317" i="8" s="1"/>
  <c r="R779" i="2"/>
  <c r="R1696" i="8" s="1"/>
  <c r="Z1710" i="8"/>
  <c r="Z403" i="14"/>
  <c r="Z1711" i="8" s="1"/>
  <c r="Z402" i="14"/>
  <c r="Z1674" i="8" s="1"/>
  <c r="U727" i="2"/>
  <c r="U89" i="17" s="1"/>
  <c r="U1438" i="8"/>
  <c r="AE388" i="14"/>
  <c r="AE390" i="14" s="1"/>
  <c r="V454" i="2"/>
  <c r="U58" i="12"/>
  <c r="U155" i="8"/>
  <c r="U156" i="8" s="1"/>
  <c r="Z405" i="14"/>
  <c r="S1595" i="8"/>
  <c r="S1573" i="8"/>
  <c r="S1721" i="8"/>
  <c r="U247" i="8"/>
  <c r="U248" i="8" s="1"/>
  <c r="V579" i="2"/>
  <c r="U87" i="12"/>
  <c r="V459" i="2"/>
  <c r="U63" i="12"/>
  <c r="U175" i="8"/>
  <c r="U176" i="8" s="1"/>
  <c r="AC611" i="2"/>
  <c r="AC551" i="2"/>
  <c r="AC431" i="2"/>
  <c r="AC491" i="2"/>
  <c r="V640" i="2"/>
  <c r="U100" i="12"/>
  <c r="U287" i="8"/>
  <c r="U288" i="8" s="1"/>
  <c r="Y1248" i="8"/>
  <c r="Y1249" i="8" s="1"/>
  <c r="Y797" i="2"/>
  <c r="Y1368" i="8" s="1"/>
  <c r="Y1369" i="8" s="1"/>
  <c r="AC398" i="14"/>
  <c r="AC1708" i="8"/>
  <c r="U199" i="8"/>
  <c r="U200" i="8" s="1"/>
  <c r="V516" i="2"/>
  <c r="U72" i="12"/>
  <c r="S1546" i="8"/>
  <c r="S102" i="12"/>
  <c r="U1720" i="8"/>
  <c r="U406" i="14"/>
  <c r="U407" i="14" s="1"/>
  <c r="U1713" i="8" s="1"/>
  <c r="U1436" i="8"/>
  <c r="U1435" i="8"/>
  <c r="U276" i="13"/>
  <c r="U278" i="13" s="1"/>
  <c r="U1698" i="8" s="1"/>
  <c r="U1376" i="8"/>
  <c r="U1377" i="8" s="1"/>
  <c r="U633" i="2"/>
  <c r="T642" i="2"/>
  <c r="T1589" i="8" s="1"/>
  <c r="T93" i="12"/>
  <c r="T259" i="8"/>
  <c r="T260" i="8" s="1"/>
  <c r="AB1681" i="8"/>
  <c r="V581" i="2"/>
  <c r="U89" i="12"/>
  <c r="U255" i="8"/>
  <c r="U256" i="8" s="1"/>
  <c r="Y1236" i="8"/>
  <c r="Y1237" i="8" s="1"/>
  <c r="Y794" i="2"/>
  <c r="Y1356" i="8" s="1"/>
  <c r="Y1357" i="8" s="1"/>
  <c r="Y777" i="2"/>
  <c r="Z786" i="2"/>
  <c r="Z1328" i="8" s="1"/>
  <c r="Z1329" i="8" s="1"/>
  <c r="Z1288" i="8"/>
  <c r="Z1289" i="8" s="1"/>
  <c r="Z793" i="2"/>
  <c r="Z1352" i="8" s="1"/>
  <c r="Z1353" i="8" s="1"/>
  <c r="Z1232" i="8"/>
  <c r="Z1233" i="8" s="1"/>
  <c r="V457" i="2"/>
  <c r="U167" i="8"/>
  <c r="U168" i="8" s="1"/>
  <c r="U61" i="12"/>
  <c r="AC494" i="2"/>
  <c r="AC614" i="2"/>
  <c r="AC554" i="2"/>
  <c r="AC434" i="2"/>
  <c r="AC487" i="2"/>
  <c r="AC607" i="2"/>
  <c r="AC547" i="2"/>
  <c r="AC427" i="2"/>
  <c r="X1675" i="8"/>
  <c r="X1256" i="8"/>
  <c r="X1257" i="8" s="1"/>
  <c r="X780" i="2"/>
  <c r="Y1710" i="8"/>
  <c r="Y402" i="14"/>
  <c r="Y1674" i="8" s="1"/>
  <c r="Y403" i="14"/>
  <c r="Y1711" i="8" s="1"/>
  <c r="U279" i="8"/>
  <c r="U280" i="8" s="1"/>
  <c r="U98" i="12"/>
  <c r="V638" i="2"/>
  <c r="S1700" i="8"/>
  <c r="S1714" i="8"/>
  <c r="S1590" i="8"/>
  <c r="AB1678" i="8"/>
  <c r="AC612" i="2"/>
  <c r="AC552" i="2"/>
  <c r="AC432" i="2"/>
  <c r="AC492" i="2"/>
  <c r="V575" i="2"/>
  <c r="U231" i="8"/>
  <c r="U232" i="8" s="1"/>
  <c r="U83" i="12"/>
  <c r="AA1679" i="8"/>
  <c r="U235" i="8"/>
  <c r="U236" i="8" s="1"/>
  <c r="V576" i="2"/>
  <c r="U84" i="12"/>
  <c r="Y792" i="2"/>
  <c r="Y1348" i="8" s="1"/>
  <c r="Y1349" i="8" s="1"/>
  <c r="Y1228" i="8"/>
  <c r="Y1229" i="8" s="1"/>
  <c r="V519" i="2"/>
  <c r="U211" i="8"/>
  <c r="U212" i="8" s="1"/>
  <c r="U75" i="12"/>
  <c r="Z795" i="2"/>
  <c r="Z1360" i="8" s="1"/>
  <c r="Z1361" i="8" s="1"/>
  <c r="Z773" i="2"/>
  <c r="Z90" i="15" s="1"/>
  <c r="Z1240" i="8"/>
  <c r="Z1241" i="8" s="1"/>
  <c r="T1704" i="8"/>
  <c r="F1501" i="8"/>
  <c r="T684" i="2"/>
  <c r="T1719" i="8"/>
  <c r="T1437" i="8"/>
  <c r="T1448" i="8"/>
  <c r="T685" i="2"/>
  <c r="V518" i="2"/>
  <c r="U74" i="12"/>
  <c r="U207" i="8"/>
  <c r="U208" i="8" s="1"/>
  <c r="R276" i="13"/>
  <c r="R278" i="13" s="1"/>
  <c r="R1698" i="8" s="1"/>
  <c r="R1720" i="8"/>
  <c r="R1376" i="8"/>
  <c r="R1377" i="8" s="1"/>
  <c r="R1435" i="8"/>
  <c r="R406" i="14"/>
  <c r="R407" i="14" s="1"/>
  <c r="R1436" i="8"/>
  <c r="U219" i="8"/>
  <c r="U220" i="8" s="1"/>
  <c r="V521" i="2"/>
  <c r="U77" i="12"/>
  <c r="V460" i="2"/>
  <c r="U64" i="12"/>
  <c r="U179" i="8"/>
  <c r="U180" i="8" s="1"/>
  <c r="AB1680" i="8"/>
  <c r="V641" i="2"/>
  <c r="U101" i="12"/>
  <c r="U291" i="8"/>
  <c r="U292" i="8" s="1"/>
  <c r="AC1682" i="8"/>
  <c r="AC139" i="5"/>
  <c r="AC648" i="2" s="1"/>
  <c r="X771" i="2"/>
  <c r="X88" i="17" s="1"/>
  <c r="AA1678" i="8"/>
  <c r="Y1276" i="8"/>
  <c r="Y1277" i="8" s="1"/>
  <c r="Y784" i="2"/>
  <c r="Z791" i="2"/>
  <c r="Z774" i="2"/>
  <c r="Z1224" i="8"/>
  <c r="Z1225" i="8" s="1"/>
  <c r="Z781" i="2"/>
  <c r="Z695" i="2"/>
  <c r="Z759" i="2"/>
  <c r="D71" i="18" l="1"/>
  <c r="H86" i="18" s="1"/>
  <c r="H87" i="18" s="1"/>
  <c r="D73" i="18"/>
  <c r="J86" i="18" s="1"/>
  <c r="J87" i="18" s="1"/>
  <c r="D74" i="18"/>
  <c r="K86" i="18" s="1"/>
  <c r="K87" i="18" s="1"/>
  <c r="D67" i="18"/>
  <c r="R1713" i="8"/>
  <c r="R60" i="17"/>
  <c r="R61" i="17" s="1"/>
  <c r="R65" i="17" s="1"/>
  <c r="AC659" i="2"/>
  <c r="AC37" i="15" s="1"/>
  <c r="AC660" i="2"/>
  <c r="AC38" i="15" s="1"/>
  <c r="V1469" i="8"/>
  <c r="V87" i="17"/>
  <c r="T1469" i="8"/>
  <c r="T87" i="17"/>
  <c r="S1469" i="8"/>
  <c r="S87" i="17"/>
  <c r="R35" i="15"/>
  <c r="R36" i="15" s="1"/>
  <c r="R42" i="15" s="1"/>
  <c r="R82" i="15"/>
  <c r="R1852" i="8" s="1"/>
  <c r="R83" i="15"/>
  <c r="R87" i="15"/>
  <c r="R1853" i="8" s="1"/>
  <c r="R88" i="15"/>
  <c r="Y1300" i="8"/>
  <c r="Y1301" i="8" s="1"/>
  <c r="Y75" i="15"/>
  <c r="S1528" i="8"/>
  <c r="S86" i="15"/>
  <c r="AA40" i="15"/>
  <c r="U41" i="15"/>
  <c r="U1839" i="8"/>
  <c r="S1529" i="8"/>
  <c r="S91" i="15"/>
  <c r="Z1312" i="8"/>
  <c r="Z1313" i="8" s="1"/>
  <c r="Z80" i="15"/>
  <c r="R41" i="15"/>
  <c r="R1839" i="8"/>
  <c r="AB40" i="15"/>
  <c r="R92" i="15"/>
  <c r="R1854" i="8" s="1"/>
  <c r="R93" i="15"/>
  <c r="R77" i="15"/>
  <c r="R1851" i="8" s="1"/>
  <c r="R78" i="15"/>
  <c r="Z1300" i="8"/>
  <c r="Z1301" i="8" s="1"/>
  <c r="Z75" i="15"/>
  <c r="X1340" i="8"/>
  <c r="X39" i="15"/>
  <c r="Z1304" i="8"/>
  <c r="Z1305" i="8" s="1"/>
  <c r="Z85" i="15"/>
  <c r="S1527" i="8"/>
  <c r="S81" i="15"/>
  <c r="S34" i="15"/>
  <c r="S76" i="15"/>
  <c r="Y1304" i="8"/>
  <c r="Y1305" i="8" s="1"/>
  <c r="Y85" i="15"/>
  <c r="Y1312" i="8"/>
  <c r="Y1313" i="8" s="1"/>
  <c r="Y80" i="15"/>
  <c r="T1689" i="8"/>
  <c r="T1583" i="8"/>
  <c r="T1690" i="8"/>
  <c r="T1584" i="8"/>
  <c r="AC1577" i="8"/>
  <c r="T1585" i="8"/>
  <c r="T1691" i="8"/>
  <c r="AC1574" i="8"/>
  <c r="T1582" i="8"/>
  <c r="T1688" i="8"/>
  <c r="AC1576" i="8"/>
  <c r="AC1575" i="8"/>
  <c r="AE391" i="14"/>
  <c r="AE393" i="14" s="1"/>
  <c r="AC1679" i="8"/>
  <c r="U582" i="2"/>
  <c r="U1588" i="8" s="1"/>
  <c r="V573" i="2"/>
  <c r="U81" i="12"/>
  <c r="U223" i="8"/>
  <c r="U224" i="8" s="1"/>
  <c r="X1316" i="8"/>
  <c r="X1317" i="8" s="1"/>
  <c r="X779" i="2"/>
  <c r="X1696" i="8" s="1"/>
  <c r="AB1276" i="8"/>
  <c r="AB1277" i="8" s="1"/>
  <c r="AB784" i="2"/>
  <c r="T90" i="12"/>
  <c r="T1545" i="8"/>
  <c r="Y1320" i="8"/>
  <c r="Y1321" i="8" s="1"/>
  <c r="Y789" i="2"/>
  <c r="V199" i="8"/>
  <c r="V200" i="8" s="1"/>
  <c r="W516" i="2"/>
  <c r="V72" i="12"/>
  <c r="V203" i="8"/>
  <c r="V204" i="8" s="1"/>
  <c r="W517" i="2"/>
  <c r="V73" i="12"/>
  <c r="AA770" i="2"/>
  <c r="AA1292" i="8" s="1"/>
  <c r="AA1293" i="8" s="1"/>
  <c r="AA782" i="2"/>
  <c r="AA73" i="17" s="1"/>
  <c r="AA1260" i="8"/>
  <c r="AA1261" i="8" s="1"/>
  <c r="AA785" i="2"/>
  <c r="AA1324" i="8" s="1"/>
  <c r="AA1325" i="8" s="1"/>
  <c r="AA1288" i="8"/>
  <c r="AA1289" i="8" s="1"/>
  <c r="AA786" i="2"/>
  <c r="AA1328" i="8" s="1"/>
  <c r="AA1329" i="8" s="1"/>
  <c r="AB1248" i="8"/>
  <c r="AB1249" i="8" s="1"/>
  <c r="AB797" i="2"/>
  <c r="AB1368" i="8" s="1"/>
  <c r="AB1369" i="8" s="1"/>
  <c r="W520" i="2"/>
  <c r="V76" i="12"/>
  <c r="V215" i="8"/>
  <c r="V216" i="8" s="1"/>
  <c r="V453" i="2"/>
  <c r="U151" i="8"/>
  <c r="U152" i="8" s="1"/>
  <c r="U462" i="2"/>
  <c r="U1586" i="8" s="1"/>
  <c r="U57" i="12"/>
  <c r="V179" i="8"/>
  <c r="V180" i="8" s="1"/>
  <c r="W460" i="2"/>
  <c r="V64" i="12"/>
  <c r="U1704" i="8"/>
  <c r="U685" i="2"/>
  <c r="U1437" i="8"/>
  <c r="U1448" i="8"/>
  <c r="U684" i="2"/>
  <c r="U1719" i="8"/>
  <c r="W576" i="2"/>
  <c r="V235" i="8"/>
  <c r="V236" i="8" s="1"/>
  <c r="V84" i="12"/>
  <c r="W577" i="2"/>
  <c r="V85" i="12"/>
  <c r="V239" i="8"/>
  <c r="V240" i="8" s="1"/>
  <c r="AB1272" i="8"/>
  <c r="AB1273" i="8" s="1"/>
  <c r="AB788" i="2"/>
  <c r="AB1336" i="8" s="1"/>
  <c r="AB1337" i="8" s="1"/>
  <c r="Z789" i="2"/>
  <c r="Z1320" i="8"/>
  <c r="Z1321" i="8" s="1"/>
  <c r="V175" i="8"/>
  <c r="V176" i="8" s="1"/>
  <c r="V63" i="12"/>
  <c r="W459" i="2"/>
  <c r="Y1675" i="8"/>
  <c r="Y780" i="2"/>
  <c r="Y1256" i="8"/>
  <c r="Y1257" i="8" s="1"/>
  <c r="AA1244" i="8"/>
  <c r="AA1245" i="8" s="1"/>
  <c r="AA796" i="2"/>
  <c r="AA1364" i="8" s="1"/>
  <c r="AA1365" i="8" s="1"/>
  <c r="AB1260" i="8"/>
  <c r="AB1261" i="8" s="1"/>
  <c r="AB782" i="2"/>
  <c r="AB73" i="17" s="1"/>
  <c r="AB785" i="2"/>
  <c r="AB1324" i="8" s="1"/>
  <c r="AB1325" i="8" s="1"/>
  <c r="AB770" i="2"/>
  <c r="AB1292" i="8" s="1"/>
  <c r="AB1293" i="8" s="1"/>
  <c r="AB403" i="14"/>
  <c r="AB1711" i="8" s="1"/>
  <c r="AB1710" i="8"/>
  <c r="AB402" i="14"/>
  <c r="AB1674" i="8" s="1"/>
  <c r="V191" i="8"/>
  <c r="V192" i="8" s="1"/>
  <c r="V70" i="12"/>
  <c r="W514" i="2"/>
  <c r="AB1252" i="8"/>
  <c r="AB1253" i="8" s="1"/>
  <c r="AB798" i="2"/>
  <c r="AB1372" i="8" s="1"/>
  <c r="AB1373" i="8" s="1"/>
  <c r="AB775" i="2"/>
  <c r="W638" i="2"/>
  <c r="V98" i="12"/>
  <c r="V279" i="8"/>
  <c r="V280" i="8" s="1"/>
  <c r="T66" i="12"/>
  <c r="T1543" i="8"/>
  <c r="W521" i="2"/>
  <c r="V77" i="12"/>
  <c r="V219" i="8"/>
  <c r="V220" i="8" s="1"/>
  <c r="V255" i="8"/>
  <c r="V256" i="8" s="1"/>
  <c r="W581" i="2"/>
  <c r="V89" i="12"/>
  <c r="V195" i="8"/>
  <c r="V196" i="8" s="1"/>
  <c r="W515" i="2"/>
  <c r="V71" i="12"/>
  <c r="AC753" i="2"/>
  <c r="AC767" i="2"/>
  <c r="AC1280" i="8" s="1"/>
  <c r="AC1281" i="8" s="1"/>
  <c r="AC757" i="2"/>
  <c r="AC752" i="2"/>
  <c r="AC768" i="2"/>
  <c r="AC1284" i="8" s="1"/>
  <c r="AC1285" i="8" s="1"/>
  <c r="AC763" i="2"/>
  <c r="AC1264" i="8" s="1"/>
  <c r="AC1265" i="8" s="1"/>
  <c r="AC764" i="2"/>
  <c r="AC1268" i="8" s="1"/>
  <c r="AC1269" i="8" s="1"/>
  <c r="AC762" i="2"/>
  <c r="AC758" i="2"/>
  <c r="AC755" i="2"/>
  <c r="AC766" i="2"/>
  <c r="AC754" i="2"/>
  <c r="AC657" i="2"/>
  <c r="AC1683" i="8"/>
  <c r="AC658" i="2"/>
  <c r="AC769" i="2"/>
  <c r="AC751" i="2"/>
  <c r="AC765" i="2"/>
  <c r="AC756" i="2"/>
  <c r="W575" i="2"/>
  <c r="V83" i="12"/>
  <c r="V231" i="8"/>
  <c r="V232" i="8" s="1"/>
  <c r="W457" i="2"/>
  <c r="V167" i="8"/>
  <c r="V168" i="8" s="1"/>
  <c r="V61" i="12"/>
  <c r="T1546" i="8"/>
  <c r="T102" i="12"/>
  <c r="V227" i="8"/>
  <c r="V228" i="8" s="1"/>
  <c r="V82" i="12"/>
  <c r="W574" i="2"/>
  <c r="AA402" i="14"/>
  <c r="AA1674" i="8" s="1"/>
  <c r="AA1710" i="8"/>
  <c r="AA403" i="14"/>
  <c r="AA1711" i="8" s="1"/>
  <c r="W580" i="2"/>
  <c r="V88" i="12"/>
  <c r="V251" i="8"/>
  <c r="V252" i="8" s="1"/>
  <c r="AA792" i="2"/>
  <c r="AA1348" i="8" s="1"/>
  <c r="AA1349" i="8" s="1"/>
  <c r="AA1228" i="8"/>
  <c r="AA1229" i="8" s="1"/>
  <c r="AB1236" i="8"/>
  <c r="AB1237" i="8" s="1"/>
  <c r="AB777" i="2"/>
  <c r="AB794" i="2"/>
  <c r="AB1356" i="8" s="1"/>
  <c r="AB1357" i="8" s="1"/>
  <c r="Y738" i="2"/>
  <c r="AA788" i="2"/>
  <c r="AA1336" i="8" s="1"/>
  <c r="AA1337" i="8" s="1"/>
  <c r="AA1272" i="8"/>
  <c r="AA1273" i="8" s="1"/>
  <c r="Z1296" i="8"/>
  <c r="Z1297" i="8" s="1"/>
  <c r="Z778" i="2"/>
  <c r="X1438" i="8"/>
  <c r="X727" i="2"/>
  <c r="X89" i="17" s="1"/>
  <c r="T1703" i="8"/>
  <c r="T1717" i="8"/>
  <c r="T1593" i="8"/>
  <c r="AC1707" i="8"/>
  <c r="AC401" i="14"/>
  <c r="AC405" i="14" s="1"/>
  <c r="V247" i="8"/>
  <c r="V248" i="8" s="1"/>
  <c r="V87" i="12"/>
  <c r="W579" i="2"/>
  <c r="Y1344" i="8"/>
  <c r="Y1345" i="8" s="1"/>
  <c r="Y799" i="2"/>
  <c r="Y1676" i="8" s="1"/>
  <c r="V283" i="8"/>
  <c r="V284" i="8" s="1"/>
  <c r="V99" i="12"/>
  <c r="W639" i="2"/>
  <c r="AA797" i="2"/>
  <c r="AA1368" i="8" s="1"/>
  <c r="AA1369" i="8" s="1"/>
  <c r="AA1248" i="8"/>
  <c r="AA1249" i="8" s="1"/>
  <c r="V59" i="12"/>
  <c r="W455" i="2"/>
  <c r="V159" i="8"/>
  <c r="V160" i="8" s="1"/>
  <c r="T1702" i="8"/>
  <c r="T1716" i="8"/>
  <c r="T1592" i="8"/>
  <c r="AA1224" i="8"/>
  <c r="AA1225" i="8" s="1"/>
  <c r="AA791" i="2"/>
  <c r="AA781" i="2"/>
  <c r="AA774" i="2"/>
  <c r="AA759" i="2"/>
  <c r="AA695" i="2"/>
  <c r="W637" i="2"/>
  <c r="V97" i="12"/>
  <c r="V275" i="8"/>
  <c r="V276" i="8" s="1"/>
  <c r="Y1296" i="8"/>
  <c r="Y1297" i="8" s="1"/>
  <c r="Y778" i="2"/>
  <c r="Z1344" i="8"/>
  <c r="Z1345" i="8" s="1"/>
  <c r="Z799" i="2"/>
  <c r="Z1676" i="8" s="1"/>
  <c r="Z771" i="2"/>
  <c r="Z88" i="17" s="1"/>
  <c r="R1573" i="8"/>
  <c r="R1595" i="8"/>
  <c r="R1721" i="8"/>
  <c r="R1704" i="8"/>
  <c r="R1448" i="8"/>
  <c r="R684" i="2"/>
  <c r="R1437" i="8"/>
  <c r="R685" i="2"/>
  <c r="R87" i="17" s="1"/>
  <c r="R1719" i="8"/>
  <c r="T1701" i="8"/>
  <c r="T1715" i="8"/>
  <c r="T1591" i="8"/>
  <c r="W634" i="2"/>
  <c r="V263" i="8"/>
  <c r="V264" i="8" s="1"/>
  <c r="V94" i="12"/>
  <c r="AA1236" i="8"/>
  <c r="AA1237" i="8" s="1"/>
  <c r="AA794" i="2"/>
  <c r="AA1356" i="8" s="1"/>
  <c r="AA1357" i="8" s="1"/>
  <c r="AA777" i="2"/>
  <c r="AA798" i="2"/>
  <c r="AA1372" i="8" s="1"/>
  <c r="AA1373" i="8" s="1"/>
  <c r="AA1252" i="8"/>
  <c r="AA1253" i="8" s="1"/>
  <c r="AA775" i="2"/>
  <c r="AB795" i="2"/>
  <c r="AB1360" i="8" s="1"/>
  <c r="AB1361" i="8" s="1"/>
  <c r="AB1240" i="8"/>
  <c r="AB1241" i="8" s="1"/>
  <c r="AB773" i="2"/>
  <c r="AB90" i="15" s="1"/>
  <c r="AB1228" i="8"/>
  <c r="AB1229" i="8" s="1"/>
  <c r="AB792" i="2"/>
  <c r="AB1348" i="8" s="1"/>
  <c r="AB1349" i="8" s="1"/>
  <c r="V65" i="12"/>
  <c r="W461" i="2"/>
  <c r="V183" i="8"/>
  <c r="V184" i="8" s="1"/>
  <c r="AA1240" i="8"/>
  <c r="AA1241" i="8" s="1"/>
  <c r="AA795" i="2"/>
  <c r="AA1360" i="8" s="1"/>
  <c r="AA1361" i="8" s="1"/>
  <c r="AA773" i="2"/>
  <c r="AA90" i="15" s="1"/>
  <c r="V155" i="8"/>
  <c r="V156" i="8" s="1"/>
  <c r="W454" i="2"/>
  <c r="V58" i="12"/>
  <c r="S1718" i="8"/>
  <c r="S1526" i="8"/>
  <c r="AB1288" i="8"/>
  <c r="AB1289" i="8" s="1"/>
  <c r="AB786" i="2"/>
  <c r="AB1328" i="8" s="1"/>
  <c r="AB1329" i="8" s="1"/>
  <c r="V633" i="2"/>
  <c r="U642" i="2"/>
  <c r="U1589" i="8" s="1"/>
  <c r="U93" i="12"/>
  <c r="U259" i="8"/>
  <c r="U260" i="8" s="1"/>
  <c r="V62" i="12"/>
  <c r="W458" i="2"/>
  <c r="V171" i="8"/>
  <c r="V172" i="8" s="1"/>
  <c r="Z1675" i="8"/>
  <c r="Z1256" i="8"/>
  <c r="Z1257" i="8" s="1"/>
  <c r="Z780" i="2"/>
  <c r="U1721" i="8"/>
  <c r="U1573" i="8"/>
  <c r="U1595" i="8"/>
  <c r="V163" i="8"/>
  <c r="V164" i="8" s="1"/>
  <c r="V60" i="12"/>
  <c r="W456" i="2"/>
  <c r="T1544" i="8"/>
  <c r="T78" i="12"/>
  <c r="X1720" i="8"/>
  <c r="X406" i="14"/>
  <c r="X407" i="14" s="1"/>
  <c r="X1713" i="8" s="1"/>
  <c r="X276" i="13"/>
  <c r="X278" i="13" s="1"/>
  <c r="X1698" i="8" s="1"/>
  <c r="X1435" i="8"/>
  <c r="X1376" i="8"/>
  <c r="X1377" i="8" s="1"/>
  <c r="X1436" i="8"/>
  <c r="AC1681" i="8"/>
  <c r="Z738" i="2"/>
  <c r="Z760" i="2" s="1"/>
  <c r="V291" i="8"/>
  <c r="V292" i="8" s="1"/>
  <c r="W641" i="2"/>
  <c r="V101" i="12"/>
  <c r="V211" i="8"/>
  <c r="V212" i="8" s="1"/>
  <c r="W519" i="2"/>
  <c r="V75" i="12"/>
  <c r="U522" i="2"/>
  <c r="U1587" i="8" s="1"/>
  <c r="V513" i="2"/>
  <c r="U69" i="12"/>
  <c r="U187" i="8"/>
  <c r="U188" i="8" s="1"/>
  <c r="AA793" i="2"/>
  <c r="AA1352" i="8" s="1"/>
  <c r="AA1353" i="8" s="1"/>
  <c r="AA1232" i="8"/>
  <c r="AA1233" i="8" s="1"/>
  <c r="AB1244" i="8"/>
  <c r="AB1245" i="8" s="1"/>
  <c r="AB796" i="2"/>
  <c r="AB1364" i="8" s="1"/>
  <c r="AB1365" i="8" s="1"/>
  <c r="AB793" i="2"/>
  <c r="AB1352" i="8" s="1"/>
  <c r="AB1353" i="8" s="1"/>
  <c r="AB1232" i="8"/>
  <c r="AB1233" i="8" s="1"/>
  <c r="AC1678" i="8"/>
  <c r="AD392" i="14"/>
  <c r="AD394" i="14" s="1"/>
  <c r="AD397" i="14" s="1"/>
  <c r="Y771" i="2"/>
  <c r="Y88" i="17" s="1"/>
  <c r="V207" i="8"/>
  <c r="V208" i="8" s="1"/>
  <c r="W518" i="2"/>
  <c r="V74" i="12"/>
  <c r="W640" i="2"/>
  <c r="V100" i="12"/>
  <c r="V287" i="8"/>
  <c r="V288" i="8" s="1"/>
  <c r="V267" i="8"/>
  <c r="V268" i="8" s="1"/>
  <c r="V95" i="12"/>
  <c r="W635" i="2"/>
  <c r="V86" i="12"/>
  <c r="W578" i="2"/>
  <c r="V243" i="8"/>
  <c r="V244" i="8" s="1"/>
  <c r="T1700" i="8"/>
  <c r="T1590" i="8"/>
  <c r="T1714" i="8"/>
  <c r="V96" i="12"/>
  <c r="V271" i="8"/>
  <c r="V272" i="8" s="1"/>
  <c r="W636" i="2"/>
  <c r="AA784" i="2"/>
  <c r="AA1276" i="8"/>
  <c r="AA1277" i="8" s="1"/>
  <c r="AB695" i="2"/>
  <c r="AB781" i="2"/>
  <c r="AB759" i="2"/>
  <c r="AB774" i="2"/>
  <c r="AB791" i="2"/>
  <c r="AB1224" i="8"/>
  <c r="AB1225" i="8" s="1"/>
  <c r="AC1680" i="8"/>
  <c r="J102" i="17" l="1"/>
  <c r="D61" i="18"/>
  <c r="D70" i="18" s="1"/>
  <c r="G86" i="18" s="1"/>
  <c r="G87" i="18" s="1"/>
  <c r="D52" i="18"/>
  <c r="D1920" i="8" s="1"/>
  <c r="D68" i="18"/>
  <c r="E86" i="18" s="1"/>
  <c r="E87" i="18" s="1"/>
  <c r="D86" i="18"/>
  <c r="D87" i="18" s="1"/>
  <c r="S60" i="17"/>
  <c r="S61" i="17" s="1"/>
  <c r="S65" i="17" s="1"/>
  <c r="R82" i="17"/>
  <c r="R93" i="17"/>
  <c r="U1469" i="8"/>
  <c r="U87" i="17"/>
  <c r="S35" i="15"/>
  <c r="S36" i="15" s="1"/>
  <c r="S42" i="15" s="1"/>
  <c r="R1844" i="8"/>
  <c r="R1840" i="8"/>
  <c r="R43" i="15"/>
  <c r="Z1340" i="8"/>
  <c r="Z39" i="15"/>
  <c r="T1528" i="8"/>
  <c r="T86" i="15"/>
  <c r="AC40" i="15"/>
  <c r="T76" i="15"/>
  <c r="T34" i="15"/>
  <c r="S82" i="15"/>
  <c r="S1852" i="8" s="1"/>
  <c r="S83" i="15"/>
  <c r="S78" i="15"/>
  <c r="S77" i="15"/>
  <c r="S1851" i="8" s="1"/>
  <c r="T1529" i="8"/>
  <c r="T91" i="15"/>
  <c r="S87" i="15"/>
  <c r="S1853" i="8" s="1"/>
  <c r="S88" i="15"/>
  <c r="AB1312" i="8"/>
  <c r="AB1313" i="8" s="1"/>
  <c r="AB80" i="15"/>
  <c r="AB1304" i="8"/>
  <c r="AB1305" i="8" s="1"/>
  <c r="AB85" i="15"/>
  <c r="T1527" i="8"/>
  <c r="T81" i="15"/>
  <c r="X41" i="15"/>
  <c r="X1839" i="8"/>
  <c r="R45" i="15"/>
  <c r="AB1300" i="8"/>
  <c r="AB1301" i="8" s="1"/>
  <c r="AB75" i="15"/>
  <c r="AA1312" i="8"/>
  <c r="AA1313" i="8" s="1"/>
  <c r="AA80" i="15"/>
  <c r="Y1340" i="8"/>
  <c r="Y39" i="15"/>
  <c r="S92" i="15"/>
  <c r="S1854" i="8" s="1"/>
  <c r="S93" i="15"/>
  <c r="AA1300" i="8"/>
  <c r="AA1301" i="8" s="1"/>
  <c r="AA75" i="15"/>
  <c r="AA1304" i="8"/>
  <c r="AA1305" i="8" s="1"/>
  <c r="AA85" i="15"/>
  <c r="U1689" i="8"/>
  <c r="U1583" i="8"/>
  <c r="U1585" i="8"/>
  <c r="U1691" i="8"/>
  <c r="U1688" i="8"/>
  <c r="U1582" i="8"/>
  <c r="AB771" i="2"/>
  <c r="AB88" i="17" s="1"/>
  <c r="AB738" i="2"/>
  <c r="AB760" i="2" s="1"/>
  <c r="U1690" i="8"/>
  <c r="U1584" i="8"/>
  <c r="AD414" i="14"/>
  <c r="AD85" i="5" s="1"/>
  <c r="AD411" i="14"/>
  <c r="AD82" i="5" s="1"/>
  <c r="AD413" i="14"/>
  <c r="AD84" i="5" s="1"/>
  <c r="AD410" i="14"/>
  <c r="AD81" i="5" s="1"/>
  <c r="AD412" i="14"/>
  <c r="AD83" i="5" s="1"/>
  <c r="AD400" i="14"/>
  <c r="AD1709" i="8" s="1"/>
  <c r="AD418" i="14"/>
  <c r="AD89" i="5" s="1"/>
  <c r="AD399" i="14"/>
  <c r="AD1699" i="8"/>
  <c r="AD49" i="10"/>
  <c r="AD404" i="14"/>
  <c r="AD1712" i="8" s="1"/>
  <c r="AD1706" i="8"/>
  <c r="AD416" i="14"/>
  <c r="AD87" i="5" s="1"/>
  <c r="AD417" i="14"/>
  <c r="AD88" i="5" s="1"/>
  <c r="AD415" i="14"/>
  <c r="AD86" i="5" s="1"/>
  <c r="W207" i="8"/>
  <c r="W208" i="8" s="1"/>
  <c r="W74" i="12"/>
  <c r="X518" i="2"/>
  <c r="U1701" i="8"/>
  <c r="U1715" i="8"/>
  <c r="U1591" i="8"/>
  <c r="Z1316" i="8"/>
  <c r="Z1317" i="8" s="1"/>
  <c r="Z779" i="2"/>
  <c r="Z1696" i="8" s="1"/>
  <c r="AC1244" i="8"/>
  <c r="AC1245" i="8" s="1"/>
  <c r="AC796" i="2"/>
  <c r="AC1364" i="8" s="1"/>
  <c r="AC1365" i="8" s="1"/>
  <c r="X521" i="2"/>
  <c r="W77" i="12"/>
  <c r="W219" i="8"/>
  <c r="W220" i="8" s="1"/>
  <c r="W99" i="12"/>
  <c r="X639" i="2"/>
  <c r="W283" i="8"/>
  <c r="W284" i="8" s="1"/>
  <c r="T1718" i="8"/>
  <c r="T1526" i="8"/>
  <c r="V259" i="8"/>
  <c r="V260" i="8" s="1"/>
  <c r="V93" i="12"/>
  <c r="W633" i="2"/>
  <c r="V642" i="2"/>
  <c r="V1589" i="8" s="1"/>
  <c r="Y760" i="2"/>
  <c r="AC1232" i="8"/>
  <c r="AC1233" i="8" s="1"/>
  <c r="AC793" i="2"/>
  <c r="AC1352" i="8" s="1"/>
  <c r="AC1353" i="8" s="1"/>
  <c r="U1543" i="8"/>
  <c r="U66" i="12"/>
  <c r="W82" i="12"/>
  <c r="W227" i="8"/>
  <c r="W228" i="8" s="1"/>
  <c r="X574" i="2"/>
  <c r="U1703" i="8"/>
  <c r="U1717" i="8"/>
  <c r="U1593" i="8"/>
  <c r="AB1344" i="8"/>
  <c r="AB1345" i="8" s="1"/>
  <c r="AB799" i="2"/>
  <c r="AB1676" i="8" s="1"/>
  <c r="W243" i="8"/>
  <c r="W244" i="8" s="1"/>
  <c r="X578" i="2"/>
  <c r="W86" i="12"/>
  <c r="W291" i="8"/>
  <c r="W292" i="8" s="1"/>
  <c r="W101" i="12"/>
  <c r="X641" i="2"/>
  <c r="Y1316" i="8"/>
  <c r="Y1317" i="8" s="1"/>
  <c r="Y779" i="2"/>
  <c r="Y1696" i="8" s="1"/>
  <c r="X638" i="2"/>
  <c r="W279" i="8"/>
  <c r="W280" i="8" s="1"/>
  <c r="W98" i="12"/>
  <c r="X577" i="2"/>
  <c r="W85" i="12"/>
  <c r="W239" i="8"/>
  <c r="W240" i="8" s="1"/>
  <c r="U1700" i="8"/>
  <c r="U1714" i="8"/>
  <c r="U1590" i="8"/>
  <c r="W100" i="12"/>
  <c r="X640" i="2"/>
  <c r="W287" i="8"/>
  <c r="W288" i="8" s="1"/>
  <c r="W62" i="12"/>
  <c r="W171" i="8"/>
  <c r="W172" i="8" s="1"/>
  <c r="X458" i="2"/>
  <c r="AA1675" i="8"/>
  <c r="AA1256" i="8"/>
  <c r="AA1257" i="8" s="1"/>
  <c r="AA780" i="2"/>
  <c r="AB1320" i="8"/>
  <c r="AB1321" i="8" s="1"/>
  <c r="AB789" i="2"/>
  <c r="X519" i="2"/>
  <c r="W211" i="8"/>
  <c r="W212" i="8" s="1"/>
  <c r="W75" i="12"/>
  <c r="AC759" i="2"/>
  <c r="AC791" i="2"/>
  <c r="AC1224" i="8"/>
  <c r="AC1225" i="8" s="1"/>
  <c r="AC695" i="2"/>
  <c r="AC781" i="2"/>
  <c r="AC774" i="2"/>
  <c r="W179" i="8"/>
  <c r="W180" i="8" s="1"/>
  <c r="X460" i="2"/>
  <c r="W64" i="12"/>
  <c r="W60" i="12"/>
  <c r="X456" i="2"/>
  <c r="W163" i="8"/>
  <c r="W164" i="8" s="1"/>
  <c r="X1704" i="8"/>
  <c r="X1448" i="8"/>
  <c r="X1719" i="8"/>
  <c r="X1437" i="8"/>
  <c r="X684" i="2"/>
  <c r="X685" i="2"/>
  <c r="AB778" i="2"/>
  <c r="AB1296" i="8"/>
  <c r="AB1297" i="8" s="1"/>
  <c r="AC1710" i="8"/>
  <c r="AC403" i="14"/>
  <c r="AC1711" i="8" s="1"/>
  <c r="AC402" i="14"/>
  <c r="AC1674" i="8" s="1"/>
  <c r="X517" i="2"/>
  <c r="W73" i="12"/>
  <c r="W203" i="8"/>
  <c r="W204" i="8" s="1"/>
  <c r="U90" i="12"/>
  <c r="U1545" i="8"/>
  <c r="Y1376" i="8"/>
  <c r="Y1377" i="8" s="1"/>
  <c r="Y1436" i="8"/>
  <c r="Y1435" i="8"/>
  <c r="Y1720" i="8"/>
  <c r="Y276" i="13"/>
  <c r="Y278" i="13" s="1"/>
  <c r="Y1698" i="8" s="1"/>
  <c r="Y406" i="14"/>
  <c r="Y407" i="14" s="1"/>
  <c r="Y1713" i="8" s="1"/>
  <c r="AC1272" i="8"/>
  <c r="AC1273" i="8" s="1"/>
  <c r="AC788" i="2"/>
  <c r="AC1336" i="8" s="1"/>
  <c r="AC1337" i="8" s="1"/>
  <c r="AC1236" i="8"/>
  <c r="AC1237" i="8" s="1"/>
  <c r="AC794" i="2"/>
  <c r="AC1356" i="8" s="1"/>
  <c r="AC1357" i="8" s="1"/>
  <c r="AC777" i="2"/>
  <c r="X515" i="2"/>
  <c r="W71" i="12"/>
  <c r="W195" i="8"/>
  <c r="W196" i="8" s="1"/>
  <c r="V151" i="8"/>
  <c r="V152" i="8" s="1"/>
  <c r="V57" i="12"/>
  <c r="W453" i="2"/>
  <c r="V462" i="2"/>
  <c r="V1586" i="8" s="1"/>
  <c r="W573" i="2"/>
  <c r="V81" i="12"/>
  <c r="V582" i="2"/>
  <c r="V1588" i="8" s="1"/>
  <c r="V223" i="8"/>
  <c r="V224" i="8" s="1"/>
  <c r="X636" i="2"/>
  <c r="W96" i="12"/>
  <c r="W271" i="8"/>
  <c r="W272" i="8" s="1"/>
  <c r="AA778" i="2"/>
  <c r="AA1296" i="8"/>
  <c r="AA1297" i="8" s="1"/>
  <c r="W88" i="12"/>
  <c r="X580" i="2"/>
  <c r="W251" i="8"/>
  <c r="W252" i="8" s="1"/>
  <c r="V522" i="2"/>
  <c r="V1587" i="8" s="1"/>
  <c r="V69" i="12"/>
  <c r="V187" i="8"/>
  <c r="V188" i="8" s="1"/>
  <c r="W513" i="2"/>
  <c r="Z406" i="14"/>
  <c r="Z407" i="14" s="1"/>
  <c r="Z1713" i="8" s="1"/>
  <c r="Z276" i="13"/>
  <c r="Z278" i="13" s="1"/>
  <c r="Z1698" i="8" s="1"/>
  <c r="Z1376" i="8"/>
  <c r="Z1377" i="8" s="1"/>
  <c r="Z1435" i="8"/>
  <c r="Z1436" i="8"/>
  <c r="Z1720" i="8"/>
  <c r="AC786" i="2"/>
  <c r="AC1328" i="8" s="1"/>
  <c r="AC1329" i="8" s="1"/>
  <c r="AC1288" i="8"/>
  <c r="AC1289" i="8" s="1"/>
  <c r="AB780" i="2"/>
  <c r="AB1675" i="8"/>
  <c r="AB1256" i="8"/>
  <c r="AB1257" i="8" s="1"/>
  <c r="X635" i="2"/>
  <c r="W95" i="12"/>
  <c r="W267" i="8"/>
  <c r="W268" i="8" s="1"/>
  <c r="R1469" i="8"/>
  <c r="X455" i="2"/>
  <c r="W159" i="8"/>
  <c r="W160" i="8" s="1"/>
  <c r="W59" i="12"/>
  <c r="AC784" i="2"/>
  <c r="AC1276" i="8"/>
  <c r="AC1277" i="8" s="1"/>
  <c r="Y1438" i="8"/>
  <c r="Y727" i="2"/>
  <c r="Y89" i="17" s="1"/>
  <c r="X576" i="2"/>
  <c r="W84" i="12"/>
  <c r="W235" i="8"/>
  <c r="W236" i="8" s="1"/>
  <c r="U1702" i="8"/>
  <c r="U1592" i="8"/>
  <c r="U1716" i="8"/>
  <c r="X1573" i="8"/>
  <c r="X1595" i="8"/>
  <c r="X1721" i="8"/>
  <c r="AC1228" i="8"/>
  <c r="AC1229" i="8" s="1"/>
  <c r="AC792" i="2"/>
  <c r="AC1348" i="8" s="1"/>
  <c r="AC1349" i="8" s="1"/>
  <c r="U1546" i="8"/>
  <c r="U102" i="12"/>
  <c r="AC1248" i="8"/>
  <c r="AC1249" i="8" s="1"/>
  <c r="AC797" i="2"/>
  <c r="AC1368" i="8" s="1"/>
  <c r="AC1369" i="8" s="1"/>
  <c r="W263" i="8"/>
  <c r="W264" i="8" s="1"/>
  <c r="W94" i="12"/>
  <c r="X634" i="2"/>
  <c r="W87" i="12"/>
  <c r="X579" i="2"/>
  <c r="W247" i="8"/>
  <c r="W248" i="8" s="1"/>
  <c r="Z1438" i="8"/>
  <c r="Z727" i="2"/>
  <c r="Z89" i="17" s="1"/>
  <c r="X637" i="2"/>
  <c r="W97" i="12"/>
  <c r="W275" i="8"/>
  <c r="W276" i="8" s="1"/>
  <c r="W167" i="8"/>
  <c r="W168" i="8" s="1"/>
  <c r="X457" i="2"/>
  <c r="W61" i="12"/>
  <c r="AC1240" i="8"/>
  <c r="AC1241" i="8" s="1"/>
  <c r="AC795" i="2"/>
  <c r="AC1360" i="8" s="1"/>
  <c r="AC1361" i="8" s="1"/>
  <c r="AC773" i="2"/>
  <c r="AC90" i="15" s="1"/>
  <c r="X514" i="2"/>
  <c r="W70" i="12"/>
  <c r="W191" i="8"/>
  <c r="W192" i="8" s="1"/>
  <c r="W199" i="8"/>
  <c r="W200" i="8" s="1"/>
  <c r="X516" i="2"/>
  <c r="W72" i="12"/>
  <c r="W183" i="8"/>
  <c r="W184" i="8" s="1"/>
  <c r="W65" i="12"/>
  <c r="X461" i="2"/>
  <c r="AA1344" i="8"/>
  <c r="AA1345" i="8" s="1"/>
  <c r="AA799" i="2"/>
  <c r="AA1676" i="8" s="1"/>
  <c r="W58" i="12"/>
  <c r="W155" i="8"/>
  <c r="W156" i="8" s="1"/>
  <c r="X454" i="2"/>
  <c r="AA738" i="2"/>
  <c r="AA760" i="2" s="1"/>
  <c r="AC798" i="2"/>
  <c r="AC1372" i="8" s="1"/>
  <c r="AC1373" i="8" s="1"/>
  <c r="AC775" i="2"/>
  <c r="AC1252" i="8"/>
  <c r="AC1253" i="8" s="1"/>
  <c r="W255" i="8"/>
  <c r="W256" i="8" s="1"/>
  <c r="X581" i="2"/>
  <c r="W89" i="12"/>
  <c r="W63" i="12"/>
  <c r="X459" i="2"/>
  <c r="W175" i="8"/>
  <c r="W176" i="8" s="1"/>
  <c r="X520" i="2"/>
  <c r="W76" i="12"/>
  <c r="W215" i="8"/>
  <c r="W216" i="8" s="1"/>
  <c r="AE392" i="14"/>
  <c r="AE394" i="14" s="1"/>
  <c r="AE397" i="14" s="1"/>
  <c r="U78" i="12"/>
  <c r="U1544" i="8"/>
  <c r="X575" i="2"/>
  <c r="W231" i="8"/>
  <c r="W232" i="8" s="1"/>
  <c r="W83" i="12"/>
  <c r="AA1320" i="8"/>
  <c r="AA1321" i="8" s="1"/>
  <c r="AA789" i="2"/>
  <c r="AA771" i="2"/>
  <c r="AA88" i="17" s="1"/>
  <c r="AC785" i="2"/>
  <c r="AC1324" i="8" s="1"/>
  <c r="AC1325" i="8" s="1"/>
  <c r="AC1260" i="8"/>
  <c r="AC1261" i="8" s="1"/>
  <c r="AC782" i="2"/>
  <c r="AC73" i="17" s="1"/>
  <c r="AC770" i="2"/>
  <c r="AC1292" i="8" s="1"/>
  <c r="AC1293" i="8" s="1"/>
  <c r="D88" i="18" l="1"/>
  <c r="D1919" i="8" s="1"/>
  <c r="R94" i="17"/>
  <c r="R95" i="17" s="1"/>
  <c r="R1866" i="8"/>
  <c r="R91" i="17"/>
  <c r="R92" i="17" s="1"/>
  <c r="R96" i="17" s="1"/>
  <c r="T60" i="17"/>
  <c r="T61" i="17" s="1"/>
  <c r="T65" i="17" s="1"/>
  <c r="S82" i="17"/>
  <c r="S93" i="17"/>
  <c r="T35" i="15"/>
  <c r="T36" i="15" s="1"/>
  <c r="R1841" i="8"/>
  <c r="R67" i="17"/>
  <c r="R68" i="17" s="1"/>
  <c r="R81" i="17" s="1"/>
  <c r="R83" i="17" s="1"/>
  <c r="X1469" i="8"/>
  <c r="X87" i="17"/>
  <c r="R44" i="15"/>
  <c r="R1855" i="8" s="1"/>
  <c r="S1844" i="8"/>
  <c r="S1840" i="8"/>
  <c r="S43" i="15"/>
  <c r="U1527" i="8"/>
  <c r="U81" i="15"/>
  <c r="Y41" i="15"/>
  <c r="Y1839" i="8"/>
  <c r="U1529" i="8"/>
  <c r="U91" i="15"/>
  <c r="U1528" i="8"/>
  <c r="U86" i="15"/>
  <c r="T77" i="15"/>
  <c r="T1851" i="8" s="1"/>
  <c r="T78" i="15"/>
  <c r="T83" i="15"/>
  <c r="T82" i="15"/>
  <c r="T1852" i="8" s="1"/>
  <c r="AC1312" i="8"/>
  <c r="AC1313" i="8" s="1"/>
  <c r="AC80" i="15"/>
  <c r="AB1340" i="8"/>
  <c r="AB39" i="15"/>
  <c r="S45" i="15"/>
  <c r="T87" i="15"/>
  <c r="T1853" i="8" s="1"/>
  <c r="T88" i="15"/>
  <c r="T92" i="15"/>
  <c r="T1854" i="8" s="1"/>
  <c r="T93" i="15"/>
  <c r="Z41" i="15"/>
  <c r="Z1839" i="8"/>
  <c r="AA1340" i="8"/>
  <c r="AA39" i="15"/>
  <c r="AC1304" i="8"/>
  <c r="AC1305" i="8" s="1"/>
  <c r="AC85" i="15"/>
  <c r="U76" i="15"/>
  <c r="U34" i="15"/>
  <c r="AC1300" i="8"/>
  <c r="AC1301" i="8" s="1"/>
  <c r="AC75" i="15"/>
  <c r="V1690" i="8"/>
  <c r="V1584" i="8"/>
  <c r="V1582" i="8"/>
  <c r="V1688" i="8"/>
  <c r="V1583" i="8"/>
  <c r="V1689" i="8"/>
  <c r="V1585" i="8"/>
  <c r="V1691" i="8"/>
  <c r="X89" i="12"/>
  <c r="Y581" i="2"/>
  <c r="X255" i="8"/>
  <c r="X256" i="8" s="1"/>
  <c r="X97" i="12"/>
  <c r="X275" i="8"/>
  <c r="X276" i="8" s="1"/>
  <c r="Y637" i="2"/>
  <c r="Y456" i="2"/>
  <c r="X163" i="8"/>
  <c r="X164" i="8" s="1"/>
  <c r="X60" i="12"/>
  <c r="Y578" i="2"/>
  <c r="X243" i="8"/>
  <c r="X244" i="8" s="1"/>
  <c r="X86" i="12"/>
  <c r="X199" i="8"/>
  <c r="X200" i="8" s="1"/>
  <c r="X72" i="12"/>
  <c r="Y516" i="2"/>
  <c r="X73" i="12"/>
  <c r="X203" i="8"/>
  <c r="X204" i="8" s="1"/>
  <c r="Y517" i="2"/>
  <c r="Y519" i="2"/>
  <c r="X211" i="8"/>
  <c r="X212" i="8" s="1"/>
  <c r="X75" i="12"/>
  <c r="AA1316" i="8"/>
  <c r="AA1317" i="8" s="1"/>
  <c r="AA779" i="2"/>
  <c r="AA1696" i="8" s="1"/>
  <c r="X219" i="8"/>
  <c r="X220" i="8" s="1"/>
  <c r="X77" i="12"/>
  <c r="Y521" i="2"/>
  <c r="X271" i="8"/>
  <c r="X272" i="8" s="1"/>
  <c r="Y636" i="2"/>
  <c r="X96" i="12"/>
  <c r="AB1435" i="8"/>
  <c r="AB1720" i="8"/>
  <c r="AB276" i="13"/>
  <c r="AB278" i="13" s="1"/>
  <c r="AB1698" i="8" s="1"/>
  <c r="AB406" i="14"/>
  <c r="AB407" i="14" s="1"/>
  <c r="AB1713" i="8" s="1"/>
  <c r="AB1436" i="8"/>
  <c r="AB1376" i="8"/>
  <c r="AB1377" i="8" s="1"/>
  <c r="Y575" i="2"/>
  <c r="X83" i="12"/>
  <c r="X231" i="8"/>
  <c r="X232" i="8" s="1"/>
  <c r="Z1721" i="8"/>
  <c r="Z1595" i="8"/>
  <c r="Z1573" i="8"/>
  <c r="X64" i="12"/>
  <c r="X179" i="8"/>
  <c r="X180" i="8" s="1"/>
  <c r="Y460" i="2"/>
  <c r="X633" i="2"/>
  <c r="W642" i="2"/>
  <c r="W1589" i="8" s="1"/>
  <c r="W93" i="12"/>
  <c r="W259" i="8"/>
  <c r="W260" i="8" s="1"/>
  <c r="Y579" i="2"/>
  <c r="X247" i="8"/>
  <c r="X248" i="8" s="1"/>
  <c r="X87" i="12"/>
  <c r="V1702" i="8"/>
  <c r="V1716" i="8"/>
  <c r="V1592" i="8"/>
  <c r="AA727" i="2"/>
  <c r="AA89" i="17" s="1"/>
  <c r="AA1438" i="8"/>
  <c r="X239" i="8"/>
  <c r="X240" i="8" s="1"/>
  <c r="X85" i="12"/>
  <c r="Y577" i="2"/>
  <c r="V102" i="12"/>
  <c r="V1546" i="8"/>
  <c r="AD398" i="14"/>
  <c r="AD1708" i="8"/>
  <c r="X195" i="8"/>
  <c r="X196" i="8" s="1"/>
  <c r="Y515" i="2"/>
  <c r="X71" i="12"/>
  <c r="AD552" i="2"/>
  <c r="AD432" i="2"/>
  <c r="AD492" i="2"/>
  <c r="AD612" i="2"/>
  <c r="Y455" i="2"/>
  <c r="X159" i="8"/>
  <c r="X160" i="8" s="1"/>
  <c r="X59" i="12"/>
  <c r="V1703" i="8"/>
  <c r="V1593" i="8"/>
  <c r="V1717" i="8"/>
  <c r="X513" i="2"/>
  <c r="W69" i="12"/>
  <c r="W522" i="2"/>
  <c r="W1587" i="8" s="1"/>
  <c r="W187" i="8"/>
  <c r="W188" i="8" s="1"/>
  <c r="V1545" i="8"/>
  <c r="V90" i="12"/>
  <c r="AC738" i="2"/>
  <c r="AC760" i="2" s="1"/>
  <c r="AD614" i="2"/>
  <c r="AD434" i="2"/>
  <c r="AD494" i="2"/>
  <c r="AD554" i="2"/>
  <c r="W582" i="2"/>
  <c r="W1588" i="8" s="1"/>
  <c r="W223" i="8"/>
  <c r="W224" i="8" s="1"/>
  <c r="X573" i="2"/>
  <c r="W81" i="12"/>
  <c r="Y1573" i="8"/>
  <c r="Y1595" i="8"/>
  <c r="Y1721" i="8"/>
  <c r="AB779" i="2"/>
  <c r="AB1696" i="8" s="1"/>
  <c r="AB1316" i="8"/>
  <c r="AB1317" i="8" s="1"/>
  <c r="AC771" i="2"/>
  <c r="AC88" i="17" s="1"/>
  <c r="Y635" i="2"/>
  <c r="X267" i="8"/>
  <c r="X268" i="8" s="1"/>
  <c r="X95" i="12"/>
  <c r="V1544" i="8"/>
  <c r="V78" i="12"/>
  <c r="V1700" i="8"/>
  <c r="V1714" i="8"/>
  <c r="V1590" i="8"/>
  <c r="Y458" i="2"/>
  <c r="X171" i="8"/>
  <c r="X172" i="8" s="1"/>
  <c r="X62" i="12"/>
  <c r="X98" i="12"/>
  <c r="Y638" i="2"/>
  <c r="X279" i="8"/>
  <c r="X280" i="8" s="1"/>
  <c r="X227" i="8"/>
  <c r="X228" i="8" s="1"/>
  <c r="Y574" i="2"/>
  <c r="X82" i="12"/>
  <c r="X207" i="8"/>
  <c r="X208" i="8" s="1"/>
  <c r="Y518" i="2"/>
  <c r="X74" i="12"/>
  <c r="AD548" i="2"/>
  <c r="AD428" i="2"/>
  <c r="AD488" i="2"/>
  <c r="AD608" i="2"/>
  <c r="AD606" i="2"/>
  <c r="AD486" i="2"/>
  <c r="AD546" i="2"/>
  <c r="AD426" i="2"/>
  <c r="AC789" i="2"/>
  <c r="AC1320" i="8"/>
  <c r="AC1321" i="8" s="1"/>
  <c r="AD1682" i="8"/>
  <c r="AD139" i="5"/>
  <c r="AD648" i="2" s="1"/>
  <c r="X70" i="12"/>
  <c r="X191" i="8"/>
  <c r="X192" i="8" s="1"/>
  <c r="Y514" i="2"/>
  <c r="Y1704" i="8"/>
  <c r="Y684" i="2"/>
  <c r="Y1448" i="8"/>
  <c r="Y1719" i="8"/>
  <c r="Y685" i="2"/>
  <c r="Y87" i="17" s="1"/>
  <c r="Y1437" i="8"/>
  <c r="X76" i="12"/>
  <c r="Y520" i="2"/>
  <c r="X215" i="8"/>
  <c r="X216" i="8" s="1"/>
  <c r="AA276" i="13"/>
  <c r="AA278" i="13" s="1"/>
  <c r="AA1698" i="8" s="1"/>
  <c r="AA1435" i="8"/>
  <c r="AA1376" i="8"/>
  <c r="AA1377" i="8" s="1"/>
  <c r="AA1436" i="8"/>
  <c r="AA406" i="14"/>
  <c r="AA407" i="14" s="1"/>
  <c r="AA1713" i="8" s="1"/>
  <c r="AA1720" i="8"/>
  <c r="X235" i="8"/>
  <c r="X236" i="8" s="1"/>
  <c r="X84" i="12"/>
  <c r="Y576" i="2"/>
  <c r="V1543" i="8"/>
  <c r="V66" i="12"/>
  <c r="X283" i="8"/>
  <c r="X284" i="8" s="1"/>
  <c r="Y639" i="2"/>
  <c r="X99" i="12"/>
  <c r="AD429" i="2"/>
  <c r="AD609" i="2"/>
  <c r="AD489" i="2"/>
  <c r="AD549" i="2"/>
  <c r="Z1704" i="8"/>
  <c r="Z684" i="2"/>
  <c r="Z1437" i="8"/>
  <c r="Z685" i="2"/>
  <c r="Z1448" i="8"/>
  <c r="Z1719" i="8"/>
  <c r="Y454" i="2"/>
  <c r="X155" i="8"/>
  <c r="X156" i="8" s="1"/>
  <c r="X58" i="12"/>
  <c r="X453" i="2"/>
  <c r="W151" i="8"/>
  <c r="W152" i="8" s="1"/>
  <c r="W57" i="12"/>
  <c r="W462" i="2"/>
  <c r="W1586" i="8" s="1"/>
  <c r="X61" i="12"/>
  <c r="X167" i="8"/>
  <c r="X168" i="8" s="1"/>
  <c r="Y457" i="2"/>
  <c r="AB1438" i="8"/>
  <c r="AB727" i="2"/>
  <c r="AB89" i="17" s="1"/>
  <c r="X88" i="12"/>
  <c r="X251" i="8"/>
  <c r="X252" i="8" s="1"/>
  <c r="Y580" i="2"/>
  <c r="X101" i="12"/>
  <c r="X291" i="8"/>
  <c r="X292" i="8" s="1"/>
  <c r="Y641" i="2"/>
  <c r="U1526" i="8"/>
  <c r="U1718" i="8"/>
  <c r="AD487" i="2"/>
  <c r="AD547" i="2"/>
  <c r="AD427" i="2"/>
  <c r="AD607" i="2"/>
  <c r="AE404" i="14"/>
  <c r="AE1712" i="8" s="1"/>
  <c r="F1712" i="8" s="1"/>
  <c r="AE410" i="14"/>
  <c r="AE81" i="5" s="1"/>
  <c r="AE49" i="10"/>
  <c r="AE414" i="14"/>
  <c r="AE85" i="5" s="1"/>
  <c r="AE412" i="14"/>
  <c r="AE83" i="5" s="1"/>
  <c r="AE417" i="14"/>
  <c r="AE88" i="5" s="1"/>
  <c r="AE411" i="14"/>
  <c r="AE82" i="5" s="1"/>
  <c r="AE418" i="14"/>
  <c r="AE89" i="5" s="1"/>
  <c r="AE416" i="14"/>
  <c r="AE87" i="5" s="1"/>
  <c r="AE413" i="14"/>
  <c r="AE84" i="5" s="1"/>
  <c r="AE400" i="14"/>
  <c r="AE1709" i="8" s="1"/>
  <c r="F1709" i="8" s="1"/>
  <c r="AE1699" i="8"/>
  <c r="F1699" i="8" s="1"/>
  <c r="AE399" i="14"/>
  <c r="AE415" i="14"/>
  <c r="AE86" i="5" s="1"/>
  <c r="AE1706" i="8"/>
  <c r="F1706" i="8" s="1"/>
  <c r="AC1296" i="8"/>
  <c r="AC1297" i="8" s="1"/>
  <c r="AC778" i="2"/>
  <c r="X94" i="12"/>
  <c r="Y634" i="2"/>
  <c r="X263" i="8"/>
  <c r="X264" i="8" s="1"/>
  <c r="V1701" i="8"/>
  <c r="V1591" i="8"/>
  <c r="V1715" i="8"/>
  <c r="X175" i="8"/>
  <c r="X176" i="8" s="1"/>
  <c r="X63" i="12"/>
  <c r="Y459" i="2"/>
  <c r="Y461" i="2"/>
  <c r="X65" i="12"/>
  <c r="X183" i="8"/>
  <c r="X184" i="8" s="1"/>
  <c r="AC1344" i="8"/>
  <c r="AC1345" i="8" s="1"/>
  <c r="AC799" i="2"/>
  <c r="AC1676" i="8" s="1"/>
  <c r="Y640" i="2"/>
  <c r="X100" i="12"/>
  <c r="X287" i="8"/>
  <c r="X288" i="8" s="1"/>
  <c r="AD551" i="2"/>
  <c r="AD611" i="2"/>
  <c r="AD431" i="2"/>
  <c r="AD491" i="2"/>
  <c r="AD490" i="2"/>
  <c r="AD550" i="2"/>
  <c r="AD430" i="2"/>
  <c r="AD610" i="2"/>
  <c r="AC1675" i="8"/>
  <c r="AC1256" i="8"/>
  <c r="AC1257" i="8" s="1"/>
  <c r="AC780" i="2"/>
  <c r="AD613" i="2"/>
  <c r="AD433" i="2"/>
  <c r="AD493" i="2"/>
  <c r="AD553" i="2"/>
  <c r="U60" i="17" l="1"/>
  <c r="U61" i="17" s="1"/>
  <c r="U65" i="17" s="1"/>
  <c r="S94" i="17"/>
  <c r="S95" i="17" s="1"/>
  <c r="S1866" i="8"/>
  <c r="S91" i="17"/>
  <c r="S92" i="17" s="1"/>
  <c r="AD659" i="2"/>
  <c r="AD37" i="15" s="1"/>
  <c r="AD660" i="2"/>
  <c r="AD38" i="15" s="1"/>
  <c r="R1868" i="8"/>
  <c r="R85" i="17"/>
  <c r="R1867" i="8"/>
  <c r="R1865" i="8"/>
  <c r="T82" i="17"/>
  <c r="T93" i="17"/>
  <c r="T94" i="17" s="1"/>
  <c r="U35" i="15"/>
  <c r="U36" i="15" s="1"/>
  <c r="S1841" i="8"/>
  <c r="S67" i="17"/>
  <c r="S68" i="17" s="1"/>
  <c r="S81" i="17" s="1"/>
  <c r="S83" i="17" s="1"/>
  <c r="Z1469" i="8"/>
  <c r="Z87" i="17"/>
  <c r="S44" i="15"/>
  <c r="S1855" i="8" s="1"/>
  <c r="T45" i="15"/>
  <c r="T42" i="15"/>
  <c r="U87" i="15"/>
  <c r="U1853" i="8" s="1"/>
  <c r="U88" i="15"/>
  <c r="U92" i="15"/>
  <c r="U1854" i="8" s="1"/>
  <c r="U93" i="15"/>
  <c r="V1527" i="8"/>
  <c r="V81" i="15"/>
  <c r="V1529" i="8"/>
  <c r="V91" i="15"/>
  <c r="AB41" i="15"/>
  <c r="AB1839" i="8"/>
  <c r="U77" i="15"/>
  <c r="U1851" i="8" s="1"/>
  <c r="U78" i="15"/>
  <c r="AC1340" i="8"/>
  <c r="AC39" i="15"/>
  <c r="U82" i="15"/>
  <c r="U1852" i="8" s="1"/>
  <c r="U83" i="15"/>
  <c r="AA41" i="15"/>
  <c r="AA1839" i="8"/>
  <c r="V76" i="15"/>
  <c r="V34" i="15"/>
  <c r="V1528" i="8"/>
  <c r="V86" i="15"/>
  <c r="W1690" i="8"/>
  <c r="W1584" i="8"/>
  <c r="AD1680" i="8"/>
  <c r="AD1576" i="8"/>
  <c r="W1582" i="8"/>
  <c r="W1688" i="8"/>
  <c r="AD1577" i="8"/>
  <c r="W1585" i="8"/>
  <c r="W1691" i="8"/>
  <c r="W1689" i="8"/>
  <c r="W1583" i="8"/>
  <c r="AD1574" i="8"/>
  <c r="AD1679" i="8"/>
  <c r="AD1575" i="8"/>
  <c r="Y94" i="12"/>
  <c r="Z634" i="2"/>
  <c r="Y263" i="8"/>
  <c r="Y264" i="8" s="1"/>
  <c r="AC1438" i="8"/>
  <c r="AC727" i="2"/>
  <c r="AC89" i="17" s="1"/>
  <c r="AC1316" i="8"/>
  <c r="AC1317" i="8" s="1"/>
  <c r="AC779" i="2"/>
  <c r="AC1696" i="8" s="1"/>
  <c r="Y1469" i="8"/>
  <c r="AB1704" i="8"/>
  <c r="AB1437" i="8"/>
  <c r="AB1719" i="8"/>
  <c r="AB1448" i="8"/>
  <c r="AB684" i="2"/>
  <c r="AB685" i="2"/>
  <c r="Y77" i="12"/>
  <c r="Z521" i="2"/>
  <c r="Y219" i="8"/>
  <c r="Y220" i="8" s="1"/>
  <c r="AE139" i="5"/>
  <c r="AE648" i="2" s="1"/>
  <c r="AE1682" i="8"/>
  <c r="F1682" i="8" s="1"/>
  <c r="Y84" i="12"/>
  <c r="Y235" i="8"/>
  <c r="Y236" i="8" s="1"/>
  <c r="Z576" i="2"/>
  <c r="AD1681" i="8"/>
  <c r="AE398" i="14"/>
  <c r="AE1708" i="8"/>
  <c r="F1708" i="8" s="1"/>
  <c r="Y70" i="12"/>
  <c r="Y191" i="8"/>
  <c r="Y192" i="8" s="1"/>
  <c r="Z514" i="2"/>
  <c r="X81" i="12"/>
  <c r="Y573" i="2"/>
  <c r="X223" i="8"/>
  <c r="X224" i="8" s="1"/>
  <c r="X582" i="2"/>
  <c r="X1588" i="8" s="1"/>
  <c r="AD1707" i="8"/>
  <c r="AD401" i="14"/>
  <c r="AD405" i="14" s="1"/>
  <c r="Y87" i="12"/>
  <c r="Z579" i="2"/>
  <c r="Y247" i="8"/>
  <c r="Y248" i="8" s="1"/>
  <c r="AE553" i="2"/>
  <c r="AE613" i="2"/>
  <c r="AE433" i="2"/>
  <c r="AE493" i="2"/>
  <c r="Z454" i="2"/>
  <c r="Y58" i="12"/>
  <c r="Y155" i="8"/>
  <c r="Y156" i="8" s="1"/>
  <c r="AC1436" i="8"/>
  <c r="AC1720" i="8"/>
  <c r="AC406" i="14"/>
  <c r="AC407" i="14" s="1"/>
  <c r="AC1713" i="8" s="1"/>
  <c r="AC276" i="13"/>
  <c r="AC278" i="13" s="1"/>
  <c r="AC1698" i="8" s="1"/>
  <c r="AC1435" i="8"/>
  <c r="AC1376" i="8"/>
  <c r="AC1377" i="8" s="1"/>
  <c r="Y71" i="12"/>
  <c r="Z515" i="2"/>
  <c r="Y195" i="8"/>
  <c r="Y196" i="8" s="1"/>
  <c r="Y62" i="12"/>
  <c r="Z458" i="2"/>
  <c r="Y171" i="8"/>
  <c r="Y172" i="8" s="1"/>
  <c r="Y243" i="8"/>
  <c r="Y244" i="8" s="1"/>
  <c r="Z578" i="2"/>
  <c r="Y86" i="12"/>
  <c r="Y61" i="12"/>
  <c r="Z457" i="2"/>
  <c r="Y167" i="8"/>
  <c r="Y168" i="8" s="1"/>
  <c r="Z456" i="2"/>
  <c r="Y60" i="12"/>
  <c r="Y163" i="8"/>
  <c r="Y164" i="8" s="1"/>
  <c r="V1526" i="8"/>
  <c r="V1718" i="8"/>
  <c r="Z461" i="2"/>
  <c r="Y65" i="12"/>
  <c r="Y183" i="8"/>
  <c r="Y184" i="8" s="1"/>
  <c r="W1700" i="8"/>
  <c r="W1714" i="8"/>
  <c r="W1590" i="8"/>
  <c r="Y74" i="12"/>
  <c r="Y207" i="8"/>
  <c r="Y208" i="8" s="1"/>
  <c r="Z518" i="2"/>
  <c r="W1702" i="8"/>
  <c r="W1716" i="8"/>
  <c r="W1592" i="8"/>
  <c r="W102" i="12"/>
  <c r="W1546" i="8"/>
  <c r="Y75" i="12"/>
  <c r="Z519" i="2"/>
  <c r="Y211" i="8"/>
  <c r="Y212" i="8" s="1"/>
  <c r="Z637" i="2"/>
  <c r="Y275" i="8"/>
  <c r="Y276" i="8" s="1"/>
  <c r="Y97" i="12"/>
  <c r="AE608" i="2"/>
  <c r="AE488" i="2"/>
  <c r="AE548" i="2"/>
  <c r="AE428" i="2"/>
  <c r="W1701" i="8"/>
  <c r="W1715" i="8"/>
  <c r="W1591" i="8"/>
  <c r="X187" i="8"/>
  <c r="X188" i="8" s="1"/>
  <c r="X522" i="2"/>
  <c r="X1587" i="8" s="1"/>
  <c r="X69" i="12"/>
  <c r="Y513" i="2"/>
  <c r="AD758" i="2"/>
  <c r="AD657" i="2"/>
  <c r="AD755" i="2"/>
  <c r="AD1683" i="8"/>
  <c r="AD751" i="2"/>
  <c r="AD765" i="2"/>
  <c r="AD756" i="2"/>
  <c r="AD766" i="2"/>
  <c r="AD769" i="2"/>
  <c r="AD658" i="2"/>
  <c r="AD768" i="2"/>
  <c r="AD1284" i="8" s="1"/>
  <c r="AD1285" i="8" s="1"/>
  <c r="AD752" i="2"/>
  <c r="AD764" i="2"/>
  <c r="AD1268" i="8" s="1"/>
  <c r="AD1269" i="8" s="1"/>
  <c r="AD763" i="2"/>
  <c r="AD1264" i="8" s="1"/>
  <c r="AD1265" i="8" s="1"/>
  <c r="AD754" i="2"/>
  <c r="AD753" i="2"/>
  <c r="AD762" i="2"/>
  <c r="AD767" i="2"/>
  <c r="AD1280" i="8" s="1"/>
  <c r="AD1281" i="8" s="1"/>
  <c r="AD757" i="2"/>
  <c r="Z577" i="2"/>
  <c r="Y85" i="12"/>
  <c r="Y239" i="8"/>
  <c r="Y240" i="8" s="1"/>
  <c r="W1703" i="8"/>
  <c r="W1593" i="8"/>
  <c r="W1717" i="8"/>
  <c r="AB1721" i="8"/>
  <c r="AB1595" i="8"/>
  <c r="AB1573" i="8"/>
  <c r="Z517" i="2"/>
  <c r="Y203" i="8"/>
  <c r="Y204" i="8" s="1"/>
  <c r="Y73" i="12"/>
  <c r="W78" i="12"/>
  <c r="W1544" i="8"/>
  <c r="AA1704" i="8"/>
  <c r="AA1437" i="8"/>
  <c r="AA685" i="2"/>
  <c r="AA1448" i="8"/>
  <c r="AA684" i="2"/>
  <c r="AA1719" i="8"/>
  <c r="AE611" i="2"/>
  <c r="AE491" i="2"/>
  <c r="AE551" i="2"/>
  <c r="AE431" i="2"/>
  <c r="W1545" i="8"/>
  <c r="W90" i="12"/>
  <c r="AE429" i="2"/>
  <c r="AE609" i="2"/>
  <c r="AE489" i="2"/>
  <c r="AE549" i="2"/>
  <c r="W1543" i="8"/>
  <c r="W66" i="12"/>
  <c r="AE432" i="2"/>
  <c r="AE492" i="2"/>
  <c r="AE552" i="2"/>
  <c r="AE612" i="2"/>
  <c r="AA1721" i="8"/>
  <c r="AA1595" i="8"/>
  <c r="AA1573" i="8"/>
  <c r="X259" i="8"/>
  <c r="X260" i="8" s="1"/>
  <c r="X642" i="2"/>
  <c r="X1589" i="8" s="1"/>
  <c r="Y633" i="2"/>
  <c r="X93" i="12"/>
  <c r="AD1678" i="8"/>
  <c r="Y88" i="12"/>
  <c r="Z580" i="2"/>
  <c r="Y251" i="8"/>
  <c r="Y252" i="8" s="1"/>
  <c r="AE494" i="2"/>
  <c r="AE554" i="2"/>
  <c r="AE614" i="2"/>
  <c r="AE434" i="2"/>
  <c r="Y101" i="12"/>
  <c r="Z641" i="2"/>
  <c r="Y291" i="8"/>
  <c r="Y292" i="8" s="1"/>
  <c r="X57" i="12"/>
  <c r="Y453" i="2"/>
  <c r="X462" i="2"/>
  <c r="X1586" i="8" s="1"/>
  <c r="X151" i="8"/>
  <c r="X152" i="8" s="1"/>
  <c r="Y227" i="8"/>
  <c r="Y228" i="8" s="1"/>
  <c r="Z574" i="2"/>
  <c r="Y82" i="12"/>
  <c r="Z455" i="2"/>
  <c r="Y59" i="12"/>
  <c r="Y159" i="8"/>
  <c r="Y160" i="8" s="1"/>
  <c r="Y179" i="8"/>
  <c r="Y180" i="8" s="1"/>
  <c r="Z460" i="2"/>
  <c r="Y64" i="12"/>
  <c r="Z640" i="2"/>
  <c r="Y100" i="12"/>
  <c r="Y287" i="8"/>
  <c r="Y288" i="8" s="1"/>
  <c r="Y98" i="12"/>
  <c r="Z638" i="2"/>
  <c r="Y279" i="8"/>
  <c r="Y280" i="8" s="1"/>
  <c r="AE490" i="2"/>
  <c r="AE550" i="2"/>
  <c r="AE430" i="2"/>
  <c r="AE610" i="2"/>
  <c r="AE606" i="2"/>
  <c r="AE486" i="2"/>
  <c r="AE546" i="2"/>
  <c r="AE426" i="2"/>
  <c r="Z575" i="2"/>
  <c r="Y231" i="8"/>
  <c r="Y232" i="8" s="1"/>
  <c r="Y83" i="12"/>
  <c r="Z459" i="2"/>
  <c r="Y63" i="12"/>
  <c r="Y175" i="8"/>
  <c r="Y176" i="8" s="1"/>
  <c r="AE607" i="2"/>
  <c r="AE547" i="2"/>
  <c r="AE487" i="2"/>
  <c r="AE427" i="2"/>
  <c r="Y99" i="12"/>
  <c r="Y283" i="8"/>
  <c r="Y284" i="8" s="1"/>
  <c r="Z639" i="2"/>
  <c r="Y215" i="8"/>
  <c r="Y216" i="8" s="1"/>
  <c r="Z520" i="2"/>
  <c r="Y76" i="12"/>
  <c r="Y267" i="8"/>
  <c r="Y268" i="8" s="1"/>
  <c r="Z635" i="2"/>
  <c r="Y95" i="12"/>
  <c r="Y199" i="8"/>
  <c r="Y200" i="8" s="1"/>
  <c r="Z516" i="2"/>
  <c r="Y72" i="12"/>
  <c r="Y89" i="12"/>
  <c r="Z581" i="2"/>
  <c r="Y255" i="8"/>
  <c r="Y256" i="8" s="1"/>
  <c r="Y96" i="12"/>
  <c r="Z636" i="2"/>
  <c r="Y271" i="8"/>
  <c r="Y272" i="8" s="1"/>
  <c r="V60" i="17" l="1"/>
  <c r="S1868" i="8"/>
  <c r="S96" i="17"/>
  <c r="T1866" i="8"/>
  <c r="T91" i="17"/>
  <c r="T92" i="17" s="1"/>
  <c r="AE660" i="2"/>
  <c r="AE38" i="15" s="1"/>
  <c r="AE659" i="2"/>
  <c r="AE37" i="15" s="1"/>
  <c r="S85" i="17"/>
  <c r="S1867" i="8"/>
  <c r="S1865" i="8"/>
  <c r="U82" i="17"/>
  <c r="U93" i="17"/>
  <c r="M102" i="17"/>
  <c r="T95" i="17"/>
  <c r="N102" i="17" s="1"/>
  <c r="AA1469" i="8"/>
  <c r="AA87" i="17"/>
  <c r="AB1469" i="8"/>
  <c r="AB87" i="17"/>
  <c r="V35" i="15"/>
  <c r="V36" i="15" s="1"/>
  <c r="V42" i="15" s="1"/>
  <c r="V61" i="17"/>
  <c r="V65" i="17" s="1"/>
  <c r="U45" i="15"/>
  <c r="U42" i="15"/>
  <c r="T1844" i="8"/>
  <c r="T1840" i="8"/>
  <c r="T43" i="15"/>
  <c r="T67" i="17" s="1"/>
  <c r="T68" i="17" s="1"/>
  <c r="T81" i="17" s="1"/>
  <c r="T83" i="17" s="1"/>
  <c r="W1529" i="8"/>
  <c r="W91" i="15"/>
  <c r="V78" i="15"/>
  <c r="V77" i="15"/>
  <c r="V1851" i="8" s="1"/>
  <c r="V92" i="15"/>
  <c r="V1854" i="8" s="1"/>
  <c r="V93" i="15"/>
  <c r="V82" i="15"/>
  <c r="V1852" i="8" s="1"/>
  <c r="V83" i="15"/>
  <c r="W1527" i="8"/>
  <c r="W81" i="15"/>
  <c r="AD40" i="15"/>
  <c r="AC41" i="15"/>
  <c r="AC1839" i="8"/>
  <c r="V87" i="15"/>
  <c r="V1853" i="8" s="1"/>
  <c r="V88" i="15"/>
  <c r="W76" i="15"/>
  <c r="W34" i="15"/>
  <c r="W1528" i="8"/>
  <c r="W86" i="15"/>
  <c r="X1689" i="8"/>
  <c r="X1583" i="8"/>
  <c r="X1582" i="8"/>
  <c r="X1688" i="8"/>
  <c r="X1691" i="8"/>
  <c r="X1585" i="8"/>
  <c r="AE1574" i="8"/>
  <c r="F1574" i="8" s="1"/>
  <c r="X1690" i="8"/>
  <c r="X1584" i="8"/>
  <c r="AE1680" i="8"/>
  <c r="F1680" i="8" s="1"/>
  <c r="AE1576" i="8"/>
  <c r="F1576" i="8" s="1"/>
  <c r="AE1575" i="8"/>
  <c r="F1575" i="8" s="1"/>
  <c r="AE1577" i="8"/>
  <c r="F1577" i="8" s="1"/>
  <c r="Y93" i="12"/>
  <c r="Z633" i="2"/>
  <c r="Y259" i="8"/>
  <c r="Y260" i="8" s="1"/>
  <c r="Y642" i="2"/>
  <c r="Y1589" i="8" s="1"/>
  <c r="X66" i="12"/>
  <c r="X1543" i="8"/>
  <c r="X1703" i="8"/>
  <c r="X1717" i="8"/>
  <c r="X1593" i="8"/>
  <c r="AD788" i="2"/>
  <c r="AD1336" i="8" s="1"/>
  <c r="AD1337" i="8" s="1"/>
  <c r="AD1272" i="8"/>
  <c r="AD1273" i="8" s="1"/>
  <c r="Z74" i="12"/>
  <c r="Z207" i="8"/>
  <c r="Z208" i="8" s="1"/>
  <c r="AA518" i="2"/>
  <c r="AC1721" i="8"/>
  <c r="AC1573" i="8"/>
  <c r="AC1595" i="8"/>
  <c r="AD402" i="14"/>
  <c r="AD1674" i="8" s="1"/>
  <c r="AD1710" i="8"/>
  <c r="AD403" i="14"/>
  <c r="AD1711" i="8" s="1"/>
  <c r="Z453" i="2"/>
  <c r="Y462" i="2"/>
  <c r="Y1586" i="8" s="1"/>
  <c r="Y57" i="12"/>
  <c r="Y151" i="8"/>
  <c r="Y152" i="8" s="1"/>
  <c r="AD1244" i="8"/>
  <c r="AD1245" i="8" s="1"/>
  <c r="AD796" i="2"/>
  <c r="AD1364" i="8" s="1"/>
  <c r="AD1365" i="8" s="1"/>
  <c r="Z83" i="12"/>
  <c r="Z231" i="8"/>
  <c r="Z232" i="8" s="1"/>
  <c r="AA575" i="2"/>
  <c r="AD797" i="2"/>
  <c r="AD1368" i="8" s="1"/>
  <c r="AD1369" i="8" s="1"/>
  <c r="AD1248" i="8"/>
  <c r="AD1249" i="8" s="1"/>
  <c r="AD791" i="2"/>
  <c r="AD1224" i="8"/>
  <c r="AD1225" i="8" s="1"/>
  <c r="AD774" i="2"/>
  <c r="AD759" i="2"/>
  <c r="AD695" i="2"/>
  <c r="AD781" i="2"/>
  <c r="AA457" i="2"/>
  <c r="Z61" i="12"/>
  <c r="Z167" i="8"/>
  <c r="Z168" i="8" s="1"/>
  <c r="AA574" i="2"/>
  <c r="Z82" i="12"/>
  <c r="Z227" i="8"/>
  <c r="Z228" i="8" s="1"/>
  <c r="Z195" i="8"/>
  <c r="Z196" i="8" s="1"/>
  <c r="AA515" i="2"/>
  <c r="Z71" i="12"/>
  <c r="AD1288" i="8"/>
  <c r="AD1289" i="8" s="1"/>
  <c r="AD786" i="2"/>
  <c r="AD1328" i="8" s="1"/>
  <c r="AD1329" i="8" s="1"/>
  <c r="AE1707" i="8"/>
  <c r="F1707" i="8" s="1"/>
  <c r="AE401" i="14"/>
  <c r="AA459" i="2"/>
  <c r="Z63" i="12"/>
  <c r="Z175" i="8"/>
  <c r="Z176" i="8" s="1"/>
  <c r="X1700" i="8"/>
  <c r="X1714" i="8"/>
  <c r="X1590" i="8"/>
  <c r="AD1276" i="8"/>
  <c r="AD1277" i="8" s="1"/>
  <c r="AD784" i="2"/>
  <c r="Z87" i="12"/>
  <c r="Z247" i="8"/>
  <c r="Z248" i="8" s="1"/>
  <c r="AA579" i="2"/>
  <c r="AA576" i="2"/>
  <c r="Z84" i="12"/>
  <c r="Z235" i="8"/>
  <c r="Z236" i="8" s="1"/>
  <c r="Z215" i="8"/>
  <c r="Z216" i="8" s="1"/>
  <c r="AA520" i="2"/>
  <c r="Z76" i="12"/>
  <c r="AA640" i="2"/>
  <c r="Z100" i="12"/>
  <c r="Z287" i="8"/>
  <c r="Z288" i="8" s="1"/>
  <c r="AE1678" i="8"/>
  <c r="F1678" i="8" s="1"/>
  <c r="AA641" i="2"/>
  <c r="Z101" i="12"/>
  <c r="Z291" i="8"/>
  <c r="Z292" i="8" s="1"/>
  <c r="AC1704" i="8"/>
  <c r="AC684" i="2"/>
  <c r="AC1719" i="8"/>
  <c r="AC685" i="2"/>
  <c r="AC1437" i="8"/>
  <c r="AC1448" i="8"/>
  <c r="Z64" i="12"/>
  <c r="Z179" i="8"/>
  <c r="Z180" i="8" s="1"/>
  <c r="AA460" i="2"/>
  <c r="AA517" i="2"/>
  <c r="Z73" i="12"/>
  <c r="Z203" i="8"/>
  <c r="Z204" i="8" s="1"/>
  <c r="AD785" i="2"/>
  <c r="AD1324" i="8" s="1"/>
  <c r="AD1325" i="8" s="1"/>
  <c r="AD1260" i="8"/>
  <c r="AD1261" i="8" s="1"/>
  <c r="AD782" i="2"/>
  <c r="AD73" i="17" s="1"/>
  <c r="AD770" i="2"/>
  <c r="AD1292" i="8" s="1"/>
  <c r="AD1293" i="8" s="1"/>
  <c r="AD795" i="2"/>
  <c r="AD1360" i="8" s="1"/>
  <c r="AD1361" i="8" s="1"/>
  <c r="AD1240" i="8"/>
  <c r="AD1241" i="8" s="1"/>
  <c r="AD773" i="2"/>
  <c r="AD90" i="15" s="1"/>
  <c r="X1702" i="8"/>
  <c r="X1716" i="8"/>
  <c r="X1592" i="8"/>
  <c r="AE763" i="2"/>
  <c r="AE1264" i="8" s="1"/>
  <c r="AE1265" i="8" s="1"/>
  <c r="F1265" i="8" s="1"/>
  <c r="AE762" i="2"/>
  <c r="AE753" i="2"/>
  <c r="AE758" i="2"/>
  <c r="AE657" i="2"/>
  <c r="AE767" i="2"/>
  <c r="AE1280" i="8" s="1"/>
  <c r="AE1281" i="8" s="1"/>
  <c r="F1281" i="8" s="1"/>
  <c r="AE751" i="2"/>
  <c r="AE658" i="2"/>
  <c r="AE1683" i="8"/>
  <c r="F1683" i="8" s="1"/>
  <c r="AE765" i="2"/>
  <c r="AE755" i="2"/>
  <c r="AE769" i="2"/>
  <c r="AE756" i="2"/>
  <c r="AE764" i="2"/>
  <c r="AE1268" i="8" s="1"/>
  <c r="AE1269" i="8" s="1"/>
  <c r="F1269" i="8" s="1"/>
  <c r="AE757" i="2"/>
  <c r="AE754" i="2"/>
  <c r="AE768" i="2"/>
  <c r="AE1284" i="8" s="1"/>
  <c r="AE1285" i="8" s="1"/>
  <c r="F1285" i="8" s="1"/>
  <c r="AE766" i="2"/>
  <c r="AE752" i="2"/>
  <c r="AD1232" i="8"/>
  <c r="AD1233" i="8" s="1"/>
  <c r="AD793" i="2"/>
  <c r="AD1352" i="8" s="1"/>
  <c r="AD1353" i="8" s="1"/>
  <c r="AA578" i="2"/>
  <c r="Z86" i="12"/>
  <c r="Z243" i="8"/>
  <c r="Z244" i="8" s="1"/>
  <c r="AA516" i="2"/>
  <c r="Z199" i="8"/>
  <c r="Z200" i="8" s="1"/>
  <c r="Z72" i="12"/>
  <c r="W1526" i="8"/>
  <c r="W1718" i="8"/>
  <c r="X102" i="12"/>
  <c r="X1546" i="8"/>
  <c r="Z60" i="12"/>
  <c r="AA456" i="2"/>
  <c r="Z163" i="8"/>
  <c r="Z164" i="8" s="1"/>
  <c r="AE1681" i="8"/>
  <c r="F1681" i="8" s="1"/>
  <c r="AD1236" i="8"/>
  <c r="AD1237" i="8" s="1"/>
  <c r="AD777" i="2"/>
  <c r="AD794" i="2"/>
  <c r="AD1356" i="8" s="1"/>
  <c r="AD1357" i="8" s="1"/>
  <c r="AD1252" i="8"/>
  <c r="AD1253" i="8" s="1"/>
  <c r="AD775" i="2"/>
  <c r="AD798" i="2"/>
  <c r="AD1372" i="8" s="1"/>
  <c r="AD1373" i="8" s="1"/>
  <c r="Z275" i="8"/>
  <c r="Z276" i="8" s="1"/>
  <c r="Z97" i="12"/>
  <c r="AA637" i="2"/>
  <c r="Y223" i="8"/>
  <c r="Y224" i="8" s="1"/>
  <c r="Y582" i="2"/>
  <c r="Y1588" i="8" s="1"/>
  <c r="Y81" i="12"/>
  <c r="Z573" i="2"/>
  <c r="AA638" i="2"/>
  <c r="Z279" i="8"/>
  <c r="Z280" i="8" s="1"/>
  <c r="Z98" i="12"/>
  <c r="Z283" i="8"/>
  <c r="Z284" i="8" s="1"/>
  <c r="Z99" i="12"/>
  <c r="AA639" i="2"/>
  <c r="Z513" i="2"/>
  <c r="Y187" i="8"/>
  <c r="Y188" i="8" s="1"/>
  <c r="Y69" i="12"/>
  <c r="Y522" i="2"/>
  <c r="Y1587" i="8" s="1"/>
  <c r="Z58" i="12"/>
  <c r="AA454" i="2"/>
  <c r="Z155" i="8"/>
  <c r="Z156" i="8" s="1"/>
  <c r="X1545" i="8"/>
  <c r="X90" i="12"/>
  <c r="Z77" i="12"/>
  <c r="AA521" i="2"/>
  <c r="Z219" i="8"/>
  <c r="Z220" i="8" s="1"/>
  <c r="AA580" i="2"/>
  <c r="Z88" i="12"/>
  <c r="Z251" i="8"/>
  <c r="Z252" i="8" s="1"/>
  <c r="Z95" i="12"/>
  <c r="Z267" i="8"/>
  <c r="Z268" i="8" s="1"/>
  <c r="AA635" i="2"/>
  <c r="AA577" i="2"/>
  <c r="Z85" i="12"/>
  <c r="Z239" i="8"/>
  <c r="Z240" i="8" s="1"/>
  <c r="Z271" i="8"/>
  <c r="Z272" i="8" s="1"/>
  <c r="Z96" i="12"/>
  <c r="AA636" i="2"/>
  <c r="Z59" i="12"/>
  <c r="AA455" i="2"/>
  <c r="Z159" i="8"/>
  <c r="Z160" i="8" s="1"/>
  <c r="X78" i="12"/>
  <c r="X1544" i="8"/>
  <c r="AA519" i="2"/>
  <c r="Z75" i="12"/>
  <c r="Z211" i="8"/>
  <c r="Z212" i="8" s="1"/>
  <c r="Z62" i="12"/>
  <c r="Z171" i="8"/>
  <c r="Z172" i="8" s="1"/>
  <c r="AA458" i="2"/>
  <c r="Z191" i="8"/>
  <c r="Z192" i="8" s="1"/>
  <c r="Z70" i="12"/>
  <c r="AA514" i="2"/>
  <c r="Z94" i="12"/>
  <c r="Z263" i="8"/>
  <c r="Z264" i="8" s="1"/>
  <c r="AA634" i="2"/>
  <c r="AE1679" i="8"/>
  <c r="F1679" i="8" s="1"/>
  <c r="Z89" i="12"/>
  <c r="AA581" i="2"/>
  <c r="Z255" i="8"/>
  <c r="Z256" i="8" s="1"/>
  <c r="AD1228" i="8"/>
  <c r="AD1229" i="8" s="1"/>
  <c r="AD792" i="2"/>
  <c r="AD1348" i="8" s="1"/>
  <c r="AD1349" i="8" s="1"/>
  <c r="X1701" i="8"/>
  <c r="X1715" i="8"/>
  <c r="X1591" i="8"/>
  <c r="AA461" i="2"/>
  <c r="Z65" i="12"/>
  <c r="Z183" i="8"/>
  <c r="Z184" i="8" s="1"/>
  <c r="W60" i="17" l="1"/>
  <c r="W61" i="17" s="1"/>
  <c r="W65" i="17" s="1"/>
  <c r="T1868" i="8"/>
  <c r="T96" i="17"/>
  <c r="Q102" i="17" s="1"/>
  <c r="U1866" i="8"/>
  <c r="U91" i="17"/>
  <c r="U92" i="17" s="1"/>
  <c r="U96" i="17" s="1"/>
  <c r="U94" i="17"/>
  <c r="U95" i="17" s="1"/>
  <c r="L102" i="17"/>
  <c r="T1867" i="8"/>
  <c r="T1865" i="8"/>
  <c r="V82" i="17"/>
  <c r="V93" i="17"/>
  <c r="G102" i="17"/>
  <c r="T85" i="17"/>
  <c r="H102" i="17" s="1"/>
  <c r="AC1469" i="8"/>
  <c r="AC87" i="17"/>
  <c r="W35" i="15"/>
  <c r="W36" i="15" s="1"/>
  <c r="W42" i="15" s="1"/>
  <c r="V1844" i="8"/>
  <c r="V1840" i="8"/>
  <c r="V43" i="15"/>
  <c r="T1841" i="8"/>
  <c r="T44" i="15"/>
  <c r="T1855" i="8" s="1"/>
  <c r="U1844" i="8"/>
  <c r="U1840" i="8"/>
  <c r="U43" i="15"/>
  <c r="U67" i="17" s="1"/>
  <c r="U68" i="17" s="1"/>
  <c r="U81" i="17" s="1"/>
  <c r="U83" i="17" s="1"/>
  <c r="W83" i="15"/>
  <c r="W82" i="15"/>
  <c r="W1852" i="8" s="1"/>
  <c r="W87" i="15"/>
  <c r="W1853" i="8" s="1"/>
  <c r="W88" i="15"/>
  <c r="X1527" i="8"/>
  <c r="X81" i="15"/>
  <c r="AD1304" i="8"/>
  <c r="AD1305" i="8" s="1"/>
  <c r="AD85" i="15"/>
  <c r="W78" i="15"/>
  <c r="W77" i="15"/>
  <c r="W1851" i="8" s="1"/>
  <c r="AD1312" i="8"/>
  <c r="AD1313" i="8" s="1"/>
  <c r="AD80" i="15"/>
  <c r="X1529" i="8"/>
  <c r="X91" i="15"/>
  <c r="AE40" i="15"/>
  <c r="V45" i="15"/>
  <c r="AD1300" i="8"/>
  <c r="AD1301" i="8" s="1"/>
  <c r="AD75" i="15"/>
  <c r="X1528" i="8"/>
  <c r="X86" i="15"/>
  <c r="X76" i="15"/>
  <c r="X34" i="15"/>
  <c r="W92" i="15"/>
  <c r="W1854" i="8" s="1"/>
  <c r="W93" i="15"/>
  <c r="Y1688" i="8"/>
  <c r="Y1582" i="8"/>
  <c r="F1485" i="8"/>
  <c r="D1476" i="8" s="1"/>
  <c r="Y1584" i="8"/>
  <c r="Y1690" i="8"/>
  <c r="Y1585" i="8"/>
  <c r="Y1691" i="8"/>
  <c r="Y1583" i="8"/>
  <c r="Y1689" i="8"/>
  <c r="AD738" i="2"/>
  <c r="AD760" i="2" s="1"/>
  <c r="AE781" i="2"/>
  <c r="AE1224" i="8"/>
  <c r="AE1225" i="8" s="1"/>
  <c r="F1225" i="8" s="1"/>
  <c r="AE791" i="2"/>
  <c r="AE695" i="2"/>
  <c r="AE774" i="2"/>
  <c r="AE759" i="2"/>
  <c r="AE1252" i="8"/>
  <c r="AE1253" i="8" s="1"/>
  <c r="F1253" i="8" s="1"/>
  <c r="AE775" i="2"/>
  <c r="AE798" i="2"/>
  <c r="AE1372" i="8" s="1"/>
  <c r="AE1373" i="8" s="1"/>
  <c r="F1373" i="8" s="1"/>
  <c r="AB579" i="2"/>
  <c r="AA87" i="12"/>
  <c r="AA247" i="8"/>
  <c r="AA248" i="8" s="1"/>
  <c r="AE1232" i="8"/>
  <c r="AE1233" i="8" s="1"/>
  <c r="F1233" i="8" s="1"/>
  <c r="AE793" i="2"/>
  <c r="AE1352" i="8" s="1"/>
  <c r="AE1353" i="8" s="1"/>
  <c r="F1353" i="8" s="1"/>
  <c r="Y1700" i="8"/>
  <c r="Y1714" i="8"/>
  <c r="Y1590" i="8"/>
  <c r="AE792" i="2"/>
  <c r="AE1348" i="8" s="1"/>
  <c r="AE1349" i="8" s="1"/>
  <c r="F1349" i="8" s="1"/>
  <c r="AE1228" i="8"/>
  <c r="AE1229" i="8" s="1"/>
  <c r="F1229" i="8" s="1"/>
  <c r="Y1702" i="8"/>
  <c r="Y1592" i="8"/>
  <c r="Y1716" i="8"/>
  <c r="Y1543" i="8"/>
  <c r="Y66" i="12"/>
  <c r="AA85" i="12"/>
  <c r="AA239" i="8"/>
  <c r="AA240" i="8" s="1"/>
  <c r="AB577" i="2"/>
  <c r="AB635" i="2"/>
  <c r="AA267" i="8"/>
  <c r="AA268" i="8" s="1"/>
  <c r="AA95" i="12"/>
  <c r="Y1701" i="8"/>
  <c r="Y1715" i="8"/>
  <c r="Y1591" i="8"/>
  <c r="AB637" i="2"/>
  <c r="AA97" i="12"/>
  <c r="AA275" i="8"/>
  <c r="AA276" i="8" s="1"/>
  <c r="AE777" i="2"/>
  <c r="AE1236" i="8"/>
  <c r="AE1237" i="8" s="1"/>
  <c r="F1237" i="8" s="1"/>
  <c r="AE794" i="2"/>
  <c r="AE1356" i="8" s="1"/>
  <c r="AE1357" i="8" s="1"/>
  <c r="F1357" i="8" s="1"/>
  <c r="AD1675" i="8"/>
  <c r="AD1256" i="8"/>
  <c r="AD1257" i="8" s="1"/>
  <c r="AD780" i="2"/>
  <c r="Z57" i="12"/>
  <c r="Z151" i="8"/>
  <c r="Z152" i="8" s="1"/>
  <c r="Z462" i="2"/>
  <c r="Z1586" i="8" s="1"/>
  <c r="AA453" i="2"/>
  <c r="AB518" i="2"/>
  <c r="AA74" i="12"/>
  <c r="AA207" i="8"/>
  <c r="AA208" i="8" s="1"/>
  <c r="AA58" i="12"/>
  <c r="AA155" i="8"/>
  <c r="AA156" i="8" s="1"/>
  <c r="AB454" i="2"/>
  <c r="AE1276" i="8"/>
  <c r="AE1277" i="8" s="1"/>
  <c r="F1277" i="8" s="1"/>
  <c r="AE784" i="2"/>
  <c r="Y78" i="12"/>
  <c r="Y1544" i="8"/>
  <c r="AE797" i="2"/>
  <c r="AE1368" i="8" s="1"/>
  <c r="AE1369" i="8" s="1"/>
  <c r="F1369" i="8" s="1"/>
  <c r="AE1248" i="8"/>
  <c r="AE1249" i="8" s="1"/>
  <c r="F1249" i="8" s="1"/>
  <c r="AE785" i="2"/>
  <c r="AE1324" i="8" s="1"/>
  <c r="AE1325" i="8" s="1"/>
  <c r="F1325" i="8" s="1"/>
  <c r="AE782" i="2"/>
  <c r="AE73" i="17" s="1"/>
  <c r="AE1260" i="8"/>
  <c r="AE1261" i="8" s="1"/>
  <c r="F1261" i="8" s="1"/>
  <c r="AE770" i="2"/>
  <c r="AE1292" i="8" s="1"/>
  <c r="AE1293" i="8" s="1"/>
  <c r="F1293" i="8" s="1"/>
  <c r="AA291" i="8"/>
  <c r="AA292" i="8" s="1"/>
  <c r="AB641" i="2"/>
  <c r="AA101" i="12"/>
  <c r="AD1320" i="8"/>
  <c r="AD1321" i="8" s="1"/>
  <c r="AD789" i="2"/>
  <c r="AB515" i="2"/>
  <c r="AA71" i="12"/>
  <c r="AA195" i="8"/>
  <c r="AA196" i="8" s="1"/>
  <c r="AD771" i="2"/>
  <c r="AD88" i="17" s="1"/>
  <c r="AE402" i="14"/>
  <c r="AE1674" i="8" s="1"/>
  <c r="F1674" i="8" s="1"/>
  <c r="AE1710" i="8"/>
  <c r="F1710" i="8" s="1"/>
  <c r="AE403" i="14"/>
  <c r="AE1711" i="8" s="1"/>
  <c r="F1711" i="8" s="1"/>
  <c r="Z81" i="12"/>
  <c r="AA573" i="2"/>
  <c r="Z223" i="8"/>
  <c r="Z224" i="8" s="1"/>
  <c r="Z582" i="2"/>
  <c r="Z1588" i="8" s="1"/>
  <c r="AA513" i="2"/>
  <c r="Z522" i="2"/>
  <c r="Z1587" i="8" s="1"/>
  <c r="Z69" i="12"/>
  <c r="Z187" i="8"/>
  <c r="Z188" i="8" s="1"/>
  <c r="AE1244" i="8"/>
  <c r="AE1245" i="8" s="1"/>
  <c r="F1245" i="8" s="1"/>
  <c r="AE796" i="2"/>
  <c r="AE1364" i="8" s="1"/>
  <c r="AE1365" i="8" s="1"/>
  <c r="F1365" i="8" s="1"/>
  <c r="AB517" i="2"/>
  <c r="AA73" i="12"/>
  <c r="AA203" i="8"/>
  <c r="AA204" i="8" s="1"/>
  <c r="AD1344" i="8"/>
  <c r="AD1345" i="8" s="1"/>
  <c r="AD799" i="2"/>
  <c r="AD1676" i="8" s="1"/>
  <c r="X1526" i="8"/>
  <c r="X1718" i="8"/>
  <c r="AB458" i="2"/>
  <c r="AA62" i="12"/>
  <c r="AA171" i="8"/>
  <c r="AA172" i="8" s="1"/>
  <c r="AA84" i="12"/>
  <c r="AA235" i="8"/>
  <c r="AA236" i="8" s="1"/>
  <c r="AB576" i="2"/>
  <c r="AB581" i="2"/>
  <c r="AA89" i="12"/>
  <c r="AA255" i="8"/>
  <c r="AA256" i="8" s="1"/>
  <c r="AA99" i="12"/>
  <c r="AA283" i="8"/>
  <c r="AA284" i="8" s="1"/>
  <c r="AB639" i="2"/>
  <c r="AE1288" i="8"/>
  <c r="AE1289" i="8" s="1"/>
  <c r="F1289" i="8" s="1"/>
  <c r="AE786" i="2"/>
  <c r="AE1328" i="8" s="1"/>
  <c r="AE1329" i="8" s="1"/>
  <c r="F1329" i="8" s="1"/>
  <c r="AA179" i="8"/>
  <c r="AA180" i="8" s="1"/>
  <c r="AB460" i="2"/>
  <c r="AA64" i="12"/>
  <c r="Y1703" i="8"/>
  <c r="Y1717" i="8"/>
  <c r="Y1593" i="8"/>
  <c r="AA191" i="8"/>
  <c r="AA192" i="8" s="1"/>
  <c r="AB514" i="2"/>
  <c r="AA70" i="12"/>
  <c r="AA175" i="8"/>
  <c r="AA176" i="8" s="1"/>
  <c r="AA63" i="12"/>
  <c r="AB459" i="2"/>
  <c r="AB457" i="2"/>
  <c r="AA61" i="12"/>
  <c r="AA167" i="8"/>
  <c r="AA168" i="8" s="1"/>
  <c r="AE405" i="14"/>
  <c r="AB640" i="2"/>
  <c r="AA287" i="8"/>
  <c r="AA288" i="8" s="1"/>
  <c r="AA100" i="12"/>
  <c r="AA227" i="8"/>
  <c r="AA228" i="8" s="1"/>
  <c r="AA82" i="12"/>
  <c r="AB574" i="2"/>
  <c r="AB638" i="2"/>
  <c r="AA98" i="12"/>
  <c r="AA279" i="8"/>
  <c r="AA280" i="8" s="1"/>
  <c r="Y90" i="12"/>
  <c r="Y1545" i="8"/>
  <c r="AB519" i="2"/>
  <c r="AA75" i="12"/>
  <c r="AA211" i="8"/>
  <c r="AA212" i="8" s="1"/>
  <c r="AE1240" i="8"/>
  <c r="AE1241" i="8" s="1"/>
  <c r="F1241" i="8" s="1"/>
  <c r="AE795" i="2"/>
  <c r="AE1360" i="8" s="1"/>
  <c r="AE1361" i="8" s="1"/>
  <c r="F1361" i="8" s="1"/>
  <c r="AE773" i="2"/>
  <c r="AE90" i="15" s="1"/>
  <c r="AA59" i="12"/>
  <c r="AA159" i="8"/>
  <c r="AA160" i="8" s="1"/>
  <c r="AB455" i="2"/>
  <c r="AE1272" i="8"/>
  <c r="AE1273" i="8" s="1"/>
  <c r="F1273" i="8" s="1"/>
  <c r="AE788" i="2"/>
  <c r="AE1336" i="8" s="1"/>
  <c r="AE1337" i="8" s="1"/>
  <c r="F1337" i="8" s="1"/>
  <c r="AB575" i="2"/>
  <c r="AA83" i="12"/>
  <c r="AA231" i="8"/>
  <c r="AA232" i="8" s="1"/>
  <c r="Z93" i="12"/>
  <c r="AA633" i="2"/>
  <c r="Z259" i="8"/>
  <c r="Z260" i="8" s="1"/>
  <c r="Z642" i="2"/>
  <c r="Z1589" i="8" s="1"/>
  <c r="AA96" i="12"/>
  <c r="AB636" i="2"/>
  <c r="AA271" i="8"/>
  <c r="AA272" i="8" s="1"/>
  <c r="AA243" i="8"/>
  <c r="AA244" i="8" s="1"/>
  <c r="AB578" i="2"/>
  <c r="AA86" i="12"/>
  <c r="AA65" i="12"/>
  <c r="AB461" i="2"/>
  <c r="AA183" i="8"/>
  <c r="AA184" i="8" s="1"/>
  <c r="AA163" i="8"/>
  <c r="AA164" i="8" s="1"/>
  <c r="AA60" i="12"/>
  <c r="AB456" i="2"/>
  <c r="AB634" i="2"/>
  <c r="AA263" i="8"/>
  <c r="AA264" i="8" s="1"/>
  <c r="AA94" i="12"/>
  <c r="AA88" i="12"/>
  <c r="AB580" i="2"/>
  <c r="AA251" i="8"/>
  <c r="AA252" i="8" s="1"/>
  <c r="AA199" i="8"/>
  <c r="AA200" i="8" s="1"/>
  <c r="AA72" i="12"/>
  <c r="AB516" i="2"/>
  <c r="AA219" i="8"/>
  <c r="AA220" i="8" s="1"/>
  <c r="AA77" i="12"/>
  <c r="AB521" i="2"/>
  <c r="AD1296" i="8"/>
  <c r="AD1297" i="8" s="1"/>
  <c r="AD778" i="2"/>
  <c r="AB520" i="2"/>
  <c r="AA215" i="8"/>
  <c r="AA216" i="8" s="1"/>
  <c r="AA76" i="12"/>
  <c r="Y1546" i="8"/>
  <c r="Y102" i="12"/>
  <c r="V1866" i="8" l="1"/>
  <c r="V91" i="17"/>
  <c r="V92" i="17" s="1"/>
  <c r="V96" i="17" s="1"/>
  <c r="V94" i="17"/>
  <c r="V95" i="17" s="1"/>
  <c r="X60" i="17"/>
  <c r="X61" i="17" s="1"/>
  <c r="X65" i="17" s="1"/>
  <c r="U1868" i="8"/>
  <c r="F1869" i="8"/>
  <c r="U85" i="17"/>
  <c r="U1867" i="8"/>
  <c r="U1865" i="8"/>
  <c r="W82" i="17"/>
  <c r="W93" i="17"/>
  <c r="X35" i="15"/>
  <c r="X36" i="15" s="1"/>
  <c r="X42" i="15" s="1"/>
  <c r="V1841" i="8"/>
  <c r="V67" i="17"/>
  <c r="V68" i="17" s="1"/>
  <c r="V81" i="17" s="1"/>
  <c r="V83" i="17" s="1"/>
  <c r="W1840" i="8"/>
  <c r="W1844" i="8"/>
  <c r="W43" i="15"/>
  <c r="U1841" i="8"/>
  <c r="U44" i="15"/>
  <c r="U1855" i="8" s="1"/>
  <c r="V44" i="15"/>
  <c r="V1855" i="8" s="1"/>
  <c r="X78" i="15"/>
  <c r="X77" i="15"/>
  <c r="X1851" i="8" s="1"/>
  <c r="Y1527" i="8"/>
  <c r="Y81" i="15"/>
  <c r="W45" i="15"/>
  <c r="AD1340" i="8"/>
  <c r="AD39" i="15"/>
  <c r="X88" i="15"/>
  <c r="X87" i="15"/>
  <c r="X1853" i="8" s="1"/>
  <c r="Y1529" i="8"/>
  <c r="Y91" i="15"/>
  <c r="Y76" i="15"/>
  <c r="Y34" i="15"/>
  <c r="AE1312" i="8"/>
  <c r="AE1313" i="8" s="1"/>
  <c r="F1313" i="8" s="1"/>
  <c r="AE80" i="15"/>
  <c r="X83" i="15"/>
  <c r="X82" i="15"/>
  <c r="X1852" i="8" s="1"/>
  <c r="AE1304" i="8"/>
  <c r="AE1305" i="8" s="1"/>
  <c r="F1305" i="8" s="1"/>
  <c r="AE85" i="15"/>
  <c r="Y1528" i="8"/>
  <c r="Y86" i="15"/>
  <c r="AE1300" i="8"/>
  <c r="AE1301" i="8" s="1"/>
  <c r="F1301" i="8" s="1"/>
  <c r="AE75" i="15"/>
  <c r="X92" i="15"/>
  <c r="X1854" i="8" s="1"/>
  <c r="X93" i="15"/>
  <c r="AE771" i="2"/>
  <c r="AE88" i="17" s="1"/>
  <c r="Z1691" i="8"/>
  <c r="Z1585" i="8"/>
  <c r="Z1583" i="8"/>
  <c r="Z1689" i="8"/>
  <c r="Z1582" i="8"/>
  <c r="Z1688" i="8"/>
  <c r="Z1690" i="8"/>
  <c r="Z1584" i="8"/>
  <c r="AC456" i="2"/>
  <c r="AB163" i="8"/>
  <c r="AB164" i="8" s="1"/>
  <c r="AB60" i="12"/>
  <c r="AB247" i="8"/>
  <c r="AB248" i="8" s="1"/>
  <c r="AB87" i="12"/>
  <c r="AC579" i="2"/>
  <c r="AD1316" i="8"/>
  <c r="AD1317" i="8" s="1"/>
  <c r="AD779" i="2"/>
  <c r="AD1696" i="8" s="1"/>
  <c r="AA642" i="2"/>
  <c r="AA1589" i="8" s="1"/>
  <c r="AA259" i="8"/>
  <c r="AA260" i="8" s="1"/>
  <c r="AB633" i="2"/>
  <c r="AA93" i="12"/>
  <c r="AB171" i="8"/>
  <c r="AB172" i="8" s="1"/>
  <c r="AB62" i="12"/>
  <c r="AC458" i="2"/>
  <c r="Z1702" i="8"/>
  <c r="Z1716" i="8"/>
  <c r="Z1592" i="8"/>
  <c r="Z1546" i="8"/>
  <c r="Z102" i="12"/>
  <c r="AB211" i="8"/>
  <c r="AB212" i="8" s="1"/>
  <c r="AC519" i="2"/>
  <c r="AB75" i="12"/>
  <c r="AB101" i="12"/>
  <c r="AC641" i="2"/>
  <c r="AB291" i="8"/>
  <c r="AB292" i="8" s="1"/>
  <c r="AE738" i="2"/>
  <c r="Y1526" i="8"/>
  <c r="Y1718" i="8"/>
  <c r="AB99" i="12"/>
  <c r="AB283" i="8"/>
  <c r="AB284" i="8" s="1"/>
  <c r="AC639" i="2"/>
  <c r="AC518" i="2"/>
  <c r="AB207" i="8"/>
  <c r="AB208" i="8" s="1"/>
  <c r="AB74" i="12"/>
  <c r="AB199" i="8"/>
  <c r="AB200" i="8" s="1"/>
  <c r="AC516" i="2"/>
  <c r="AB72" i="12"/>
  <c r="AA57" i="12"/>
  <c r="AB453" i="2"/>
  <c r="AA151" i="8"/>
  <c r="AA152" i="8" s="1"/>
  <c r="AA462" i="2"/>
  <c r="AA1586" i="8" s="1"/>
  <c r="AE1675" i="8"/>
  <c r="F1675" i="8" s="1"/>
  <c r="AE780" i="2"/>
  <c r="AE1256" i="8"/>
  <c r="AE1257" i="8" s="1"/>
  <c r="F1257" i="8" s="1"/>
  <c r="AC460" i="2"/>
  <c r="AB179" i="8"/>
  <c r="AB180" i="8" s="1"/>
  <c r="AB64" i="12"/>
  <c r="AB77" i="12"/>
  <c r="AB219" i="8"/>
  <c r="AB220" i="8" s="1"/>
  <c r="AC521" i="2"/>
  <c r="AB573" i="2"/>
  <c r="AA81" i="12"/>
  <c r="AA582" i="2"/>
  <c r="AA1588" i="8" s="1"/>
  <c r="AA223" i="8"/>
  <c r="AA224" i="8" s="1"/>
  <c r="AB175" i="8"/>
  <c r="AB176" i="8" s="1"/>
  <c r="AC459" i="2"/>
  <c r="AB63" i="12"/>
  <c r="AD1435" i="8"/>
  <c r="AD1436" i="8"/>
  <c r="AD406" i="14"/>
  <c r="AD407" i="14" s="1"/>
  <c r="AD1713" i="8" s="1"/>
  <c r="AD1720" i="8"/>
  <c r="AD276" i="13"/>
  <c r="AD278" i="13" s="1"/>
  <c r="AD1698" i="8" s="1"/>
  <c r="AD1376" i="8"/>
  <c r="AD1377" i="8" s="1"/>
  <c r="AB97" i="12"/>
  <c r="AB275" i="8"/>
  <c r="AB276" i="8" s="1"/>
  <c r="AC637" i="2"/>
  <c r="AB183" i="8"/>
  <c r="AB184" i="8" s="1"/>
  <c r="AC461" i="2"/>
  <c r="AB65" i="12"/>
  <c r="Z1700" i="8"/>
  <c r="Z1590" i="8"/>
  <c r="Z1714" i="8"/>
  <c r="AC575" i="2"/>
  <c r="AB83" i="12"/>
  <c r="AB231" i="8"/>
  <c r="AB232" i="8" s="1"/>
  <c r="AC638" i="2"/>
  <c r="AB98" i="12"/>
  <c r="AB279" i="8"/>
  <c r="AB280" i="8" s="1"/>
  <c r="AB243" i="8"/>
  <c r="AB244" i="8" s="1"/>
  <c r="AC578" i="2"/>
  <c r="AB86" i="12"/>
  <c r="AC455" i="2"/>
  <c r="AB59" i="12"/>
  <c r="AB159" i="8"/>
  <c r="AB160" i="8" s="1"/>
  <c r="AC574" i="2"/>
  <c r="AB227" i="8"/>
  <c r="AB228" i="8" s="1"/>
  <c r="AB82" i="12"/>
  <c r="AC514" i="2"/>
  <c r="AB191" i="8"/>
  <c r="AB192" i="8" s="1"/>
  <c r="AB70" i="12"/>
  <c r="AC517" i="2"/>
  <c r="AB73" i="12"/>
  <c r="AB203" i="8"/>
  <c r="AB204" i="8" s="1"/>
  <c r="AB255" i="8"/>
  <c r="AB256" i="8" s="1"/>
  <c r="AB89" i="12"/>
  <c r="AC581" i="2"/>
  <c r="Z1543" i="8"/>
  <c r="Z66" i="12"/>
  <c r="AE1344" i="8"/>
  <c r="AE1345" i="8" s="1"/>
  <c r="F1345" i="8" s="1"/>
  <c r="AE799" i="2"/>
  <c r="AE1676" i="8" s="1"/>
  <c r="F1676" i="8" s="1"/>
  <c r="AB215" i="8"/>
  <c r="AB216" i="8" s="1"/>
  <c r="AB76" i="12"/>
  <c r="AC520" i="2"/>
  <c r="AB513" i="2"/>
  <c r="AA69" i="12"/>
  <c r="AA187" i="8"/>
  <c r="AA188" i="8" s="1"/>
  <c r="AA522" i="2"/>
  <c r="AA1587" i="8" s="1"/>
  <c r="AC457" i="2"/>
  <c r="AB167" i="8"/>
  <c r="AB168" i="8" s="1"/>
  <c r="AB61" i="12"/>
  <c r="Z90" i="12"/>
  <c r="Z1545" i="8"/>
  <c r="AB88" i="12"/>
  <c r="AB251" i="8"/>
  <c r="AB252" i="8" s="1"/>
  <c r="AC580" i="2"/>
  <c r="AB235" i="8"/>
  <c r="AB236" i="8" s="1"/>
  <c r="AB84" i="12"/>
  <c r="AC576" i="2"/>
  <c r="AC635" i="2"/>
  <c r="AB267" i="8"/>
  <c r="AB268" i="8" s="1"/>
  <c r="AB95" i="12"/>
  <c r="AC636" i="2"/>
  <c r="AB271" i="8"/>
  <c r="AB272" i="8" s="1"/>
  <c r="AB96" i="12"/>
  <c r="AE1296" i="8"/>
  <c r="AE1297" i="8" s="1"/>
  <c r="F1297" i="8" s="1"/>
  <c r="AE778" i="2"/>
  <c r="AC577" i="2"/>
  <c r="AB85" i="12"/>
  <c r="AB239" i="8"/>
  <c r="AB240" i="8" s="1"/>
  <c r="AB94" i="12"/>
  <c r="AC634" i="2"/>
  <c r="AB263" i="8"/>
  <c r="AB264" i="8" s="1"/>
  <c r="AB58" i="12"/>
  <c r="AC454" i="2"/>
  <c r="AB155" i="8"/>
  <c r="AB156" i="8" s="1"/>
  <c r="AC515" i="2"/>
  <c r="AB71" i="12"/>
  <c r="AB195" i="8"/>
  <c r="AB196" i="8" s="1"/>
  <c r="AE789" i="2"/>
  <c r="AE1320" i="8"/>
  <c r="AE1321" i="8" s="1"/>
  <c r="F1321" i="8" s="1"/>
  <c r="AD1438" i="8"/>
  <c r="AD727" i="2"/>
  <c r="AD89" i="17" s="1"/>
  <c r="Z78" i="12"/>
  <c r="Z1544" i="8"/>
  <c r="Z1703" i="8"/>
  <c r="Z1593" i="8"/>
  <c r="Z1717" i="8"/>
  <c r="AB287" i="8"/>
  <c r="AB288" i="8" s="1"/>
  <c r="AB100" i="12"/>
  <c r="AC640" i="2"/>
  <c r="Z1701" i="8"/>
  <c r="Z1715" i="8"/>
  <c r="Z1591" i="8"/>
  <c r="W94" i="17" l="1"/>
  <c r="W95" i="17" s="1"/>
  <c r="W1866" i="8"/>
  <c r="W91" i="17"/>
  <c r="W92" i="17" s="1"/>
  <c r="W96" i="17" s="1"/>
  <c r="Y60" i="17"/>
  <c r="Y61" i="17" s="1"/>
  <c r="Y65" i="17" s="1"/>
  <c r="V1868" i="8"/>
  <c r="V85" i="17"/>
  <c r="V1867" i="8"/>
  <c r="V1865" i="8"/>
  <c r="X82" i="17"/>
  <c r="X93" i="17"/>
  <c r="Y35" i="15"/>
  <c r="Y36" i="15" s="1"/>
  <c r="Y42" i="15" s="1"/>
  <c r="W1841" i="8"/>
  <c r="W67" i="17"/>
  <c r="W68" i="17" s="1"/>
  <c r="W81" i="17" s="1"/>
  <c r="W83" i="17" s="1"/>
  <c r="W44" i="15"/>
  <c r="W1855" i="8" s="1"/>
  <c r="X1844" i="8"/>
  <c r="X1840" i="8"/>
  <c r="X43" i="15"/>
  <c r="X44" i="15" s="1"/>
  <c r="X1855" i="8" s="1"/>
  <c r="Y78" i="15"/>
  <c r="Y77" i="15"/>
  <c r="Y1851" i="8" s="1"/>
  <c r="Y93" i="15"/>
  <c r="Y92" i="15"/>
  <c r="Y1854" i="8" s="1"/>
  <c r="Z76" i="15"/>
  <c r="Z34" i="15"/>
  <c r="Y88" i="15"/>
  <c r="Y87" i="15"/>
  <c r="Y1853" i="8" s="1"/>
  <c r="AE1340" i="8"/>
  <c r="AE39" i="15"/>
  <c r="Z1528" i="8"/>
  <c r="Z86" i="15"/>
  <c r="AD41" i="15"/>
  <c r="AD1839" i="8"/>
  <c r="X45" i="15"/>
  <c r="Y83" i="15"/>
  <c r="Y82" i="15"/>
  <c r="Y1852" i="8" s="1"/>
  <c r="Z1527" i="8"/>
  <c r="Z81" i="15"/>
  <c r="Z1529" i="8"/>
  <c r="Z91" i="15"/>
  <c r="AA1688" i="8"/>
  <c r="AA1582" i="8"/>
  <c r="AA1584" i="8"/>
  <c r="AA1690" i="8"/>
  <c r="AA1689" i="8"/>
  <c r="AA1583" i="8"/>
  <c r="AA1691" i="8"/>
  <c r="AA1585" i="8"/>
  <c r="AE760" i="2"/>
  <c r="F1516" i="8" s="1"/>
  <c r="F1515" i="8"/>
  <c r="AC453" i="2"/>
  <c r="AB57" i="12"/>
  <c r="AB151" i="8"/>
  <c r="AB152" i="8" s="1"/>
  <c r="AB462" i="2"/>
  <c r="AB1586" i="8" s="1"/>
  <c r="AA102" i="12"/>
  <c r="AA1546" i="8"/>
  <c r="AC155" i="8"/>
  <c r="AC156" i="8" s="1"/>
  <c r="AC58" i="12"/>
  <c r="AD454" i="2"/>
  <c r="AC275" i="8"/>
  <c r="AC276" i="8" s="1"/>
  <c r="AC97" i="12"/>
  <c r="AD637" i="2"/>
  <c r="AA90" i="12"/>
  <c r="AA1545" i="8"/>
  <c r="AA1543" i="8"/>
  <c r="AA66" i="12"/>
  <c r="AC101" i="12"/>
  <c r="AD641" i="2"/>
  <c r="AC291" i="8"/>
  <c r="AC292" i="8" s="1"/>
  <c r="AC633" i="2"/>
  <c r="AB259" i="8"/>
  <c r="AB260" i="8" s="1"/>
  <c r="AB93" i="12"/>
  <c r="AB642" i="2"/>
  <c r="AB1589" i="8" s="1"/>
  <c r="AC59" i="12"/>
  <c r="AD455" i="2"/>
  <c r="AC159" i="8"/>
  <c r="AC160" i="8" s="1"/>
  <c r="AA1700" i="8"/>
  <c r="AA1714" i="8"/>
  <c r="AA1590" i="8"/>
  <c r="AD515" i="2"/>
  <c r="AC71" i="12"/>
  <c r="AC195" i="8"/>
  <c r="AC196" i="8" s="1"/>
  <c r="AA1702" i="8"/>
  <c r="AA1716" i="8"/>
  <c r="AA1592" i="8"/>
  <c r="AC95" i="12"/>
  <c r="AD635" i="2"/>
  <c r="AC267" i="8"/>
  <c r="AC268" i="8" s="1"/>
  <c r="AA78" i="12"/>
  <c r="AA1544" i="8"/>
  <c r="AB223" i="8"/>
  <c r="AB224" i="8" s="1"/>
  <c r="AB582" i="2"/>
  <c r="AB1588" i="8" s="1"/>
  <c r="AC573" i="2"/>
  <c r="AB81" i="12"/>
  <c r="AD457" i="2"/>
  <c r="AC61" i="12"/>
  <c r="AC167" i="8"/>
  <c r="AC168" i="8" s="1"/>
  <c r="AA1701" i="8"/>
  <c r="AA1591" i="8"/>
  <c r="AA1715" i="8"/>
  <c r="AC84" i="12"/>
  <c r="AD576" i="2"/>
  <c r="AC235" i="8"/>
  <c r="AC236" i="8" s="1"/>
  <c r="AD517" i="2"/>
  <c r="AC73" i="12"/>
  <c r="AC203" i="8"/>
  <c r="AC204" i="8" s="1"/>
  <c r="AC219" i="8"/>
  <c r="AC220" i="8" s="1"/>
  <c r="AD521" i="2"/>
  <c r="AC77" i="12"/>
  <c r="AC72" i="12"/>
  <c r="AC199" i="8"/>
  <c r="AC200" i="8" s="1"/>
  <c r="AD516" i="2"/>
  <c r="AA1703" i="8"/>
  <c r="AA1593" i="8"/>
  <c r="AA1717" i="8"/>
  <c r="AD634" i="2"/>
  <c r="AC94" i="12"/>
  <c r="AC263" i="8"/>
  <c r="AC264" i="8" s="1"/>
  <c r="AC215" i="8"/>
  <c r="AC216" i="8" s="1"/>
  <c r="AC76" i="12"/>
  <c r="AD520" i="2"/>
  <c r="AC279" i="8"/>
  <c r="AC280" i="8" s="1"/>
  <c r="AD638" i="2"/>
  <c r="AC98" i="12"/>
  <c r="AD519" i="2"/>
  <c r="AC75" i="12"/>
  <c r="AC211" i="8"/>
  <c r="AC212" i="8" s="1"/>
  <c r="AD1704" i="8"/>
  <c r="AD685" i="2"/>
  <c r="AD87" i="17" s="1"/>
  <c r="AD1437" i="8"/>
  <c r="AD684" i="2"/>
  <c r="AD1448" i="8"/>
  <c r="AD1719" i="8"/>
  <c r="AC255" i="8"/>
  <c r="AC256" i="8" s="1"/>
  <c r="AC89" i="12"/>
  <c r="AD581" i="2"/>
  <c r="AD1721" i="8"/>
  <c r="AD1595" i="8"/>
  <c r="AD1573" i="8"/>
  <c r="AD461" i="2"/>
  <c r="AC65" i="12"/>
  <c r="AC183" i="8"/>
  <c r="AC184" i="8" s="1"/>
  <c r="AD514" i="2"/>
  <c r="AC70" i="12"/>
  <c r="AC191" i="8"/>
  <c r="AC192" i="8" s="1"/>
  <c r="AD579" i="2"/>
  <c r="AC87" i="12"/>
  <c r="AC247" i="8"/>
  <c r="AC248" i="8" s="1"/>
  <c r="AC231" i="8"/>
  <c r="AC232" i="8" s="1"/>
  <c r="AC83" i="12"/>
  <c r="AD575" i="2"/>
  <c r="AC207" i="8"/>
  <c r="AC208" i="8" s="1"/>
  <c r="AC74" i="12"/>
  <c r="AD518" i="2"/>
  <c r="AC239" i="8"/>
  <c r="AC240" i="8" s="1"/>
  <c r="AD577" i="2"/>
  <c r="AC85" i="12"/>
  <c r="AE1436" i="8"/>
  <c r="F1436" i="8" s="1"/>
  <c r="AE1376" i="8"/>
  <c r="AE1377" i="8" s="1"/>
  <c r="F1377" i="8" s="1"/>
  <c r="AE1720" i="8"/>
  <c r="F1720" i="8" s="1"/>
  <c r="AE406" i="14"/>
  <c r="AE407" i="14" s="1"/>
  <c r="AE276" i="13"/>
  <c r="AE278" i="13" s="1"/>
  <c r="AE1698" i="8" s="1"/>
  <c r="F1698" i="8" s="1"/>
  <c r="AE1435" i="8"/>
  <c r="F1435" i="8" s="1"/>
  <c r="AC64" i="12"/>
  <c r="AD460" i="2"/>
  <c r="AC179" i="8"/>
  <c r="AC180" i="8" s="1"/>
  <c r="AC283" i="8"/>
  <c r="AC284" i="8" s="1"/>
  <c r="AD639" i="2"/>
  <c r="AC99" i="12"/>
  <c r="AC96" i="12"/>
  <c r="AC271" i="8"/>
  <c r="AC272" i="8" s="1"/>
  <c r="AD636" i="2"/>
  <c r="AB69" i="12"/>
  <c r="AC513" i="2"/>
  <c r="AB187" i="8"/>
  <c r="AB188" i="8" s="1"/>
  <c r="AB522" i="2"/>
  <c r="AB1587" i="8" s="1"/>
  <c r="AE779" i="2"/>
  <c r="AE1696" i="8" s="1"/>
  <c r="F1696" i="8" s="1"/>
  <c r="AE1316" i="8"/>
  <c r="AE1317" i="8" s="1"/>
  <c r="F1317" i="8" s="1"/>
  <c r="AD574" i="2"/>
  <c r="AC82" i="12"/>
  <c r="AC227" i="8"/>
  <c r="AC228" i="8" s="1"/>
  <c r="AD578" i="2"/>
  <c r="AC243" i="8"/>
  <c r="AC244" i="8" s="1"/>
  <c r="AC86" i="12"/>
  <c r="AC251" i="8"/>
  <c r="AC252" i="8" s="1"/>
  <c r="AD580" i="2"/>
  <c r="AC88" i="12"/>
  <c r="Z1526" i="8"/>
  <c r="Z1718" i="8"/>
  <c r="AE1438" i="8"/>
  <c r="F1438" i="8" s="1"/>
  <c r="AE727" i="2"/>
  <c r="AE89" i="17" s="1"/>
  <c r="AD640" i="2"/>
  <c r="AC100" i="12"/>
  <c r="AC287" i="8"/>
  <c r="AC288" i="8" s="1"/>
  <c r="AD459" i="2"/>
  <c r="AC63" i="12"/>
  <c r="AC175" i="8"/>
  <c r="AC176" i="8" s="1"/>
  <c r="AC171" i="8"/>
  <c r="AC172" i="8" s="1"/>
  <c r="AD458" i="2"/>
  <c r="AC62" i="12"/>
  <c r="AC163" i="8"/>
  <c r="AC164" i="8" s="1"/>
  <c r="AC60" i="12"/>
  <c r="AD456" i="2"/>
  <c r="AE1713" i="8" l="1"/>
  <c r="F1713" i="8" s="1"/>
  <c r="F1911" i="8"/>
  <c r="D1907" i="8" s="1"/>
  <c r="X94" i="17"/>
  <c r="X95" i="17" s="1"/>
  <c r="X1866" i="8"/>
  <c r="X91" i="17"/>
  <c r="X92" i="17" s="1"/>
  <c r="X96" i="17" s="1"/>
  <c r="Z60" i="17"/>
  <c r="Z61" i="17" s="1"/>
  <c r="Z65" i="17" s="1"/>
  <c r="W1868" i="8"/>
  <c r="W85" i="17"/>
  <c r="W1867" i="8"/>
  <c r="W1865" i="8"/>
  <c r="Y82" i="17"/>
  <c r="Y93" i="17"/>
  <c r="Z35" i="15"/>
  <c r="Z36" i="15" s="1"/>
  <c r="X1841" i="8"/>
  <c r="X67" i="17"/>
  <c r="X68" i="17" s="1"/>
  <c r="X81" i="17" s="1"/>
  <c r="X83" i="17" s="1"/>
  <c r="Y1844" i="8"/>
  <c r="Y1840" i="8"/>
  <c r="Y43" i="15"/>
  <c r="AA1529" i="8"/>
  <c r="AA91" i="15"/>
  <c r="Y45" i="15"/>
  <c r="AE41" i="15"/>
  <c r="AE1839" i="8"/>
  <c r="F1839" i="8" s="1"/>
  <c r="Z88" i="15"/>
  <c r="Z87" i="15"/>
  <c r="Z1853" i="8" s="1"/>
  <c r="AA76" i="15"/>
  <c r="AA34" i="15"/>
  <c r="Z93" i="15"/>
  <c r="Z92" i="15"/>
  <c r="Z1854" i="8" s="1"/>
  <c r="Z83" i="15"/>
  <c r="Z82" i="15"/>
  <c r="Z1852" i="8" s="1"/>
  <c r="AA1528" i="8"/>
  <c r="AA86" i="15"/>
  <c r="Z78" i="15"/>
  <c r="Z77" i="15"/>
  <c r="Z1851" i="8" s="1"/>
  <c r="AA1527" i="8"/>
  <c r="AA81" i="15"/>
  <c r="AB1582" i="8"/>
  <c r="AB1688" i="8"/>
  <c r="AB1689" i="8"/>
  <c r="AB1583" i="8"/>
  <c r="AB1584" i="8"/>
  <c r="AB1690" i="8"/>
  <c r="AB1691" i="8"/>
  <c r="AB1585" i="8"/>
  <c r="AD171" i="8"/>
  <c r="AD172" i="8" s="1"/>
  <c r="AD62" i="12"/>
  <c r="AE458" i="2"/>
  <c r="AE577" i="2"/>
  <c r="AD239" i="8"/>
  <c r="AD240" i="8" s="1"/>
  <c r="AD85" i="12"/>
  <c r="AB102" i="12"/>
  <c r="AB1546" i="8"/>
  <c r="AD247" i="8"/>
  <c r="AD248" i="8" s="1"/>
  <c r="AD87" i="12"/>
  <c r="AE579" i="2"/>
  <c r="AD275" i="8"/>
  <c r="AD276" i="8" s="1"/>
  <c r="AD97" i="12"/>
  <c r="AE637" i="2"/>
  <c r="AE580" i="2"/>
  <c r="AD88" i="12"/>
  <c r="AD251" i="8"/>
  <c r="AD252" i="8" s="1"/>
  <c r="AB1544" i="8"/>
  <c r="AB78" i="12"/>
  <c r="AD243" i="8"/>
  <c r="AD244" i="8" s="1"/>
  <c r="AD86" i="12"/>
  <c r="AE578" i="2"/>
  <c r="AD99" i="12"/>
  <c r="AD283" i="8"/>
  <c r="AD284" i="8" s="1"/>
  <c r="AE639" i="2"/>
  <c r="AE518" i="2"/>
  <c r="AD74" i="12"/>
  <c r="AD207" i="8"/>
  <c r="AD208" i="8" s="1"/>
  <c r="AE461" i="2"/>
  <c r="AD183" i="8"/>
  <c r="AD184" i="8" s="1"/>
  <c r="AD65" i="12"/>
  <c r="AD199" i="8"/>
  <c r="AD200" i="8" s="1"/>
  <c r="AE516" i="2"/>
  <c r="AD72" i="12"/>
  <c r="AC642" i="2"/>
  <c r="AC1589" i="8" s="1"/>
  <c r="AD633" i="2"/>
  <c r="AC259" i="8"/>
  <c r="AC260" i="8" s="1"/>
  <c r="AC93" i="12"/>
  <c r="AE636" i="2"/>
  <c r="AD96" i="12"/>
  <c r="AD271" i="8"/>
  <c r="AD272" i="8" s="1"/>
  <c r="AE514" i="2"/>
  <c r="AD70" i="12"/>
  <c r="AD191" i="8"/>
  <c r="AD192" i="8" s="1"/>
  <c r="AD159" i="8"/>
  <c r="AD160" i="8" s="1"/>
  <c r="AD59" i="12"/>
  <c r="AE455" i="2"/>
  <c r="AB1703" i="8"/>
  <c r="AB1717" i="8"/>
  <c r="AB1593" i="8"/>
  <c r="AD101" i="12"/>
  <c r="AD291" i="8"/>
  <c r="AD292" i="8" s="1"/>
  <c r="AE641" i="2"/>
  <c r="AB1700" i="8"/>
  <c r="AB1714" i="8"/>
  <c r="AB1590" i="8"/>
  <c r="AD203" i="8"/>
  <c r="AD204" i="8" s="1"/>
  <c r="AD73" i="12"/>
  <c r="AE517" i="2"/>
  <c r="AD84" i="12"/>
  <c r="AD235" i="8"/>
  <c r="AD236" i="8" s="1"/>
  <c r="AE576" i="2"/>
  <c r="AD58" i="12"/>
  <c r="AD155" i="8"/>
  <c r="AD156" i="8" s="1"/>
  <c r="AE454" i="2"/>
  <c r="AE519" i="2"/>
  <c r="AD211" i="8"/>
  <c r="AD212" i="8" s="1"/>
  <c r="AD75" i="12"/>
  <c r="AE574" i="2"/>
  <c r="AD227" i="8"/>
  <c r="AD228" i="8" s="1"/>
  <c r="AD82" i="12"/>
  <c r="AD179" i="8"/>
  <c r="AD180" i="8" s="1"/>
  <c r="AD64" i="12"/>
  <c r="AE460" i="2"/>
  <c r="AD83" i="12"/>
  <c r="AD231" i="8"/>
  <c r="AD232" i="8" s="1"/>
  <c r="AE575" i="2"/>
  <c r="AD279" i="8"/>
  <c r="AD280" i="8" s="1"/>
  <c r="AD98" i="12"/>
  <c r="AE638" i="2"/>
  <c r="AD167" i="8"/>
  <c r="AD168" i="8" s="1"/>
  <c r="AD61" i="12"/>
  <c r="AE457" i="2"/>
  <c r="AE640" i="2"/>
  <c r="AD287" i="8"/>
  <c r="AD288" i="8" s="1"/>
  <c r="AD100" i="12"/>
  <c r="D584" i="8"/>
  <c r="D585" i="8"/>
  <c r="AD89" i="12"/>
  <c r="AE581" i="2"/>
  <c r="AD255" i="8"/>
  <c r="AD256" i="8" s="1"/>
  <c r="AD219" i="8"/>
  <c r="AD220" i="8" s="1"/>
  <c r="AE521" i="2"/>
  <c r="AD77" i="12"/>
  <c r="AB1545" i="8"/>
  <c r="AB90" i="12"/>
  <c r="AD195" i="8"/>
  <c r="AD196" i="8" s="1"/>
  <c r="AE515" i="2"/>
  <c r="AD71" i="12"/>
  <c r="AA1526" i="8"/>
  <c r="AA1718" i="8"/>
  <c r="AB1543" i="8"/>
  <c r="AB66" i="12"/>
  <c r="AE635" i="2"/>
  <c r="AD95" i="12"/>
  <c r="AD267" i="8"/>
  <c r="AD268" i="8" s="1"/>
  <c r="AD63" i="12"/>
  <c r="AD175" i="8"/>
  <c r="AD176" i="8" s="1"/>
  <c r="AE459" i="2"/>
  <c r="AE1704" i="8"/>
  <c r="F1704" i="8" s="1"/>
  <c r="AE684" i="2"/>
  <c r="AE685" i="2"/>
  <c r="F1502" i="8"/>
  <c r="D1489" i="8" s="1"/>
  <c r="AE1437" i="8"/>
  <c r="F1437" i="8" s="1"/>
  <c r="D1429" i="8" s="1"/>
  <c r="AE1448" i="8"/>
  <c r="F1448" i="8" s="1"/>
  <c r="D1443" i="8" s="1"/>
  <c r="AE1719" i="8"/>
  <c r="F1719" i="8" s="1"/>
  <c r="AD215" i="8"/>
  <c r="AD216" i="8" s="1"/>
  <c r="AE520" i="2"/>
  <c r="AD76" i="12"/>
  <c r="AC582" i="2"/>
  <c r="AC1588" i="8" s="1"/>
  <c r="AC223" i="8"/>
  <c r="AC224" i="8" s="1"/>
  <c r="AD573" i="2"/>
  <c r="AC81" i="12"/>
  <c r="AC462" i="2"/>
  <c r="AC1586" i="8" s="1"/>
  <c r="AD453" i="2"/>
  <c r="AC151" i="8"/>
  <c r="AC152" i="8" s="1"/>
  <c r="AC57" i="12"/>
  <c r="AC187" i="8"/>
  <c r="AC188" i="8" s="1"/>
  <c r="AC522" i="2"/>
  <c r="AC1587" i="8" s="1"/>
  <c r="AD513" i="2"/>
  <c r="AC69" i="12"/>
  <c r="AD94" i="12"/>
  <c r="AD263" i="8"/>
  <c r="AD264" i="8" s="1"/>
  <c r="AE634" i="2"/>
  <c r="AD1469" i="8"/>
  <c r="AB1701" i="8"/>
  <c r="AB1715" i="8"/>
  <c r="AB1591" i="8"/>
  <c r="AE1595" i="8"/>
  <c r="F1595" i="8" s="1"/>
  <c r="AE1573" i="8"/>
  <c r="F1573" i="8" s="1"/>
  <c r="AE1721" i="8"/>
  <c r="F1721" i="8" s="1"/>
  <c r="AB1702" i="8"/>
  <c r="AB1716" i="8"/>
  <c r="AB1592" i="8"/>
  <c r="D1506" i="8"/>
  <c r="AE456" i="2"/>
  <c r="AD60" i="12"/>
  <c r="AD163" i="8"/>
  <c r="AD164" i="8" s="1"/>
  <c r="Y1866" i="8" l="1"/>
  <c r="Y91" i="17"/>
  <c r="Y92" i="17" s="1"/>
  <c r="Y96" i="17" s="1"/>
  <c r="Y94" i="17"/>
  <c r="Y95" i="17" s="1"/>
  <c r="AA60" i="17"/>
  <c r="AA61" i="17" s="1"/>
  <c r="AA65" i="17" s="1"/>
  <c r="X1868" i="8"/>
  <c r="X85" i="17"/>
  <c r="X1867" i="8"/>
  <c r="X1865" i="8"/>
  <c r="Z82" i="17"/>
  <c r="Z93" i="17"/>
  <c r="Y1841" i="8"/>
  <c r="Y67" i="17"/>
  <c r="Y68" i="17" s="1"/>
  <c r="Y81" i="17" s="1"/>
  <c r="Y83" i="17" s="1"/>
  <c r="AE1469" i="8"/>
  <c r="F1469" i="8" s="1"/>
  <c r="AE87" i="17"/>
  <c r="AA35" i="15"/>
  <c r="AA36" i="15" s="1"/>
  <c r="AA42" i="15" s="1"/>
  <c r="Y44" i="15"/>
  <c r="Y1855" i="8" s="1"/>
  <c r="Z45" i="15"/>
  <c r="Z42" i="15"/>
  <c r="AA78" i="15"/>
  <c r="AA77" i="15"/>
  <c r="AA1851" i="8" s="1"/>
  <c r="AA83" i="15"/>
  <c r="AA82" i="15"/>
  <c r="AA1852" i="8" s="1"/>
  <c r="AB76" i="15"/>
  <c r="AB34" i="15"/>
  <c r="AB1527" i="8"/>
  <c r="AB81" i="15"/>
  <c r="AA93" i="15"/>
  <c r="AA92" i="15"/>
  <c r="AA1854" i="8" s="1"/>
  <c r="AB1528" i="8"/>
  <c r="AB86" i="15"/>
  <c r="AB1529" i="8"/>
  <c r="AB91" i="15"/>
  <c r="AA88" i="15"/>
  <c r="AA87" i="15"/>
  <c r="AA1853" i="8" s="1"/>
  <c r="AC1689" i="8"/>
  <c r="AC1583" i="8"/>
  <c r="AC1582" i="8"/>
  <c r="AC1688" i="8"/>
  <c r="AC1584" i="8"/>
  <c r="AC1690" i="8"/>
  <c r="AC1691" i="8"/>
  <c r="AC1585" i="8"/>
  <c r="AE100" i="12"/>
  <c r="AE287" i="8"/>
  <c r="AE288" i="8" s="1"/>
  <c r="F288" i="8" s="1"/>
  <c r="AE275" i="8"/>
  <c r="AE276" i="8" s="1"/>
  <c r="F276" i="8" s="1"/>
  <c r="AE97" i="12"/>
  <c r="AE167" i="8"/>
  <c r="AE168" i="8" s="1"/>
  <c r="F168" i="8" s="1"/>
  <c r="AE61" i="12"/>
  <c r="F1471" i="8"/>
  <c r="AE99" i="12"/>
  <c r="AE283" i="8"/>
  <c r="AE284" i="8" s="1"/>
  <c r="F284" i="8" s="1"/>
  <c r="AE279" i="8"/>
  <c r="AE280" i="8" s="1"/>
  <c r="F280" i="8" s="1"/>
  <c r="AE98" i="12"/>
  <c r="AE211" i="8"/>
  <c r="AE212" i="8" s="1"/>
  <c r="F212" i="8" s="1"/>
  <c r="AE75" i="12"/>
  <c r="AC102" i="12"/>
  <c r="AC1546" i="8"/>
  <c r="AC1700" i="8"/>
  <c r="AC1714" i="8"/>
  <c r="AC1590" i="8"/>
  <c r="AE87" i="12"/>
  <c r="AE247" i="8"/>
  <c r="AE248" i="8" s="1"/>
  <c r="F248" i="8" s="1"/>
  <c r="AE263" i="8"/>
  <c r="AE264" i="8" s="1"/>
  <c r="F264" i="8" s="1"/>
  <c r="AE94" i="12"/>
  <c r="AC1702" i="8"/>
  <c r="AC1716" i="8"/>
  <c r="AC1592" i="8"/>
  <c r="AE219" i="8"/>
  <c r="AE220" i="8" s="1"/>
  <c r="F220" i="8" s="1"/>
  <c r="AE77" i="12"/>
  <c r="AE58" i="12"/>
  <c r="AE155" i="8"/>
  <c r="AE156" i="8" s="1"/>
  <c r="F156" i="8" s="1"/>
  <c r="AE207" i="8"/>
  <c r="AE208" i="8" s="1"/>
  <c r="F208" i="8" s="1"/>
  <c r="AE74" i="12"/>
  <c r="AE291" i="8"/>
  <c r="AE292" i="8" s="1"/>
  <c r="F292" i="8" s="1"/>
  <c r="AE101" i="12"/>
  <c r="AE271" i="8"/>
  <c r="AE272" i="8" s="1"/>
  <c r="F272" i="8" s="1"/>
  <c r="AE96" i="12"/>
  <c r="AE163" i="8"/>
  <c r="AE164" i="8" s="1"/>
  <c r="F164" i="8" s="1"/>
  <c r="AE60" i="12"/>
  <c r="AD642" i="2"/>
  <c r="AD1589" i="8" s="1"/>
  <c r="AE633" i="2"/>
  <c r="AD93" i="12"/>
  <c r="AD259" i="8"/>
  <c r="AD260" i="8" s="1"/>
  <c r="AE86" i="12"/>
  <c r="AE243" i="8"/>
  <c r="AE244" i="8" s="1"/>
  <c r="F244" i="8" s="1"/>
  <c r="AE71" i="12"/>
  <c r="AE195" i="8"/>
  <c r="AE196" i="8" s="1"/>
  <c r="F196" i="8" s="1"/>
  <c r="AE70" i="12"/>
  <c r="AE191" i="8"/>
  <c r="AE192" i="8" s="1"/>
  <c r="F192" i="8" s="1"/>
  <c r="AE82" i="12"/>
  <c r="AE227" i="8"/>
  <c r="AE228" i="8" s="1"/>
  <c r="F228" i="8" s="1"/>
  <c r="AC90" i="12"/>
  <c r="AC1545" i="8"/>
  <c r="AE63" i="12"/>
  <c r="AE175" i="8"/>
  <c r="AE176" i="8" s="1"/>
  <c r="F176" i="8" s="1"/>
  <c r="AE231" i="8"/>
  <c r="AE232" i="8" s="1"/>
  <c r="F232" i="8" s="1"/>
  <c r="AE83" i="12"/>
  <c r="AC1703" i="8"/>
  <c r="AC1717" i="8"/>
  <c r="AC1593" i="8"/>
  <c r="AD462" i="2"/>
  <c r="AD1586" i="8" s="1"/>
  <c r="AE453" i="2"/>
  <c r="AD57" i="12"/>
  <c r="AD151" i="8"/>
  <c r="AD152" i="8" s="1"/>
  <c r="AD223" i="8"/>
  <c r="AD224" i="8" s="1"/>
  <c r="AD582" i="2"/>
  <c r="AD1588" i="8" s="1"/>
  <c r="AD81" i="12"/>
  <c r="AE573" i="2"/>
  <c r="AE76" i="12"/>
  <c r="AE215" i="8"/>
  <c r="AE216" i="8" s="1"/>
  <c r="F216" i="8" s="1"/>
  <c r="AE267" i="8"/>
  <c r="AE268" i="8" s="1"/>
  <c r="F268" i="8" s="1"/>
  <c r="AE95" i="12"/>
  <c r="AE255" i="8"/>
  <c r="AE256" i="8" s="1"/>
  <c r="F256" i="8" s="1"/>
  <c r="AE89" i="12"/>
  <c r="AE84" i="12"/>
  <c r="AE235" i="8"/>
  <c r="AE236" i="8" s="1"/>
  <c r="F236" i="8" s="1"/>
  <c r="AC1544" i="8"/>
  <c r="AC78" i="12"/>
  <c r="AE513" i="2"/>
  <c r="AD187" i="8"/>
  <c r="AD188" i="8" s="1"/>
  <c r="AD69" i="12"/>
  <c r="AD522" i="2"/>
  <c r="AD1587" i="8" s="1"/>
  <c r="AB1526" i="8"/>
  <c r="AB1718" i="8"/>
  <c r="AE159" i="8"/>
  <c r="AE160" i="8" s="1"/>
  <c r="F160" i="8" s="1"/>
  <c r="AE59" i="12"/>
  <c r="AE199" i="8"/>
  <c r="AE200" i="8" s="1"/>
  <c r="F200" i="8" s="1"/>
  <c r="AE72" i="12"/>
  <c r="AE179" i="8"/>
  <c r="AE180" i="8" s="1"/>
  <c r="F180" i="8" s="1"/>
  <c r="AE64" i="12"/>
  <c r="AE239" i="8"/>
  <c r="AE240" i="8" s="1"/>
  <c r="F240" i="8" s="1"/>
  <c r="AE85" i="12"/>
  <c r="AE203" i="8"/>
  <c r="AE204" i="8" s="1"/>
  <c r="F204" i="8" s="1"/>
  <c r="AE73" i="12"/>
  <c r="AE62" i="12"/>
  <c r="AE171" i="8"/>
  <c r="AE172" i="8" s="1"/>
  <c r="F172" i="8" s="1"/>
  <c r="AC1543" i="8"/>
  <c r="AC66" i="12"/>
  <c r="AC1701" i="8"/>
  <c r="AC1715" i="8"/>
  <c r="AC1591" i="8"/>
  <c r="AE65" i="12"/>
  <c r="AE183" i="8"/>
  <c r="AE184" i="8" s="1"/>
  <c r="F184" i="8" s="1"/>
  <c r="AE88" i="12"/>
  <c r="AE251" i="8"/>
  <c r="AE252" i="8" s="1"/>
  <c r="F252" i="8" s="1"/>
  <c r="Z1866" i="8" l="1"/>
  <c r="Z91" i="17"/>
  <c r="Z92" i="17" s="1"/>
  <c r="Z94" i="17"/>
  <c r="Z95" i="17" s="1"/>
  <c r="AB60" i="17"/>
  <c r="AB61" i="17" s="1"/>
  <c r="AB65" i="17" s="1"/>
  <c r="Y1868" i="8"/>
  <c r="Y85" i="17"/>
  <c r="Y1867" i="8"/>
  <c r="Y1865" i="8"/>
  <c r="AA82" i="17"/>
  <c r="AA93" i="17"/>
  <c r="AB35" i="15"/>
  <c r="AB36" i="15" s="1"/>
  <c r="AB42" i="15" s="1"/>
  <c r="AA1844" i="8"/>
  <c r="AA1840" i="8"/>
  <c r="AA43" i="15"/>
  <c r="AA44" i="15" s="1"/>
  <c r="AA1855" i="8" s="1"/>
  <c r="Z1840" i="8"/>
  <c r="Z1844" i="8"/>
  <c r="Z43" i="15"/>
  <c r="Z67" i="17" s="1"/>
  <c r="Z68" i="17" s="1"/>
  <c r="Z81" i="17" s="1"/>
  <c r="Z83" i="17" s="1"/>
  <c r="AC76" i="15"/>
  <c r="AC34" i="15"/>
  <c r="AA45" i="15"/>
  <c r="AC1528" i="8"/>
  <c r="AC86" i="15"/>
  <c r="AB83" i="15"/>
  <c r="AB82" i="15"/>
  <c r="AB1852" i="8" s="1"/>
  <c r="AC1527" i="8"/>
  <c r="AC81" i="15"/>
  <c r="AB78" i="15"/>
  <c r="AB77" i="15"/>
  <c r="AB1851" i="8" s="1"/>
  <c r="AB93" i="15"/>
  <c r="AB92" i="15"/>
  <c r="AB1854" i="8" s="1"/>
  <c r="AC1529" i="8"/>
  <c r="AC91" i="15"/>
  <c r="AB88" i="15"/>
  <c r="AB87" i="15"/>
  <c r="AB1853" i="8" s="1"/>
  <c r="D1464" i="8"/>
  <c r="AD1582" i="8"/>
  <c r="AD1688" i="8"/>
  <c r="AD1583" i="8"/>
  <c r="AD1689" i="8"/>
  <c r="AD1585" i="8"/>
  <c r="AD1691" i="8"/>
  <c r="AD1690" i="8"/>
  <c r="AD1584" i="8"/>
  <c r="AE259" i="8"/>
  <c r="AE260" i="8" s="1"/>
  <c r="F260" i="8" s="1"/>
  <c r="AE642" i="2"/>
  <c r="AE1589" i="8" s="1"/>
  <c r="F1589" i="8" s="1"/>
  <c r="AE93" i="12"/>
  <c r="AC1526" i="8"/>
  <c r="AC1718" i="8"/>
  <c r="AE223" i="8"/>
  <c r="AE224" i="8" s="1"/>
  <c r="F224" i="8" s="1"/>
  <c r="AE582" i="2"/>
  <c r="AE1588" i="8" s="1"/>
  <c r="F1588" i="8" s="1"/>
  <c r="AE81" i="12"/>
  <c r="AD1544" i="8"/>
  <c r="AD78" i="12"/>
  <c r="AD90" i="12"/>
  <c r="AD1545" i="8"/>
  <c r="AD1701" i="8"/>
  <c r="AD1715" i="8"/>
  <c r="AD1591" i="8"/>
  <c r="AD1703" i="8"/>
  <c r="AD1717" i="8"/>
  <c r="AD1593" i="8"/>
  <c r="AD1702" i="8"/>
  <c r="AD1716" i="8"/>
  <c r="AD1592" i="8"/>
  <c r="AE69" i="12"/>
  <c r="AE187" i="8"/>
  <c r="AE188" i="8" s="1"/>
  <c r="F188" i="8" s="1"/>
  <c r="AE522" i="2"/>
  <c r="AE1587" i="8" s="1"/>
  <c r="F1587" i="8" s="1"/>
  <c r="AE57" i="12"/>
  <c r="AE151" i="8"/>
  <c r="AE152" i="8" s="1"/>
  <c r="F152" i="8" s="1"/>
  <c r="AE462" i="2"/>
  <c r="AE1586" i="8" s="1"/>
  <c r="F1586" i="8" s="1"/>
  <c r="AD66" i="12"/>
  <c r="AD1543" i="8"/>
  <c r="AD1700" i="8"/>
  <c r="AD1590" i="8"/>
  <c r="AD1714" i="8"/>
  <c r="AD102" i="12"/>
  <c r="AD1546" i="8"/>
  <c r="AA1866" i="8" l="1"/>
  <c r="AA91" i="17"/>
  <c r="AA94" i="17"/>
  <c r="AA95" i="17" s="1"/>
  <c r="Z1868" i="8"/>
  <c r="Z96" i="17"/>
  <c r="Z1865" i="8" s="1"/>
  <c r="AC60" i="17"/>
  <c r="AC61" i="17" s="1"/>
  <c r="AC65" i="17" s="1"/>
  <c r="AA92" i="17"/>
  <c r="AA96" i="17" s="1"/>
  <c r="Z85" i="17"/>
  <c r="Z1867" i="8"/>
  <c r="AB82" i="17"/>
  <c r="AB93" i="17"/>
  <c r="AC35" i="15"/>
  <c r="AC36" i="15" s="1"/>
  <c r="AA1841" i="8"/>
  <c r="AA67" i="17"/>
  <c r="AA68" i="17" s="1"/>
  <c r="AA81" i="17" s="1"/>
  <c r="AA83" i="17" s="1"/>
  <c r="Z1841" i="8"/>
  <c r="Z44" i="15"/>
  <c r="Z1855" i="8" s="1"/>
  <c r="AB1840" i="8"/>
  <c r="AB1844" i="8"/>
  <c r="AB43" i="15"/>
  <c r="AC83" i="15"/>
  <c r="AC82" i="15"/>
  <c r="AC1852" i="8" s="1"/>
  <c r="AB45" i="15"/>
  <c r="AC88" i="15"/>
  <c r="AC87" i="15"/>
  <c r="AC1853" i="8" s="1"/>
  <c r="AD1528" i="8"/>
  <c r="AD86" i="15"/>
  <c r="AD1529" i="8"/>
  <c r="AD91" i="15"/>
  <c r="AC93" i="15"/>
  <c r="AC92" i="15"/>
  <c r="AC1854" i="8" s="1"/>
  <c r="AD1527" i="8"/>
  <c r="AD81" i="15"/>
  <c r="AD76" i="15"/>
  <c r="AD34" i="15"/>
  <c r="AC77" i="15"/>
  <c r="AC1851" i="8" s="1"/>
  <c r="AC78" i="15"/>
  <c r="AE1585" i="8"/>
  <c r="F1585" i="8" s="1"/>
  <c r="AE1691" i="8"/>
  <c r="F1691" i="8" s="1"/>
  <c r="D3" i="8"/>
  <c r="AE1582" i="8"/>
  <c r="F1582" i="8" s="1"/>
  <c r="AE1688" i="8"/>
  <c r="F1688" i="8" s="1"/>
  <c r="AE1689" i="8"/>
  <c r="F1689" i="8" s="1"/>
  <c r="AE1583" i="8"/>
  <c r="F1583" i="8" s="1"/>
  <c r="AE1584" i="8"/>
  <c r="F1584" i="8" s="1"/>
  <c r="AE1690" i="8"/>
  <c r="F1690" i="8" s="1"/>
  <c r="AD1526" i="8"/>
  <c r="AD1718" i="8"/>
  <c r="AE1700" i="8"/>
  <c r="F1700" i="8" s="1"/>
  <c r="AE1714" i="8"/>
  <c r="F1714" i="8" s="1"/>
  <c r="AE1590" i="8"/>
  <c r="F1590" i="8" s="1"/>
  <c r="AE1701" i="8"/>
  <c r="F1701" i="8" s="1"/>
  <c r="AE1715" i="8"/>
  <c r="F1715" i="8" s="1"/>
  <c r="AE1591" i="8"/>
  <c r="F1591" i="8" s="1"/>
  <c r="AE78" i="12"/>
  <c r="AE1544" i="8"/>
  <c r="F1544" i="8" s="1"/>
  <c r="AE1545" i="8"/>
  <c r="F1545" i="8" s="1"/>
  <c r="AE90" i="12"/>
  <c r="AE1702" i="8"/>
  <c r="F1702" i="8" s="1"/>
  <c r="AE1716" i="8"/>
  <c r="F1716" i="8" s="1"/>
  <c r="AE1592" i="8"/>
  <c r="F1592" i="8" s="1"/>
  <c r="AE66" i="12"/>
  <c r="AE1543" i="8"/>
  <c r="F1543" i="8" s="1"/>
  <c r="AE1546" i="8"/>
  <c r="F1546" i="8" s="1"/>
  <c r="AE102" i="12"/>
  <c r="AE1703" i="8"/>
  <c r="F1703" i="8" s="1"/>
  <c r="AE1593" i="8"/>
  <c r="F1593" i="8" s="1"/>
  <c r="AE1717" i="8"/>
  <c r="F1717" i="8" s="1"/>
  <c r="AB94" i="17" l="1"/>
  <c r="AB95" i="17" s="1"/>
  <c r="AB1866" i="8"/>
  <c r="AB91" i="17"/>
  <c r="AB92" i="17" s="1"/>
  <c r="AB96" i="17" s="1"/>
  <c r="AD60" i="17"/>
  <c r="AD61" i="17" s="1"/>
  <c r="AD65" i="17" s="1"/>
  <c r="AA1868" i="8"/>
  <c r="AA85" i="17"/>
  <c r="AA1867" i="8"/>
  <c r="AA1865" i="8"/>
  <c r="AC82" i="17"/>
  <c r="AC93" i="17"/>
  <c r="AD35" i="15"/>
  <c r="AD36" i="15" s="1"/>
  <c r="AD42" i="15" s="1"/>
  <c r="AB1841" i="8"/>
  <c r="AB67" i="17"/>
  <c r="AB68" i="17" s="1"/>
  <c r="AB81" i="17" s="1"/>
  <c r="AB83" i="17" s="1"/>
  <c r="AB44" i="15"/>
  <c r="AB1855" i="8" s="1"/>
  <c r="AC45" i="15"/>
  <c r="AC42" i="15"/>
  <c r="AD88" i="15"/>
  <c r="AD87" i="15"/>
  <c r="AD1853" i="8" s="1"/>
  <c r="AD93" i="15"/>
  <c r="AD92" i="15"/>
  <c r="AD1854" i="8" s="1"/>
  <c r="AE1528" i="8"/>
  <c r="F1528" i="8" s="1"/>
  <c r="AE86" i="15"/>
  <c r="AE1527" i="8"/>
  <c r="F1527" i="8" s="1"/>
  <c r="AE81" i="15"/>
  <c r="AE76" i="15"/>
  <c r="AE34" i="15"/>
  <c r="AD82" i="15"/>
  <c r="AD1852" i="8" s="1"/>
  <c r="AD83" i="15"/>
  <c r="AD77" i="15"/>
  <c r="AD1851" i="8" s="1"/>
  <c r="AD78" i="15"/>
  <c r="AE1529" i="8"/>
  <c r="F1529" i="8" s="1"/>
  <c r="AE91" i="15"/>
  <c r="D1552" i="8"/>
  <c r="D1667" i="8"/>
  <c r="AE1526" i="8"/>
  <c r="F1526" i="8" s="1"/>
  <c r="AE1718" i="8"/>
  <c r="F1718" i="8" s="1"/>
  <c r="AE60" i="17" l="1"/>
  <c r="AC94" i="17"/>
  <c r="AC95" i="17" s="1"/>
  <c r="AC1866" i="8"/>
  <c r="AC91" i="17"/>
  <c r="AC92" i="17" s="1"/>
  <c r="AB1868" i="8"/>
  <c r="AB85" i="17"/>
  <c r="AB1867" i="8"/>
  <c r="AB1865" i="8"/>
  <c r="AD82" i="17"/>
  <c r="AD93" i="17"/>
  <c r="AE35" i="15"/>
  <c r="AE36" i="15" s="1"/>
  <c r="AE42" i="15" s="1"/>
  <c r="AE1844" i="8" s="1"/>
  <c r="AE61" i="17"/>
  <c r="AE65" i="17" s="1"/>
  <c r="AD1840" i="8"/>
  <c r="AD1844" i="8"/>
  <c r="AD43" i="15"/>
  <c r="AC1840" i="8"/>
  <c r="AC1844" i="8"/>
  <c r="AC43" i="15"/>
  <c r="AC67" i="17" s="1"/>
  <c r="AC68" i="17" s="1"/>
  <c r="AC81" i="17" s="1"/>
  <c r="AC83" i="17" s="1"/>
  <c r="D1520" i="8"/>
  <c r="AE82" i="15"/>
  <c r="AE1852" i="8" s="1"/>
  <c r="F1852" i="8" s="1"/>
  <c r="AE83" i="15"/>
  <c r="AE87" i="15"/>
  <c r="AE1853" i="8" s="1"/>
  <c r="F1853" i="8" s="1"/>
  <c r="AE88" i="15"/>
  <c r="AE77" i="15"/>
  <c r="AE1851" i="8" s="1"/>
  <c r="F1851" i="8" s="1"/>
  <c r="AE78" i="15"/>
  <c r="AD45" i="15"/>
  <c r="AE93" i="15"/>
  <c r="AE92" i="15"/>
  <c r="AE1854" i="8" s="1"/>
  <c r="F1854" i="8" s="1"/>
  <c r="AD1866" i="8" l="1"/>
  <c r="AD91" i="17"/>
  <c r="AD92" i="17" s="1"/>
  <c r="AD96" i="17" s="1"/>
  <c r="AD94" i="17"/>
  <c r="AD95" i="17" s="1"/>
  <c r="AC1868" i="8"/>
  <c r="AC96" i="17"/>
  <c r="AC1865" i="8" s="1"/>
  <c r="AC85" i="17"/>
  <c r="AC1867" i="8"/>
  <c r="AE43" i="15"/>
  <c r="AE44" i="15" s="1"/>
  <c r="AE1855" i="8" s="1"/>
  <c r="AE1840" i="8"/>
  <c r="F1840" i="8" s="1"/>
  <c r="AE82" i="17"/>
  <c r="AE93" i="17"/>
  <c r="AE94" i="17" s="1"/>
  <c r="AE45" i="15"/>
  <c r="AD1841" i="8"/>
  <c r="AD67" i="17"/>
  <c r="AD68" i="17" s="1"/>
  <c r="AD81" i="17" s="1"/>
  <c r="AD83" i="17" s="1"/>
  <c r="AD44" i="15"/>
  <c r="AD1855" i="8" s="1"/>
  <c r="F1844" i="8"/>
  <c r="AC1841" i="8"/>
  <c r="AC44" i="15"/>
  <c r="AC1855" i="8" s="1"/>
  <c r="AE1866" i="8" l="1"/>
  <c r="F1866" i="8" s="1"/>
  <c r="AE91" i="17"/>
  <c r="AE92" i="17" s="1"/>
  <c r="AD1868" i="8"/>
  <c r="AD85" i="17"/>
  <c r="AD1867" i="8"/>
  <c r="AD1865" i="8"/>
  <c r="AE67" i="17"/>
  <c r="AE68" i="17" s="1"/>
  <c r="AE81" i="17" s="1"/>
  <c r="AE83" i="17" s="1"/>
  <c r="AE1841" i="8"/>
  <c r="F1841" i="8" s="1"/>
  <c r="D1831" i="8" s="1"/>
  <c r="F1855" i="8"/>
  <c r="AE1868" i="8" l="1"/>
  <c r="F1868" i="8" s="1"/>
  <c r="AE96" i="17"/>
  <c r="AE1865" i="8" s="1"/>
  <c r="F1865" i="8" s="1"/>
  <c r="AE85" i="17"/>
  <c r="AE1867" i="8"/>
  <c r="F1867" i="8" s="1"/>
  <c r="D1861" i="8" l="1"/>
</calcChain>
</file>

<file path=xl/sharedStrings.xml><?xml version="1.0" encoding="utf-8"?>
<sst xmlns="http://schemas.openxmlformats.org/spreadsheetml/2006/main" count="17085" uniqueCount="3800">
  <si>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</si>
  <si>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</si>
  <si>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</si>
  <si>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</si>
  <si>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</si>
  <si>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</si>
  <si>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</si>
  <si>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</si>
  <si>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</si>
  <si>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</si>
  <si>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</si>
  <si>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</si>
  <si>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</si>
  <si>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</si>
  <si>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</si>
  <si>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</si>
  <si>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</si>
  <si>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</si>
  <si>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</si>
  <si>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</si>
  <si>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</si>
  <si>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</si>
  <si>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</si>
  <si>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</si>
  <si>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</si>
  <si>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</si>
  <si>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</si>
  <si>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</si>
  <si>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</si>
  <si>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</si>
  <si>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</si>
  <si>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</si>
  <si>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</si>
  <si>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</si>
  <si>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</si>
  <si>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</si>
  <si>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</si>
  <si>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</si>
  <si>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</si>
  <si>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</si>
  <si>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</si>
  <si>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</si>
  <si>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</si>
  <si>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</si>
  <si>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</si>
  <si>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</si>
  <si>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</si>
  <si>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</si>
  <si>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</si>
  <si>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</si>
  <si>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</si>
  <si>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</si>
  <si>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</si>
  <si>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</si>
  <si>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</si>
  <si>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</si>
  <si>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</si>
  <si>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</si>
  <si>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</si>
  <si>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</si>
  <si>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</si>
  <si>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</si>
  <si>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</si>
  <si>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</si>
  <si>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</si>
  <si>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</si>
  <si>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</si>
  <si>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</si>
  <si>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</si>
  <si>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</si>
  <si>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</si>
  <si>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</si>
  <si>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</si>
  <si>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</si>
  <si>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</si>
  <si>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</si>
  <si>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</si>
  <si>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</si>
  <si>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</si>
  <si>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</si>
  <si>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</si>
  <si>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</si>
  <si>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</si>
  <si>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</si>
  <si>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</si>
  <si>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</si>
  <si>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</si>
  <si>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</si>
  <si>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</si>
  <si>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</si>
  <si>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</si>
  <si>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</si>
  <si>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</si>
  <si>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</si>
  <si>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</si>
  <si>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</si>
  <si>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</si>
  <si>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</si>
  <si>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</si>
  <si>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</si>
  <si>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</si>
  <si>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</si>
  <si>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</si>
  <si>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</si>
  <si>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</si>
  <si>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</si>
  <si>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</si>
  <si>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</si>
  <si>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</si>
  <si>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</si>
  <si>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</si>
  <si>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</si>
  <si>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</si>
  <si>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</si>
  <si>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</si>
  <si>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</si>
  <si>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</si>
  <si>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</si>
  <si>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</si>
  <si>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</si>
  <si>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</si>
  <si>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</si>
  <si>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</si>
  <si>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</si>
  <si>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</si>
  <si>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</si>
  <si>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</si>
  <si>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</si>
  <si>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</si>
  <si>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</si>
  <si>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</si>
  <si>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</si>
  <si>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</si>
  <si>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</si>
  <si>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</si>
  <si>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</si>
  <si>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</si>
  <si>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</si>
  <si>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</si>
  <si>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</si>
  <si>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</si>
  <si>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</si>
  <si>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</si>
  <si>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</si>
  <si>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</si>
  <si>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</si>
  <si>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</si>
  <si>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</si>
  <si>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</si>
  <si>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</si>
  <si>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</si>
  <si>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</si>
  <si>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</si>
  <si>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</si>
  <si>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</si>
  <si>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</si>
  <si>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</si>
  <si>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</si>
  <si>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</si>
  <si>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</si>
  <si>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</si>
  <si>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</si>
  <si>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</si>
  <si>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</si>
  <si>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</si>
  <si>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</si>
  <si>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</si>
  <si>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</si>
  <si>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</si>
  <si>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</si>
  <si>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</si>
  <si>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</si>
  <si>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</si>
  <si>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</si>
  <si>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</si>
  <si>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</si>
  <si>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</si>
  <si>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</si>
  <si>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</si>
  <si>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</si>
  <si>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</si>
  <si>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</si>
  <si>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</si>
  <si>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</si>
  <si>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</si>
  <si>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</si>
  <si>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</si>
  <si>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</si>
  <si>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</si>
  <si>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</si>
  <si>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</si>
  <si>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</si>
  <si>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</si>
  <si>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</si>
  <si>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</si>
  <si>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</si>
  <si>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</si>
  <si>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</si>
  <si>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</si>
  <si>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</si>
  <si>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</si>
  <si>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</si>
  <si>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</si>
  <si>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</si>
  <si>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</si>
  <si>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</si>
  <si>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</si>
  <si>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</si>
  <si>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</si>
  <si>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</si>
  <si>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</si>
  <si>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</si>
  <si>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</si>
  <si>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</si>
  <si>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</si>
  <si>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</si>
  <si>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</si>
  <si>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</si>
  <si>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</si>
  <si>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</si>
  <si>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</si>
  <si>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</si>
  <si>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</si>
  <si>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</si>
  <si>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</si>
  <si>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</si>
  <si>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</si>
  <si>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</si>
  <si>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</si>
  <si>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</si>
  <si>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</si>
  <si>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</si>
  <si>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</si>
  <si>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</si>
  <si>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</si>
  <si>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</si>
  <si>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</si>
  <si>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</si>
  <si>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</si>
  <si>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</si>
  <si>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</si>
  <si>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</si>
  <si>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</si>
  <si>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</si>
  <si>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</si>
  <si>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</si>
  <si>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</si>
  <si>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</si>
  <si>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</si>
  <si>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</si>
  <si>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</si>
  <si>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</si>
  <si>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</si>
  <si>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</si>
  <si>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</si>
  <si>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</si>
  <si>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</si>
  <si>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</si>
  <si>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</si>
  <si>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</si>
  <si>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</si>
  <si>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</si>
  <si>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</si>
  <si>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</si>
  <si>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</si>
  <si>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</si>
  <si>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</si>
  <si>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</si>
  <si>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</si>
  <si>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</si>
  <si>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</si>
  <si>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</si>
  <si>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</si>
  <si>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</si>
  <si>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</si>
  <si>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</si>
  <si>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</si>
  <si>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</si>
  <si>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</si>
  <si>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</si>
  <si>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</si>
  <si>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</si>
  <si>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</si>
  <si>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</si>
  <si>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</si>
  <si>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</si>
  <si>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</si>
  <si>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</si>
  <si>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</si>
  <si>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</si>
  <si>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</si>
  <si>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</si>
  <si>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</si>
  <si>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</si>
  <si>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</si>
  <si>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</si>
  <si>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</si>
  <si>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</si>
  <si>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</si>
  <si>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</si>
  <si>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</si>
  <si>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</si>
  <si>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</si>
  <si>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</si>
  <si>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</si>
  <si>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</si>
  <si>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</si>
  <si>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</si>
  <si>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</si>
  <si>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</si>
  <si>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</si>
  <si>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</si>
  <si>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</si>
  <si>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</si>
  <si>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</si>
  <si>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</si>
  <si>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</si>
  <si>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</si>
  <si>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</si>
  <si>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</si>
  <si>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</si>
  <si>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</si>
  <si>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</si>
  <si>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</si>
  <si>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</si>
  <si>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</si>
  <si>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</si>
  <si>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</si>
  <si>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</si>
  <si>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</si>
  <si>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</si>
  <si>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</si>
  <si>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</si>
  <si>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</si>
  <si>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</si>
  <si>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</si>
  <si>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</si>
  <si>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</si>
  <si>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</si>
  <si>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</si>
  <si>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</si>
  <si>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</si>
  <si>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</si>
  <si>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</si>
  <si>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</si>
  <si>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</si>
  <si>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</si>
  <si>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</si>
  <si>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</si>
  <si>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</si>
  <si>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</si>
  <si>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</si>
  <si>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</si>
  <si>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</si>
  <si>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</si>
  <si>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</si>
  <si>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</si>
  <si>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</si>
  <si>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</si>
  <si>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</si>
  <si>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</si>
  <si>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</si>
  <si>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</si>
  <si>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</si>
  <si>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</si>
  <si>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</si>
  <si>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</si>
  <si>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</si>
  <si>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</si>
  <si>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</si>
  <si>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</si>
  <si>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</si>
  <si>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</si>
  <si>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</si>
  <si>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</si>
  <si>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</si>
  <si>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</si>
  <si>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</si>
  <si>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</si>
  <si>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</si>
  <si>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</si>
  <si>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</si>
  <si>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</si>
  <si>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</si>
  <si>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</si>
  <si>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</si>
  <si>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</si>
  <si>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</si>
  <si>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</si>
  <si>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</si>
  <si>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</si>
  <si>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</si>
  <si>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</si>
  <si>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</si>
  <si>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</si>
  <si>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</si>
  <si>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</si>
  <si>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</si>
  <si>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</si>
  <si>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</si>
  <si>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</si>
  <si>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</si>
  <si>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</si>
  <si>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</si>
  <si>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</si>
  <si>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</si>
  <si>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</si>
  <si>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</si>
  <si>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</si>
  <si>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</si>
  <si>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</si>
  <si>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</si>
  <si>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</si>
  <si>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</si>
  <si>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</si>
  <si>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</si>
  <si>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</si>
  <si>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</si>
  <si>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</si>
  <si>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</si>
  <si>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</si>
  <si>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</si>
  <si>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</si>
  <si>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</si>
  <si>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</si>
  <si>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</si>
  <si>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</si>
  <si>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</si>
  <si>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</si>
  <si>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</si>
  <si>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</si>
  <si>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</si>
  <si>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</si>
  <si>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</si>
  <si>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</si>
  <si>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</si>
  <si>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</si>
  <si>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</si>
  <si>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</si>
  <si>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</si>
  <si>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</si>
  <si>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</si>
  <si>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</si>
  <si>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</si>
  <si>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</si>
  <si>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</si>
  <si>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</si>
  <si>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</si>
  <si>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</si>
  <si>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</si>
  <si>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</si>
  <si>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</si>
  <si>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</si>
  <si>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</si>
  <si>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</si>
  <si>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</si>
  <si>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</si>
  <si>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</si>
  <si>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</si>
  <si>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</si>
  <si>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</si>
  <si>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</si>
  <si>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</si>
  <si>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</si>
  <si>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</si>
  <si>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</si>
  <si>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</si>
  <si>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</si>
  <si>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</si>
  <si>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</si>
  <si>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</si>
  <si>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</si>
  <si>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</si>
  <si>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</si>
  <si>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</si>
  <si>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</si>
  <si>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</si>
  <si>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</si>
  <si>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</si>
  <si>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</si>
  <si>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</si>
  <si>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</si>
  <si>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</si>
  <si>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</si>
  <si>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</si>
  <si>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</si>
  <si>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</si>
  <si>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</si>
  <si>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</si>
  <si>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</si>
  <si>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</si>
  <si>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</si>
  <si>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</si>
  <si>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</si>
  <si>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</si>
  <si>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</si>
  <si>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</si>
  <si>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</si>
  <si>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</si>
  <si>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</si>
  <si>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</si>
  <si>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</si>
  <si>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</si>
  <si>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</si>
  <si>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</si>
  <si>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</si>
  <si>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</si>
  <si>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</si>
  <si>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</si>
  <si>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</si>
  <si>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</si>
  <si>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</si>
  <si>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</si>
  <si>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</si>
  <si>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</si>
  <si>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</si>
  <si>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</si>
  <si>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</si>
  <si>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</si>
  <si>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</si>
  <si>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</si>
  <si>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</si>
  <si>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</si>
  <si>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</si>
  <si>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</si>
  <si>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</si>
  <si>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</si>
  <si>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</si>
  <si>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</si>
  <si>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</si>
  <si>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</si>
  <si>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</si>
  <si>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</si>
  <si>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</si>
  <si>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</si>
  <si>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</si>
  <si>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</si>
  <si>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</si>
  <si>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</si>
  <si>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</si>
  <si>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</si>
  <si>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</si>
  <si>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</si>
  <si>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</si>
  <si>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</si>
  <si>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</si>
  <si>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</si>
  <si>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</si>
  <si>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</si>
  <si>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</si>
  <si>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</si>
  <si>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</si>
  <si>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</si>
  <si>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</si>
  <si>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</si>
  <si>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</si>
  <si>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</si>
  <si>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</si>
  <si>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</si>
  <si>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</si>
  <si>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</si>
  <si>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</si>
  <si>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</si>
  <si>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</si>
  <si>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</si>
  <si>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</si>
  <si>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</si>
  <si>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</si>
  <si>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</si>
  <si>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</si>
  <si>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</si>
  <si>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</si>
  <si>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</si>
  <si>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</si>
  <si>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</si>
  <si>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</si>
  <si>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</si>
  <si>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</si>
  <si>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</si>
  <si>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</si>
  <si>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</si>
  <si>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</si>
  <si>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</si>
  <si>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</si>
  <si>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</si>
  <si>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</si>
  <si>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</si>
  <si>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</si>
  <si>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</si>
  <si>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</si>
  <si>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</si>
  <si>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</si>
  <si>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</si>
  <si>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</si>
  <si>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</si>
  <si>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</si>
  <si>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</si>
  <si>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</si>
  <si>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</si>
  <si>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</si>
  <si>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</si>
  <si>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</si>
  <si>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</si>
  <si>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</si>
  <si>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</si>
  <si>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</si>
  <si>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</si>
  <si>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</si>
  <si>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</si>
  <si>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</si>
  <si>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</si>
  <si>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</si>
  <si>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</si>
  <si>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</si>
  <si>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</si>
  <si>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</si>
  <si>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</si>
  <si>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</si>
  <si>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</si>
  <si>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</si>
  <si>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</si>
  <si>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</si>
  <si>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</si>
  <si>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</si>
  <si>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</si>
  <si>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</si>
  <si>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</si>
  <si>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</si>
  <si>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</si>
  <si>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</si>
  <si>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</si>
  <si>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</si>
  <si>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</si>
  <si>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</si>
  <si>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</si>
  <si>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</si>
  <si>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</si>
  <si>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</si>
  <si>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</si>
  <si>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</si>
  <si>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</si>
  <si>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</si>
  <si>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</si>
  <si>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</si>
  <si>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</si>
  <si>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</si>
  <si>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</si>
  <si>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</si>
  <si>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</si>
  <si>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</si>
  <si>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</si>
  <si>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</si>
  <si>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</si>
  <si>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</si>
  <si>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</si>
  <si>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</si>
  <si>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</si>
  <si>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</si>
  <si>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</si>
  <si>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</si>
  <si>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</si>
  <si>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</si>
  <si>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</si>
  <si>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</si>
  <si>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</si>
  <si>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</si>
  <si>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</si>
  <si>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</si>
  <si>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</si>
  <si>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</si>
  <si>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</si>
  <si>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</si>
  <si>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</si>
  <si>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</si>
  <si>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</si>
  <si>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</si>
  <si>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</si>
  <si>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</si>
  <si>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</si>
  <si>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</si>
  <si>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</si>
  <si>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</si>
  <si>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</si>
  <si>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</si>
  <si>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</si>
  <si>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</si>
  <si>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</si>
  <si>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</si>
  <si>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</si>
  <si>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</si>
  <si>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</si>
  <si>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</si>
  <si>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</si>
  <si>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</si>
  <si>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</si>
  <si>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</si>
  <si>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</si>
  <si>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</si>
  <si>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</si>
  <si>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</si>
  <si>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</si>
  <si>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</si>
  <si>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</si>
  <si>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</si>
  <si>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</si>
  <si>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</si>
  <si>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</si>
  <si>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</si>
  <si>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</si>
  <si>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</si>
  <si>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</si>
  <si>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</si>
  <si>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</si>
  <si>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</si>
  <si>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</si>
  <si>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</si>
  <si>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</si>
  <si>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</si>
  <si>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</si>
  <si>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</si>
  <si>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</si>
  <si>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</si>
  <si>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</si>
  <si>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</si>
  <si>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</si>
  <si>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</si>
  <si>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</si>
  <si>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</si>
  <si>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</si>
  <si>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</si>
  <si>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</si>
  <si>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</si>
  <si>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</si>
  <si>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</si>
  <si>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</si>
  <si>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</si>
  <si>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</si>
  <si>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</si>
  <si>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</si>
  <si>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</si>
  <si>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</si>
  <si>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</si>
  <si>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</si>
  <si>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</si>
  <si>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</si>
  <si>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</si>
  <si>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</si>
  <si>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</si>
  <si>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</si>
  <si>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</si>
  <si>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</si>
  <si>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</si>
  <si>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</si>
  <si>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</si>
  <si>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</si>
  <si>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</si>
  <si>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</si>
  <si>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</si>
  <si>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</si>
  <si>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</si>
  <si>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</si>
  <si>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</si>
  <si>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</si>
  <si>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</si>
  <si>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</si>
  <si>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</si>
  <si>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</si>
  <si>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</si>
  <si>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</si>
  <si>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</si>
  <si>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</si>
  <si>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</si>
  <si>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</si>
  <si>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</si>
  <si>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</si>
  <si>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</si>
  <si>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</si>
  <si>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</si>
  <si>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</si>
  <si>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</si>
  <si>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</si>
  <si>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</si>
  <si>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</si>
  <si>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</si>
  <si>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</si>
  <si>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</si>
  <si>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</si>
  <si>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</si>
  <si>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</si>
  <si>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</si>
  <si>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</si>
  <si>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</si>
  <si>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</si>
  <si>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</si>
  <si>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</si>
  <si>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</si>
  <si>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</si>
  <si>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</si>
  <si>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</si>
  <si>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</si>
  <si>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</si>
  <si>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</si>
  <si>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</si>
  <si>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</si>
  <si>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</si>
  <si>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</si>
  <si>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</si>
  <si>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</si>
  <si>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</si>
  <si>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</si>
  <si>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</si>
  <si>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</si>
  <si>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</si>
  <si>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</si>
  <si>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</si>
  <si>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</si>
  <si>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</si>
  <si>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</si>
  <si>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</si>
  <si>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</si>
  <si>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</si>
  <si>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</si>
  <si>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</si>
  <si>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</si>
  <si>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</si>
  <si>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</si>
  <si>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</si>
  <si>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</si>
  <si>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</si>
  <si>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</si>
  <si>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</si>
  <si>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</si>
  <si>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</si>
  <si>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</si>
  <si>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</si>
  <si>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</si>
  <si>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</si>
  <si>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</si>
  <si>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</si>
  <si>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</si>
  <si>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</si>
  <si>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</si>
  <si>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</si>
  <si>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</si>
  <si>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</si>
  <si>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</si>
  <si>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</si>
  <si>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</si>
  <si>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</si>
  <si>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</si>
  <si>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</si>
  <si>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</si>
  <si>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</si>
  <si>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</si>
  <si>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</si>
  <si>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</si>
  <si>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</si>
  <si>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</si>
  <si>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</si>
  <si>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</si>
  <si>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</si>
  <si>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</si>
  <si>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</si>
  <si>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</si>
  <si>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</si>
  <si>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</si>
  <si>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</si>
  <si>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</si>
  <si>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</si>
  <si>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</si>
  <si>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</si>
  <si>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</si>
  <si>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</si>
  <si>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</si>
  <si>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</si>
  <si>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</si>
  <si>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</si>
  <si>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</si>
  <si>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</si>
  <si>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</si>
  <si>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</si>
  <si>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</si>
  <si>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</si>
  <si>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</si>
  <si>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</si>
  <si>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</si>
  <si>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</si>
  <si>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</si>
  <si>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</si>
  <si>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</si>
  <si>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</si>
  <si>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</si>
  <si>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</si>
  <si>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</si>
  <si>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</si>
  <si>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</si>
  <si>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</si>
  <si>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</si>
  <si>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</si>
  <si>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</si>
  <si>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</si>
  <si>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</si>
  <si>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</si>
  <si>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</si>
  <si>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</si>
  <si>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</si>
  <si>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</si>
  <si>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</si>
  <si>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</si>
  <si>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</si>
  <si>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</si>
  <si>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</si>
  <si>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</si>
  <si>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</si>
  <si>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</si>
  <si>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</si>
  <si>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</si>
  <si>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</si>
  <si>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</si>
  <si>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</si>
  <si>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</si>
  <si>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</si>
  <si>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</si>
  <si>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</si>
  <si>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</si>
  <si>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</si>
  <si>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</si>
  <si>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</si>
  <si>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</si>
  <si>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</si>
  <si>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</si>
  <si>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</si>
  <si>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</si>
  <si>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</si>
  <si>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</si>
  <si>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</si>
  <si>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</si>
  <si>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</si>
  <si>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</si>
  <si>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</si>
  <si>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</si>
  <si>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</si>
  <si>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</si>
  <si>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</si>
  <si>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</si>
  <si>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</si>
  <si>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</si>
  <si>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</si>
  <si>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</si>
  <si>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</si>
  <si>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</si>
  <si>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</si>
  <si>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</si>
  <si>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</si>
  <si>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</si>
  <si>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</si>
  <si>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</si>
  <si>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</si>
  <si>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</si>
  <si>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</si>
  <si>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</si>
  <si>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</si>
  <si>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</si>
  <si>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</si>
  <si>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</si>
  <si>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</si>
  <si>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</si>
  <si>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</si>
  <si>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</si>
  <si>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</si>
  <si>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</si>
  <si>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</si>
  <si>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</si>
  <si>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</si>
  <si>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</si>
  <si>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</si>
  <si>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</si>
  <si>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</si>
  <si>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</si>
  <si>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</si>
  <si>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</si>
  <si>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</si>
  <si>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</si>
  <si>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</si>
  <si>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</si>
  <si>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</si>
  <si>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</si>
  <si>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</si>
  <si>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</si>
  <si>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</si>
  <si>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</si>
  <si>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</si>
  <si>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</si>
  <si>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</si>
  <si>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</si>
  <si>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</si>
  <si>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</si>
  <si>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</si>
  <si>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</si>
  <si>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</si>
  <si>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</si>
  <si>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</si>
  <si>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</si>
  <si>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</si>
  <si>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</si>
  <si>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</si>
  <si>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</si>
  <si>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</si>
  <si>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</si>
  <si>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</si>
  <si>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</si>
  <si>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</si>
  <si>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</si>
  <si>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</si>
  <si>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</si>
  <si>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</si>
  <si>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</si>
  <si>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</si>
  <si>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</si>
  <si>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</si>
  <si>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</si>
  <si>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</si>
  <si>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</si>
  <si>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</si>
  <si>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</si>
  <si>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</si>
  <si>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</si>
  <si>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</si>
  <si>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</si>
  <si>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</si>
  <si>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</si>
  <si>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</si>
  <si>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</si>
  <si>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</si>
  <si>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</si>
  <si>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</si>
  <si>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</si>
  <si>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</si>
  <si>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</si>
  <si>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</si>
  <si>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</si>
  <si>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</si>
  <si>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</si>
  <si>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</si>
  <si>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</si>
  <si>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</si>
  <si>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</si>
  <si>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</si>
  <si>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</si>
  <si>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</si>
  <si>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</si>
  <si>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</si>
  <si>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</si>
  <si>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</si>
  <si>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</si>
  <si>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</si>
  <si>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</si>
  <si>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</si>
  <si>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</si>
  <si>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</si>
  <si>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</si>
  <si>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</si>
  <si>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</si>
  <si>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</si>
  <si>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</si>
  <si>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</si>
  <si>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</si>
  <si>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</si>
  <si>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</si>
  <si>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</si>
  <si>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</si>
  <si>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</si>
  <si>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</si>
  <si>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</si>
  <si>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</si>
  <si>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</si>
  <si>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</si>
  <si>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</si>
  <si>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</si>
  <si>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</si>
  <si>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</si>
  <si>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</si>
  <si>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</si>
  <si>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</si>
  <si>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</si>
  <si>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</si>
  <si>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</si>
  <si>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</si>
  <si>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</si>
  <si>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</si>
  <si>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</si>
  <si>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</si>
  <si>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</si>
  <si>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</si>
  <si>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</si>
  <si>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</si>
  <si>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</si>
  <si>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</si>
  <si>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</si>
  <si>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</si>
  <si>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</si>
  <si>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</si>
  <si>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</si>
  <si>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</si>
  <si>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</si>
  <si>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</si>
  <si>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</si>
  <si>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</si>
  <si>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</si>
  <si>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</si>
  <si>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</si>
  <si>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</si>
  <si>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</si>
  <si>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</si>
  <si>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</si>
  <si>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</si>
  <si>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</si>
  <si>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</si>
  <si>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</si>
  <si>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</si>
  <si>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</si>
  <si>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</si>
  <si>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</si>
  <si>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</si>
  <si>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</si>
  <si>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</si>
  <si>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</si>
  <si>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</si>
  <si>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</si>
  <si>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</si>
  <si>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</si>
  <si>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</si>
  <si>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</si>
  <si>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</si>
  <si>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</si>
  <si>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</si>
  <si>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</si>
  <si>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</si>
  <si>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</si>
  <si>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</si>
  <si>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</si>
  <si>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</si>
  <si>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</si>
  <si>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</si>
  <si>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</si>
  <si>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</si>
  <si>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</si>
  <si>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</si>
  <si>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</si>
  <si>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</si>
  <si>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</si>
  <si>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</si>
  <si>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</si>
  <si>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</si>
  <si>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</si>
  <si>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</si>
  <si>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</si>
  <si>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</si>
  <si>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</si>
  <si>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</si>
  <si>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</si>
  <si>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</si>
  <si>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</si>
  <si>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</si>
  <si>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</si>
  <si>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</si>
  <si>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</si>
  <si>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</si>
  <si>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</si>
  <si>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</si>
  <si>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</si>
  <si>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</si>
  <si>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</si>
  <si>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</si>
  <si>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</si>
  <si>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</si>
  <si>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</si>
  <si>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</si>
  <si>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</si>
  <si>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</si>
  <si>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</si>
  <si>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</si>
  <si>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</si>
  <si>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</si>
  <si>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</si>
  <si>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</si>
  <si>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</si>
  <si>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</si>
  <si>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</si>
  <si>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</si>
  <si>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</si>
  <si>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</si>
  <si>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</si>
  <si>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</si>
  <si>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</si>
  <si>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</si>
  <si>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</si>
  <si>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</si>
  <si>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</si>
  <si>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</si>
  <si>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</si>
  <si>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</si>
  <si>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</si>
  <si>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</si>
  <si>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</si>
  <si>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</si>
  <si>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</si>
  <si>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</si>
  <si>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</si>
  <si>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</si>
  <si>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</si>
  <si>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</si>
  <si>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</si>
  <si>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</si>
  <si>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</si>
  <si>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</si>
  <si>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</si>
  <si>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</si>
  <si>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</si>
  <si>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</si>
  <si>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</si>
  <si>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</si>
  <si>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</si>
  <si>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</si>
  <si>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</si>
  <si>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</si>
  <si>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</si>
  <si>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</si>
  <si>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</si>
  <si>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</si>
  <si>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</si>
  <si>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</si>
  <si>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</si>
  <si>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</si>
  <si>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</si>
  <si>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</si>
  <si>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</si>
  <si>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</si>
  <si>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</si>
  <si>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</si>
  <si>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</si>
  <si>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</si>
  <si>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</si>
  <si>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</si>
  <si>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</si>
  <si>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</si>
  <si>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</si>
  <si>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</si>
  <si>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</si>
  <si>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</si>
  <si>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</si>
  <si>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</si>
  <si>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</si>
  <si>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</si>
  <si>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</si>
  <si>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</si>
  <si>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</si>
  <si>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</si>
  <si>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</si>
  <si>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</si>
  <si>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</si>
  <si>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</si>
  <si>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</si>
  <si>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</si>
  <si>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</si>
  <si>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</si>
  <si>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</si>
  <si>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</si>
  <si>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</si>
  <si>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</si>
  <si>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</si>
  <si>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</si>
  <si>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</si>
  <si>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</si>
  <si>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</si>
  <si>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</si>
  <si>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</si>
  <si>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</si>
  <si>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</si>
  <si>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</si>
  <si>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</si>
  <si>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</si>
  <si>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</si>
  <si>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</si>
  <si>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</si>
  <si>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</si>
  <si>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</si>
  <si>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</si>
  <si>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</si>
  <si>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</si>
  <si>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</si>
  <si>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</si>
  <si>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</si>
  <si>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</si>
  <si>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</si>
  <si>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</si>
  <si>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</si>
  <si>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</si>
  <si>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</si>
  <si>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</si>
  <si>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</si>
  <si>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</si>
  <si>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</si>
  <si>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</si>
  <si>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</si>
  <si>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</si>
  <si>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</si>
  <si>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</si>
  <si>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</si>
  <si>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</si>
  <si>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</si>
  <si>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</si>
  <si>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</si>
  <si>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</si>
  <si>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</si>
  <si>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</si>
  <si>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</si>
  <si>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</si>
  <si>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</si>
  <si>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</si>
  <si>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</si>
  <si>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</si>
  <si>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</si>
  <si>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</si>
  <si>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</si>
  <si>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</si>
  <si>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</si>
  <si>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</si>
  <si>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</si>
  <si>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</si>
  <si>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</si>
  <si>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</si>
  <si>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</si>
  <si>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</si>
  <si>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</si>
  <si>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</si>
  <si>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</si>
  <si>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</si>
  <si>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</si>
  <si>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</si>
  <si>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</si>
  <si>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</si>
  <si>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</si>
  <si>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</si>
  <si>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</si>
  <si>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</si>
  <si>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</si>
  <si>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</si>
  <si>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</si>
  <si>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</si>
  <si>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</si>
  <si>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</si>
  <si>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</si>
  <si>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</si>
  <si>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</si>
  <si>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</si>
  <si>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</si>
  <si>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</si>
  <si>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</si>
  <si>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</si>
  <si>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</si>
  <si>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</si>
  <si>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</si>
  <si>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</si>
  <si>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</si>
  <si>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</si>
  <si>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</si>
  <si>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</si>
  <si>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</si>
  <si>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</si>
  <si>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</si>
  <si>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</si>
  <si>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</si>
  <si>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</si>
  <si>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</si>
  <si>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</si>
  <si>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</si>
  <si>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</si>
  <si>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</si>
  <si>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</si>
  <si>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</si>
  <si>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</si>
  <si>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</si>
  <si>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</si>
  <si>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</si>
  <si>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</si>
  <si>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</si>
  <si>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</si>
  <si>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</si>
  <si>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</si>
  <si>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</si>
  <si>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</si>
  <si>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</si>
  <si>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</si>
  <si>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</si>
  <si>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</si>
  <si>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</si>
  <si>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</si>
  <si>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</si>
  <si>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</si>
  <si>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</si>
  <si>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</si>
  <si>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</si>
  <si>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</si>
  <si>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</si>
  <si>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</si>
  <si>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</si>
  <si>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</si>
  <si>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</si>
  <si>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</si>
  <si>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</si>
  <si>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</si>
  <si>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</si>
  <si>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</si>
  <si>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</si>
  <si>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</si>
  <si>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</si>
  <si>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</si>
  <si>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</si>
  <si>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</si>
  <si>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</si>
  <si>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</si>
  <si>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</si>
  <si>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</si>
  <si>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</si>
  <si>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</si>
  <si>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</si>
  <si>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</si>
  <si>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</si>
  <si>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</si>
  <si>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</si>
  <si>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</si>
  <si>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</si>
  <si>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</si>
  <si>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</si>
  <si>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</si>
  <si>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</si>
  <si>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</si>
  <si>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</si>
  <si>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</si>
  <si>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</si>
  <si>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</si>
  <si>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</si>
  <si>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</si>
  <si>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</si>
  <si>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</si>
  <si>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</si>
  <si>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</si>
  <si>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</si>
  <si>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</si>
  <si>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</si>
  <si>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</si>
  <si>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</si>
  <si>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</si>
  <si>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</si>
  <si>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</si>
  <si>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</si>
  <si>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</si>
  <si>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</si>
  <si>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</si>
  <si>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</si>
  <si>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</si>
  <si>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</si>
  <si>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</si>
  <si>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</si>
  <si>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</si>
  <si>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</si>
  <si>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</si>
  <si>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</si>
  <si>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</si>
  <si>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</si>
  <si>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</si>
  <si>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</si>
  <si>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</si>
  <si>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</si>
  <si>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</si>
  <si>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</si>
  <si>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</si>
  <si>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</si>
  <si>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</si>
  <si>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</si>
  <si>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</si>
  <si>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</si>
  <si>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</si>
  <si>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</si>
  <si>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</si>
  <si>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</si>
  <si>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</si>
  <si>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</si>
  <si>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</si>
  <si>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</si>
  <si>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</si>
  <si>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</si>
  <si>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</si>
  <si>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</si>
  <si>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</si>
  <si>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</si>
  <si>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</si>
  <si>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</si>
  <si>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</si>
  <si>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</si>
  <si>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</si>
  <si>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</si>
  <si>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</si>
  <si>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</si>
  <si>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</si>
  <si>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</si>
  <si>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</si>
  <si>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</si>
  <si>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</si>
  <si>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</si>
  <si>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</si>
  <si>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</si>
  <si>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</si>
  <si>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</si>
  <si>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</si>
  <si>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</si>
  <si>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</si>
  <si>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</si>
  <si>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</si>
  <si>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</si>
  <si>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</si>
  <si>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</si>
  <si>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</si>
  <si>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</si>
  <si>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</si>
  <si>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</si>
  <si>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</si>
  <si>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</si>
  <si>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</si>
  <si>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</si>
  <si>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</si>
  <si>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</si>
  <si>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</si>
  <si>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</si>
  <si>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</si>
  <si>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</si>
  <si>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</si>
  <si>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</si>
  <si>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</si>
  <si>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</si>
  <si>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</si>
  <si>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</si>
  <si>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</si>
  <si>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</si>
  <si>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</si>
  <si>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</si>
  <si>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</si>
  <si>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</si>
  <si>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</si>
  <si>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</si>
  <si>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</si>
  <si>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</si>
  <si>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</si>
  <si>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</si>
  <si>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</si>
  <si>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</si>
  <si>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</si>
  <si>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</si>
  <si>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</si>
  <si>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</si>
  <si>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</si>
  <si>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</si>
  <si>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</si>
  <si>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</si>
  <si>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</si>
  <si>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</si>
  <si>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</si>
  <si>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</si>
  <si>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</si>
  <si>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</si>
  <si>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</si>
  <si>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</si>
  <si>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</si>
  <si>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</si>
  <si>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</si>
  <si>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</si>
  <si>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</si>
  <si>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</si>
  <si>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</si>
  <si>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</si>
  <si>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</si>
  <si>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</si>
  <si>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</si>
  <si>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</si>
  <si>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</si>
  <si>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</si>
  <si>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</si>
  <si>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</si>
  <si>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</si>
  <si>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</si>
  <si>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</si>
  <si>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</si>
  <si>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</si>
  <si>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</si>
  <si>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</si>
  <si>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</si>
  <si>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</si>
  <si>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</si>
  <si>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</si>
  <si>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</si>
  <si>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</si>
  <si>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</si>
  <si>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</si>
  <si>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</si>
  <si>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</si>
  <si>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</si>
  <si>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</si>
  <si>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</si>
  <si>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</si>
  <si>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</si>
  <si>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</si>
  <si>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</si>
  <si>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</si>
  <si>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</si>
  <si>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</si>
  <si>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</si>
  <si>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</si>
  <si>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</si>
  <si>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</si>
  <si>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</si>
  <si>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</si>
  <si>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</si>
  <si>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</si>
  <si>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</si>
  <si>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</si>
  <si>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</si>
  <si>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</si>
  <si>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</si>
  <si>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</si>
  <si>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</si>
  <si>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</si>
  <si>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</si>
  <si>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</si>
  <si>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</si>
  <si>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</si>
  <si>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</si>
  <si>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</si>
  <si>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</si>
  <si>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</si>
  <si>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</si>
  <si>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</si>
  <si>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</si>
  <si>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</si>
  <si>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</si>
  <si>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</si>
  <si>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</si>
  <si>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</si>
  <si>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</si>
  <si>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</si>
  <si>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</si>
  <si>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</si>
  <si>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</si>
  <si>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</si>
  <si>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</si>
  <si>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</si>
  <si>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</si>
  <si>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</si>
  <si>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</si>
  <si>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</si>
  <si>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</si>
  <si>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</si>
  <si>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</si>
  <si>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</si>
  <si>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</si>
  <si>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</si>
  <si>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</si>
  <si>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</si>
  <si>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</si>
  <si>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</si>
  <si>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</si>
  <si>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</si>
  <si>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</si>
  <si>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</si>
  <si>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</si>
  <si>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</si>
  <si>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</si>
  <si>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</si>
  <si>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</si>
  <si>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</si>
  <si>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</si>
  <si>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</si>
  <si>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</si>
  <si>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</si>
  <si>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</si>
  <si>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</si>
  <si>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</si>
  <si>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</si>
  <si>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</si>
  <si>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</si>
  <si>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</si>
  <si>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</si>
  <si>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</si>
  <si>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</si>
  <si>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</si>
  <si>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</si>
  <si>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</si>
  <si>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</si>
  <si>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</si>
  <si>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</si>
  <si>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</si>
  <si>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</si>
  <si>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</si>
  <si>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</si>
  <si>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</si>
  <si>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</si>
  <si>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</si>
  <si>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</si>
  <si>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</si>
  <si>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</si>
  <si>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</si>
  <si>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</si>
  <si>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</si>
  <si>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</si>
  <si>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</si>
  <si>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</si>
  <si>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</si>
  <si>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</si>
  <si>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</si>
  <si>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</si>
  <si>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</si>
  <si>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</si>
  <si>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</si>
  <si>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</si>
  <si>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</si>
  <si>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</si>
  <si>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</si>
  <si>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</si>
  <si>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</si>
  <si>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</si>
  <si>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</si>
  <si>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</si>
  <si>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</si>
  <si>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</si>
  <si>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</si>
  <si>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</si>
  <si>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</si>
  <si>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</si>
  <si>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</si>
  <si>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</si>
  <si>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</si>
  <si>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</si>
  <si>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</si>
  <si>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</si>
  <si>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</si>
  <si>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</si>
  <si>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</si>
  <si>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</si>
  <si>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</si>
  <si>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</si>
  <si>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</si>
  <si>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</si>
  <si>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</si>
  <si>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</si>
  <si>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</si>
  <si>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</si>
  <si>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</si>
  <si>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</si>
  <si>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</si>
  <si>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</si>
  <si>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</si>
  <si>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</si>
  <si>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</si>
  <si>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</si>
  <si>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</si>
  <si>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</si>
  <si>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</si>
  <si>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</si>
  <si>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</si>
  <si>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</si>
  <si>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</si>
  <si>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</si>
  <si>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</si>
  <si>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</si>
  <si>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</si>
  <si>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</si>
  <si>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</si>
  <si>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</si>
  <si>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</si>
  <si>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</si>
  <si>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</si>
  <si>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</si>
  <si>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</si>
  <si>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</si>
  <si>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</si>
  <si>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</si>
  <si>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obrrb</t>
  </si>
  <si>
    <t>Output-based rebate = theta x cptraj (value returned per t at benchmark)</t>
  </si>
  <si>
    <t>egy.mit.obrrb.2</t>
  </si>
  <si>
    <t>fundsh</t>
  </si>
  <si>
    <t>Share of revenue recycled to the industrial abatement fund phi</t>
  </si>
  <si>
    <t>Stream 2 (E, J)</t>
  </si>
  <si>
    <t>egy.mit.fundsh.2</t>
  </si>
  <si>
    <t>fundsp</t>
  </si>
  <si>
    <t>Shadow price of fund-financed abatement (acts on intensity only). Placeholder 0 until Task J</t>
  </si>
  <si>
    <t>Stream 2 (J)</t>
  </si>
  <si>
    <t>egy.mit.fundsp.2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</si>
  <si>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</si>
  <si>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</si>
  <si>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</si>
  <si>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</si>
  <si>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</si>
  <si>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</si>
  <si>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</si>
  <si>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</si>
  <si>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</si>
  <si>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</si>
  <si>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</si>
  <si>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</si>
  <si>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</si>
  <si>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</si>
  <si>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</si>
  <si>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</si>
  <si>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</si>
  <si>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</si>
  <si>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</si>
  <si>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</si>
  <si>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</si>
  <si>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</si>
  <si>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</si>
  <si>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</si>
  <si>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</si>
  <si>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</si>
  <si>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</si>
  <si>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</si>
  <si>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</si>
  <si>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</si>
  <si>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</si>
  <si>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</si>
  <si>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</si>
  <si>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</si>
  <si>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</si>
  <si>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</si>
  <si>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</si>
  <si>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</si>
  <si>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</si>
  <si>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</si>
  <si>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</si>
  <si>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</si>
  <si>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</si>
  <si>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</si>
  <si>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</si>
  <si>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</si>
  <si>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</si>
  <si>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units of o155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</si>
  <si>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</si>
  <si>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</si>
  <si>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</si>
  <si>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</si>
  <si>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</si>
  <si>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</si>
  <si>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</si>
  <si>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</si>
  <si>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</si>
  <si>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USD million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</si>
  <si>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</si>
  <si>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</si>
  <si>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</si>
  <si>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</si>
  <si>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</si>
  <si>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</si>
  <si>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</si>
  <si>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</si>
  <si>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</si>
  <si>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</si>
  <si>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</si>
  <si>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</si>
  <si>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</si>
  <si>
    <t>fc covered (0/1)</t>
  </si>
  <si>
    <t>fp covered (0/1)</t>
  </si>
  <si>
    <t>np covered (0/1)</t>
  </si>
  <si>
    <t>no covered (0/1)</t>
  </si>
  <si>
    <t>Task B (stream 1): EF category coverage switches M:P (c.fc, c.fp, c.np, c.no; 1 in every bundle: the report treats fc + fp as the fuel-combustion share covered by energy CO2 pricing and np + no as all process emissions). fc, fp are priced with the energy CO2 flags, np, no with the process flags (E21). Set c.fp = 0 to exclude reductant/feedstock fuel, c.no = 0 to exclude non-CO2. Outputs emisfc / emisfp / emisnp / emisno.cbam.tot (block o13-o16); fuel switches affect only CBAM-block memo revenue, not the kernel energy wedge (nce).</t>
  </si>
  <si>
    <t>Emission-factor category coverage (1 = priced; Task B)</t>
  </si>
  <si>
    <t>Active bundle (Scenarios M:P); fc, fp priced with fuel flags (o54), np, no with process flags (o65); scenario 1 = 1</t>
  </si>
  <si>
    <t>c.fc</t>
  </si>
  <si>
    <t>c.fp</t>
  </si>
  <si>
    <t>c.np</t>
  </si>
  <si>
    <t>c.no</t>
  </si>
  <si>
    <t>Covered fuel EF = fc*c.fc + fp*c.fp</t>
  </si>
  <si>
    <t>Covered process EF = np*c.np + no*c.no (each &gt;= 0)</t>
  </si>
  <si>
    <t>Covered share, fuel (o54 E / F)</t>
  </si>
  <si>
    <t>Covered share, process (o65 E / G)</t>
  </si>
  <si>
    <t>Revenues, fuel CO2, covered fc + fp (memo: same CO2 is priced in kernel energy via nce)</t>
  </si>
  <si>
    <t>Post-policy emissions by EF category (Task B)</t>
  </si>
  <si>
    <t>fc: fuel combustion CO2</t>
  </si>
  <si>
    <t>fp: fuel used in the process / reduction CO2</t>
  </si>
  <si>
    <t>np: non-fuel process CO2 (floored at 0)</t>
  </si>
  <si>
    <t>no: non-CO2 process (N2O, PFC; floored at 0)</t>
  </si>
  <si>
    <t>Task B (v0.6): EF category split and coverage switches (expected 0)</t>
  </si>
  <si>
    <t>emis o135 - sum of EF categories o13-o16</t>
  </si>
  <si>
    <t>Covered EF above full EF (count of products, fuel + process)</t>
  </si>
  <si>
    <t>Block switches o28 H:K not 0/1 (count)</t>
  </si>
  <si>
    <t>Scenarios bundle switches M17:P23 not 0/1 (count)</t>
  </si>
  <si>
    <t>Max |identity| and violation counts (Task B)</t>
  </si>
  <si>
    <t>v0.6</t>
  </si>
  <si>
    <t>Task B: 4-way EF split (fc, fp, np, no) with coverage switches per bundle (Scenarios M:P, all 1; block o28). Price rows use covered EFs (fuel group fc+fp, process group np+no); process ER and revenues act on the covered share (o85-o92 I:J). Full process EF floored per category. Post-policy emissions by category in o13-o16 (emisfc/emisfp/emisnp/emisno.cbam.tot). All values identical to v0.5 with switches = 1.</t>
  </si>
  <si>
    <t>kernel via nce; CBAM block o2 (fuel CO2 only from v0.7)</t>
  </si>
  <si>
    <t>CBAM block o63 (Task C, process price); Stream 1 L: CBAM obligations</t>
  </si>
  <si>
    <t>Task C (stream 1, v0.7): CBAM process emissions (np + no) are priced at pptraj (block o63), fuel CO2 (fc + fp) at cptraj (o2); ETS (o3) applies to both via the sector ETS flags. To give process emissions their own path, set the bundle's 'Process price path' (column H); 'Process emissions covered' (G) switches it off. Reporting convention: all bundles price 20 $/t in 2030 (checked).</t>
  </si>
  <si>
    <t>Process carbon price</t>
  </si>
  <si>
    <t>pptraj = process path x process flag (Scenarios H, G); prices np + no in o65-o72, o118-o125, o138, o147-o154, o15-o16 (Task C)</t>
  </si>
  <si>
    <t>Revenues, covered non-fuel process np + no at the process price o63 (additional to energy carbon revenue)</t>
  </si>
  <si>
    <t>Task C (v0.7): process emissions priced at pptraj (expected 0)</t>
  </si>
  <si>
    <t>Block process price o63 - Data_Prices pptraj</t>
  </si>
  <si>
    <t>2030 process price - energy price x process flag (non-LEGACY bundles; reporting convention 20 $/t in 2030)</t>
  </si>
  <si>
    <t>2030 energy price &lt;&gt; 20 $/t (non-LEGACY bundles)</t>
  </si>
  <si>
    <t>Max |identity| (Task C)</t>
  </si>
  <si>
    <t>v0.7</t>
  </si>
  <si>
    <t>Task C: CBAM process emissions (np + no) priced at pptraj (new block row o63) in the process price rows, process ER, revp, product revenues and np/no emissions; fuel CO2 stays on cptraj (o2). All values identical to v0.6 (every bundle uses the same energy and process path).</t>
  </si>
  <si>
    <t>Task K (stream 1, v0.8): CBAM metric codes (block column H, G = cbam.tot): cbcov (o39, priced share of CBAM-sector emissions), cbint (o40, tCO2e/t), cbintch (o41, intensity change vs pre-policy), cbintchx (o51, EU-export-weighted intensity change), cbcovx (o52, EU-export-weighted coverage). Fuel/process split of the change: emisfc..emisno (o13-o16) vs pre-policy o85-o103.</t>
  </si>
  <si>
    <t>CBAM coverage: priced share of pre-policy CBAM-sector emissions (covered EF x inclusion flags)</t>
  </si>
  <si>
    <t>CBAM-sector emission intensity, post-policy (production-weighted)</t>
  </si>
  <si>
    <t>tCO2e/t</t>
  </si>
  <si>
    <t>CBAM-sector intensity change vs pre-policy, same output (Table 2 intensity reduction)</t>
  </si>
  <si>
    <t>CBAM intensity change weighted by 2024 EU exports (o31-o38 I): embedded emissions per unit exported</t>
  </si>
  <si>
    <t>CBAM coverage weighted by 2024 EU exports: priced share of export-embedded emissions</t>
  </si>
  <si>
    <t>CBAM coverage and intensity metrics (Task K)</t>
  </si>
  <si>
    <t>CBAM metrics, EU-export weighted (Task K)</t>
  </si>
  <si>
    <t>Task K (v0.8): CBAM coverage and intensity metrics (expected 0)</t>
  </si>
  <si>
    <t>cbintch - (sum of EF-category rows o13-o16 / pre-policy - 1)</t>
  </si>
  <si>
    <t>Coverage cbcov / cbcovx outside [0,1] (count of years)</t>
  </si>
  <si>
    <t>Intensity change cbintch / cbintchx above 0 or below -1 (count of years)</t>
  </si>
  <si>
    <t>Baseline block (scenario 1): cbcov, cbintch and cbintchx not 0 (max abs)</t>
  </si>
  <si>
    <t>Max |identity| and violation counts (Task K)</t>
  </si>
  <si>
    <t>v0.8</t>
  </si>
  <si>
    <t>Task K: CBAM metrics in block spare rows: cbcov (o39), cbint (o40), cbintch (o41), EU-export-weighted cbintchx (o51) and cbcovx (o52). New rows only; no existing value changes.</t>
  </si>
  <si>
    <t>Legacy ad hoc semi-elasticities (AdHocCalculations; one beta for np + no; no documented source). Used only when E50 = ADHOC, and by the fund placeholder (block o107-o114)</t>
  </si>
  <si>
    <t>Process-emission semi-elasticities (Task D, v0.9): inferred from IPCC; used by CBAM block rows o118-o125</t>
  </si>
  <si>
    <t>Semi-elasticity set used by the block (IPCC / ADHOC)</t>
  </si>
  <si>
    <t>IPCC</t>
  </si>
  <si>
    <t>ADHOC = rows 40-47 with ERmax = 1 (reproduces v0.8)</t>
  </si>
  <si>
    <t>ER(P) = ERmax x (1 - exp(-beta x P)); beta = -ln(1 - ER*/ERmax)/P* from the anchor (P*, ER*); semi-elasticity at P = 0 = ERmax x beta. np = non-fuel process CO2, no = non-CO2 process (Manual inputs J, K). ERmax = technical potential by ~2035 with commercial technology; CCS and process change are excluded (no Egyptian CO2 storage or H2-DRI before 2035).</t>
  </si>
  <si>
    <t>np ERmax</t>
  </si>
  <si>
    <t>np anchor P* ($/t)</t>
  </si>
  <si>
    <t>np ER at P*</t>
  </si>
  <si>
    <t>np beta (1/$)</t>
  </si>
  <si>
    <t>no ERmax</t>
  </si>
  <si>
    <t>no anchor P* ($/t)</t>
  </si>
  <si>
    <t>no ER at P*</t>
  </si>
  <si>
    <t>no beta (1/$)</t>
  </si>
  <si>
    <t>np semi-el. at P=0 (%/$)</t>
  </si>
  <si>
    <t>no semi-el. at P=0 (%/$)</t>
  </si>
  <si>
    <t>np ER at $20</t>
  </si>
  <si>
    <t>no ER at $20</t>
  </si>
  <si>
    <t>np lever and source</t>
  </si>
  <si>
    <t>no lever and source</t>
  </si>
  <si>
    <t>Confidence</t>
  </si>
  <si>
    <t>beta.np used</t>
  </si>
  <si>
    <t>ERmax.np used</t>
  </si>
  <si>
    <t>beta.no used</t>
  </si>
  <si>
    <t>ERmax.no used</t>
  </si>
  <si>
    <t>placeholder</t>
  </si>
  <si>
    <t>beta.np (1/$)</t>
  </si>
  <si>
    <t>ERmax.np</t>
  </si>
  <si>
    <t>beta.no (1/$)</t>
  </si>
  <si>
    <t>ERmax.no</t>
  </si>
  <si>
    <t>Task D (v0.9): process-emission semi-elasticities (expected 0)</t>
  </si>
  <si>
    <t>max |diff| / count</t>
  </si>
  <si>
    <t>Calibration identity: ERmax x (1 - exp(-beta x P*)) - ER* (np and no)</t>
  </si>
  <si>
    <t>Parameter violations: ERmax outside [0,1], ER* &gt;= ERmax, beta &lt; 0, P* &lt;= 0 with ER* &gt; 0 (count)</t>
  </si>
  <si>
    <t>Selector 'Manual inputs'!E50 not IPCC or ADHOC (count)</t>
  </si>
  <si>
    <t>Effective parameters (T:W) differ from the selected set (max abs)</t>
  </si>
  <si>
    <t>Block E:H (o118-o125) differ from Manual inputs T:W (max abs)</t>
  </si>
  <si>
    <t>Process ER above 0 or larger than ERmax x covered pre-policy process emissions (count of product-years)</t>
  </si>
  <si>
    <t>Max |identity| and violation counts (Task D)</t>
  </si>
  <si>
    <t>Task D (stream 1, v0.9): process-emission semi-elasticities by product and category (np, no) in Manual inputs rows 53-60 (selector E50: IPCC default, ADHOC = v0.8). Stream 2 (fund, Task G/J) should apply its own shadow price through the same parameters, not rows 40-47.</t>
  </si>
  <si>
    <t>v0.9</t>
  </si>
  <si>
    <t>Task D: IPCC-inferred process semi-elasticities by product and category (np, no) with technical potential ERmax (Manual inputs rows 53-60); block o118-o125 apply them per category. Selector Manual inputs E50 (IPCC default; ADHOC reproduces v0.8). Anchors are placeholders equal to the ad hoc values (results unchanged) pending the IPCC research report.</t>
  </si>
  <si>
    <t>Output response to the net product cost increase (Task H, v0.10): used by CBAM block production rows o31-o38</t>
  </si>
  <si>
    <t>Output response switch (ON / OFF)</t>
  </si>
  <si>
    <t>ON</t>
  </si>
  <si>
    <t>OFF = eps 0, production on the fixed growth path (reproduces v0.9). Always off for the LEGACY bundle (regression vs CPAT)</t>
  </si>
  <si>
    <t>Q = Qbase x (1 + dp_net)^eps; dp_net = (carbon cost per t - OBR rebate per t) / pre-policy product price (block o75-o82). The rebate obrrb (theta x cptraj) is paid on the pre-policy covered EF, so theta = 1 (3B) leaves output unchanged; intensity still responds to the full price.</t>
  </si>
  <si>
    <t>Output elasticity eps (input)</t>
  </si>
  <si>
    <t>Source / rationale</t>
  </si>
  <si>
    <t>eps used</t>
  </si>
  <si>
    <t>PLACEHOLDER uniform -0.5 (user choice, v0.10). Combines demand elasticity and limited pass-through for a trade-exposed commodity; replace with product-specific values (trade exposure, pass-through, leakage literature)</t>
  </si>
  <si>
    <t>Output elasticity eps used (Task H)</t>
  </si>
  <si>
    <t>Net carbon cost increase, % of pre-policy product price (fuel + process cost - OBR rebate on covered EF; drives output, Task H)</t>
  </si>
  <si>
    <t>Pre-policy Fuel Emissions (pre-policy intensity x policy-scenario output, Task H)</t>
  </si>
  <si>
    <t>Pre-policy Non-Fuel and Non-CO2 Process Emissions (pre-policy intensity x policy-scenario output, Task H)</t>
  </si>
  <si>
    <t>Output change vs baseline output, CBAM products (weighted by baseline-output pre-policy emissions; Task H)</t>
  </si>
  <si>
    <t>Emissions change from the output response, at pre-policy intensity (Task H)</t>
  </si>
  <si>
    <t>Total emissions change vs pre-policy emissions at baseline output (output emrq + intensity emr)</t>
  </si>
  <si>
    <t>Task H (v0.10): output response to the net cost increase (expected 0)</t>
  </si>
  <si>
    <t>Switch 'Manual inputs'!E63 not ON or OFF (count)</t>
  </si>
  <si>
    <t>Effective eps (K) differs from IF(switch = ON and bundle &lt;&gt; LEGACY, E, 0) (max abs)</t>
  </si>
  <si>
    <t>Output elasticity eps &gt; 0 (count)</t>
  </si>
  <si>
    <t>Block J (o31-o38) differs from Manual inputs K (max abs)</t>
  </si>
  <si>
    <t>1 + net cost increase (o75-o82, L:AE) &lt;= 0 (count)</t>
  </si>
  <si>
    <t>Net cost increase non-zero in scenario 1 (sum abs; baseline output unchanged)</t>
  </si>
  <si>
    <t>Decomposition emis = pre-policy at baseline output + emrq + emr, 2030 (abs)</t>
  </si>
  <si>
    <t>Decomposition emis = pre-policy at baseline output + emrq + emr, 2041 (abs)</t>
  </si>
  <si>
    <t>Max |identity| and violation counts (Task H)</t>
  </si>
  <si>
    <t>Task H (stream 1, v0.10): CBAM production o31-o38 = baseline path x (1 + net cost increase o75-o82)^eps; the net cost deducts obrrb (o6, capped at the price paid) on the covered pre-policy EF. eps in Manual inputs rows 66-73 (switch E63). Codes cbqch (o62), emrq (o73), emrt (o83). Stream 2 (Task I) should read output effects through these rows, not re-derive them.</t>
  </si>
  <si>
    <t>v0.10</t>
  </si>
  <si>
    <t>Task H: CBAM output responds to the carbon cost net of the output-based rebate, Q = Qbase x (1 + dp_net)^eps (Manual inputs rows 66-73, switch E63; eps placeholder -0.5). New codes cbqch, emrq, emrt; block o75-o82 redefined as the net cost increase. OFF (and the LEGACY bundle) reproduces v0.9.</t>
  </si>
  <si>
    <t>CBAM obligations (Task L, v0.11): EU ETS price and CBAM phase-in; used by CBAM block rows o94, o105, o116, o127</t>
  </si>
  <si>
    <t>CBAM obligation convention (FULL / SCALED / NOPHASE)</t>
  </si>
  <si>
    <t>FULL</t>
  </si>
  <si>
    <t>FULL: CBF phase-in, domestic price paid deducted in full; SCALED: deduction x CBF; NOPHASE: CBF = 1 (EgyptResultsInitial / ad hoc convention)</t>
  </si>
  <si>
    <t>Obligation per t exported = max(0, CBF x P_EU x embedded intensity - S x price effectively paid per t, net of OBR rebates). Direct emissions only (fc + fp + np + no); EU exports scale with production.</t>
  </si>
  <si>
    <t>EU ETS / CBAM certificate price</t>
  </si>
  <si>
    <t>$/tCO2e real</t>
  </si>
  <si>
    <t>PLACEHOLDER 100 flat (EgyptResultsInitial / AdHocCalculations assumption); replace with an EU ETS outlook</t>
  </si>
  <si>
    <t>CBAM factor = 1 - EU free allocation share (input)</t>
  </si>
  <si>
    <t>Directive 2003/87/EC Art. 10a(1a) as amended 2023 (CBAM Reg. 2023/956 Art. 31): 2.5% 2026 ... 100% 2034</t>
  </si>
  <si>
    <t>CBAM factor used</t>
  </si>
  <si>
    <t>1 if NOPHASE, else the input row</t>
  </si>
  <si>
    <t>Deduction scaling used (S)</t>
  </si>
  <si>
    <t>CBF used if SCALED, else 1</t>
  </si>
  <si>
    <t>CBAM obligations on EU exports, policy scenario (direct emissions; Task L)</t>
  </si>
  <si>
    <t>CBAM obligations without domestic carbon pricing (pre-policy intensity, baseline output)</t>
  </si>
  <si>
    <t>CBAM obligations change vs no domestic pricing (intensity + price credit + output)</t>
  </si>
  <si>
    <t>CBAM obligations change per t exported, base-year EU export mix, same output (Table 2 metric)</t>
  </si>
  <si>
    <t>Task L (v0.11): CBAM obligations (expected 0)</t>
  </si>
  <si>
    <t>Selector 'Manual inputs'!E76 not FULL, SCALED or NOPHASE (count)</t>
  </si>
  <si>
    <t>CBAM factor input outside [0,1] or decreasing (count)</t>
  </si>
  <si>
    <t>CBAM factor used / deduction scaling differ from the selector rule (max abs)</t>
  </si>
  <si>
    <t>EU price negative (count)</t>
  </si>
  <si>
    <t>Obligations negative (count)</t>
  </si>
  <si>
    <t>cbobch - (cbobl / cbobl0 - 1) (max abs)</t>
  </si>
  <si>
    <t>Scenario 1: cbobl - cbobl0 (no domestic policy; sum abs)</t>
  </si>
  <si>
    <t>Max |identity| and violation counts (Task L)</t>
  </si>
  <si>
    <t>Task L (stream 1, v0.11): CBAM obligation codes cbobl (o94, USD m), cbobl0 (o105, no domestic pricing), cbobch (o116, total change), cbobchu (o127, per t exported, same output). Domestic price credit = block revenue per t net of obrrb (o6); the abatement fund (o4/o5) is not deducted. EU price and CBAM phase-in in Manual inputs rows 75-82 (selector E76).</t>
  </si>
  <si>
    <t>v0.11</t>
  </si>
  <si>
    <t>Task L: CBAM obligations on EU exports (cbobl, cbobl0, cbobch, cbobchu in block o94/o105/o116/o127) with EU price (placeholder 100), CBAM phase-in factor and deduction convention (Manual inputs rows 75-82, selector E76 = FULL).</t>
  </si>
  <si>
    <t>Fuel CO2 emission factors for industry, Egypt (Task F, Stream 2) - as used by CPAT_1_0pre_456 for energy-related CO2 (Mitigation rows 972-1009, 6511-6552)</t>
  </si>
  <si>
    <t>EF used (tCO2/ktoe) = IIASA EF (tCO2/GJ) x GJ per ktoe x inventory adjustment factor (applied when MTInputs EFsAdjustmentNonAnnexI = Yes; Egypt is Non-Annex I). The kernel (Emissions_Industry) reads column G by the code in column A.</t>
  </si>
  <si>
    <t>IIASA EF (tCO2/GJ)</t>
  </si>
  <si>
    <t>tCO2/ktoe unadjusted</t>
  </si>
  <si>
    <t>Adjustment applied</t>
  </si>
  <si>
    <t>EF used (tCO2/ktoe)</t>
  </si>
  <si>
    <t>CPAT EF used (tCO2/ktoe)</t>
  </si>
  <si>
    <t>diff G-H</t>
  </si>
  <si>
    <t>CPAT EF code</t>
  </si>
  <si>
    <t>Source / note</t>
  </si>
  <si>
    <t>egy.mit.ef.coa.ind</t>
  </si>
  <si>
    <t>Mitigation row 1001 (coa, ind)</t>
  </si>
  <si>
    <t>egy.mit.ef.nga.ind</t>
  </si>
  <si>
    <t>Mitigation row 1002 (nga, ind)</t>
  </si>
  <si>
    <t>egy.mit.ef.gso.ind</t>
  </si>
  <si>
    <t>Mitigation row 1003 (gso, ind; 0.0023707 tCO2/l x 28.6 l/GJ)</t>
  </si>
  <si>
    <t>egy.mit.ef.die.ind</t>
  </si>
  <si>
    <t>Mitigation row 1004 (die, ind)</t>
  </si>
  <si>
    <t>egy.mit.ef.lpg.ind</t>
  </si>
  <si>
    <t>Mitigation row 1005 (lpg, ind)</t>
  </si>
  <si>
    <t>egy.mit.ef.ker.ind</t>
  </si>
  <si>
    <t>Mitigation row 1006 (ker, ind)</t>
  </si>
  <si>
    <t>egy.mit.ef.oop.ind</t>
  </si>
  <si>
    <t>Mitigation row 1007 (oop, ind; labelled 'Crude Oil', 0.4694 tCO2/bbl)</t>
  </si>
  <si>
    <t>Mitigation row 1009: biomass combustion CO2 counted as 0 (biogenic), as in CPAT</t>
  </si>
  <si>
    <t>Self-generated renewables: no combustion, EF 0 (CPAT has no EF row)</t>
  </si>
  <si>
    <t>GJ per ktoe</t>
  </si>
  <si>
    <t>CPAT Mitigation row 1035 (unit conversions)</t>
  </si>
  <si>
    <t>EFs selected (MTInputs EmissionsFactCO2)</t>
  </si>
  <si>
    <t>Only the IIASA set is stored here (CPAT default IIASA*); another setting needs re-sourcing (REVIEW)</t>
  </si>
  <si>
    <t>Adjust non-Annex I EFs to inventories (MTInputs EFsAdjustmentNonAnnexI)</t>
  </si>
  <si>
    <t>CPAT Mitigation row 976; Egypt is Non-Annex I (row 975)</t>
  </si>
  <si>
    <t>Adjustment factor, Egypt</t>
  </si>
  <si>
    <t>CPAT Mitigation row 977: ratio of inventory (UNFCCC/IMF) to EF-estimated energy CO2, stored as a value</t>
  </si>
  <si>
    <t>Adjustment factor applied</t>
  </si>
  <si>
    <t>1 if the switch is off</t>
  </si>
  <si>
    <t>Check: CPAT irn 2022 = 232.657 ktoe coa x 3892.11 + 1669.057 ktoe nga x 2171.80 (/1e6) = 4.5304 MtCO2 = CPAT egy.mit.co2.ind.irn.1 (Mitigation row 6572).</t>
  </si>
  <si>
    <t>Mitigation Module - Egypt: Industry kernel - energy CO2 by sector and fuel (Task F, Stream 2): eco2 = Mitigation_Industry ener (ktoe) x Data_EF EF (tCO2/ktoe) / 1e6</t>
  </si>
  <si>
    <t>Energy CO2 - Baseline (scenario 1), MtCO2; energy from Mitigation_Industry rows 5-243</t>
  </si>
  <si>
    <t>Input Code (Data_EF key)</t>
  </si>
  <si>
    <t>MtCO2</t>
  </si>
  <si>
    <t>eco2</t>
  </si>
  <si>
    <t>Mitigation_Industry row 54 x Data_EF G / 1e6</t>
  </si>
  <si>
    <t>Mitigation_Industry row 55 x Data_EF G / 1e6</t>
  </si>
  <si>
    <t>Mitigation_Industry row 56 x Data_EF G / 1e6</t>
  </si>
  <si>
    <t>Mitigation_Industry row 57 x Data_EF G / 1e6</t>
  </si>
  <si>
    <t>Mitigation_Industry row 58 x Data_EF G / 1e6</t>
  </si>
  <si>
    <t>Mitigation_Industry row 59 x Data_EF G / 1e6</t>
  </si>
  <si>
    <t>Mitigation_Industry row 60 x Data_EF G / 1e6</t>
  </si>
  <si>
    <t>Mitigation_Industry row 61 x Data_EF G / 1e6</t>
  </si>
  <si>
    <t>Mitigation_Industry row 62 x Data_EF G / 1e6</t>
  </si>
  <si>
    <t>Mitigation_Industry row 114 x Data_EF G / 1e6</t>
  </si>
  <si>
    <t>Mitigation_Industry row 115 x Data_EF G / 1e6</t>
  </si>
  <si>
    <t>Mitigation_Industry row 116 x Data_EF G / 1e6</t>
  </si>
  <si>
    <t>Mitigation_Industry row 117 x Data_EF G / 1e6</t>
  </si>
  <si>
    <t>Mitigation_Industry row 118 x Data_EF G / 1e6</t>
  </si>
  <si>
    <t>Mitigation_Industry row 119 x Data_EF G / 1e6</t>
  </si>
  <si>
    <t>Mitigation_Industry row 120 x Data_EF G / 1e6</t>
  </si>
  <si>
    <t>Mitigation_Industry row 121 x Data_EF G / 1e6</t>
  </si>
  <si>
    <t>Mitigation_Industry row 122 x Data_EF G / 1e6</t>
  </si>
  <si>
    <t>Mitigation_Industry row 174 x Data_EF G / 1e6</t>
  </si>
  <si>
    <t>Mitigation_Industry row 175 x Data_EF G / 1e6</t>
  </si>
  <si>
    <t>Mitigation_Industry row 176 x Data_EF G / 1e6</t>
  </si>
  <si>
    <t>Mitigation_Industry row 177 x Data_EF G / 1e6</t>
  </si>
  <si>
    <t>Mitigation_Industry row 178 x Data_EF G / 1e6</t>
  </si>
  <si>
    <t>Mitigation_Industry row 179 x Data_EF G / 1e6</t>
  </si>
  <si>
    <t>Mitigation_Industry row 180 x Data_EF G / 1e6</t>
  </si>
  <si>
    <t>Mitigation_Industry row 181 x Data_EF G / 1e6</t>
  </si>
  <si>
    <t>Mitigation_Industry row 182 x Data_EF G / 1e6</t>
  </si>
  <si>
    <t>Mitigation_Industry row 234 x Data_EF G / 1e6</t>
  </si>
  <si>
    <t>Mitigation_Industry row 235 x Data_EF G / 1e6</t>
  </si>
  <si>
    <t>Mitigation_Industry row 236 x Data_EF G / 1e6</t>
  </si>
  <si>
    <t>Mitigation_Industry row 237 x Data_EF G / 1e6</t>
  </si>
  <si>
    <t>Mitigation_Industry row 238 x Data_EF G / 1e6</t>
  </si>
  <si>
    <t>Mitigation_Industry row 239 x Data_EF G / 1e6</t>
  </si>
  <si>
    <t>Mitigation_Industry row 240 x Data_EF G / 1e6</t>
  </si>
  <si>
    <t>Mitigation_Industry row 241 x Data_EF G / 1e6</t>
  </si>
  <si>
    <t>Mitigation_Industry row 242 x Data_EF G / 1e6</t>
  </si>
  <si>
    <t>Energy CO2 - Carbon tax (policy scenario) (scenario 2), MtCO2; energy from Mitigation_Industry rows 404-642</t>
  </si>
  <si>
    <t>Mitigation_Industry row 453 x Data_EF G / 1e6</t>
  </si>
  <si>
    <t>Mitigation_Industry row 454 x Data_EF G / 1e6</t>
  </si>
  <si>
    <t>Mitigation_Industry row 455 x Data_EF G / 1e6</t>
  </si>
  <si>
    <t>Mitigation_Industry row 456 x Data_EF G / 1e6</t>
  </si>
  <si>
    <t>Mitigation_Industry row 457 x Data_EF G / 1e6</t>
  </si>
  <si>
    <t>Mitigation_Industry row 458 x Data_EF G / 1e6</t>
  </si>
  <si>
    <t>Mitigation_Industry row 459 x Data_EF G / 1e6</t>
  </si>
  <si>
    <t>Mitigation_Industry row 460 x Data_EF G / 1e6</t>
  </si>
  <si>
    <t>Mitigation_Industry row 461 x Data_EF G / 1e6</t>
  </si>
  <si>
    <t>Mitigation_Industry row 513 x Data_EF G / 1e6</t>
  </si>
  <si>
    <t>Mitigation_Industry row 514 x Data_EF G / 1e6</t>
  </si>
  <si>
    <t>Mitigation_Industry row 515 x Data_EF G / 1e6</t>
  </si>
  <si>
    <t>Mitigation_Industry row 516 x Data_EF G / 1e6</t>
  </si>
  <si>
    <t>Mitigation_Industry row 517 x Data_EF G / 1e6</t>
  </si>
  <si>
    <t>Mitigation_Industry row 518 x Data_EF G / 1e6</t>
  </si>
  <si>
    <t>Mitigation_Industry row 519 x Data_EF G / 1e6</t>
  </si>
  <si>
    <t>Mitigation_Industry row 520 x Data_EF G / 1e6</t>
  </si>
  <si>
    <t>Mitigation_Industry row 521 x Data_EF G / 1e6</t>
  </si>
  <si>
    <t>Mitigation_Industry row 573 x Data_EF G / 1e6</t>
  </si>
  <si>
    <t>Mitigation_Industry row 574 x Data_EF G / 1e6</t>
  </si>
  <si>
    <t>Mitigation_Industry row 575 x Data_EF G / 1e6</t>
  </si>
  <si>
    <t>Mitigation_Industry row 576 x Data_EF G / 1e6</t>
  </si>
  <si>
    <t>Mitigation_Industry row 577 x Data_EF G / 1e6</t>
  </si>
  <si>
    <t>Mitigation_Industry row 578 x Data_EF G / 1e6</t>
  </si>
  <si>
    <t>Mitigation_Industry row 579 x Data_EF G / 1e6</t>
  </si>
  <si>
    <t>Mitigation_Industry row 580 x Data_EF G / 1e6</t>
  </si>
  <si>
    <t>Mitigation_Industry row 581 x Data_EF G / 1e6</t>
  </si>
  <si>
    <t>Mitigation_Industry row 633 x Data_EF G / 1e6</t>
  </si>
  <si>
    <t>Mitigation_Industry row 634 x Data_EF G / 1e6</t>
  </si>
  <si>
    <t>Mitigation_Industry row 635 x Data_EF G / 1e6</t>
  </si>
  <si>
    <t>Mitigation_Industry row 636 x Data_EF G / 1e6</t>
  </si>
  <si>
    <t>Mitigation_Industry row 637 x Data_EF G / 1e6</t>
  </si>
  <si>
    <t>Mitigation_Industry row 638 x Data_EF G / 1e6</t>
  </si>
  <si>
    <t>Mitigation_Industry row 639 x Data_EF G / 1e6</t>
  </si>
  <si>
    <t>Mitigation_Industry row 640 x Data_EF G / 1e6</t>
  </si>
  <si>
    <t>Mitigation_Industry row 641 x Data_EF G / 1e6</t>
  </si>
  <si>
    <t>Task F (stream 2, v0.12): energy CO2 codes egy.mit.eco2.&lt;sector&gt;.&lt;fuel&gt;.e.&lt;s&gt; and .tot (sheet Emissions_Industry, MtCO2, rows 5-51 scenario 1 and 56-102 scenario 2) = ener x EF; EF codes egy.mit.efc.&lt;fuel&gt; (sheet Data_EF, tCO2/ktoe = IIASA tCO2/GJ x 41868 x CPAT inventory adjustment 0.92962; bio and ren = 0).</t>
  </si>
  <si>
    <t>Task F (Stream2 v1): energy CO2 by sector and fuel (expected 0)</t>
  </si>
  <si>
    <t>rel. to max |CPAT|</t>
  </si>
  <si>
    <t>eco2 total - sum of fuel rows (irn, Emissions_Industry row 15)</t>
  </si>
  <si>
    <t>eco2 total - sum of fuel rows (cem, Emissions_Industry row 27)</t>
  </si>
  <si>
    <t>eco2 total - sum of fuel rows (nfm, Emissions_Industry row 39)</t>
  </si>
  <si>
    <t>eco2 total - sum of fuel rows (mch, Emissions_Industry row 51)</t>
  </si>
  <si>
    <t>eco2 total - sum of fuel rows (irn, Emissions_Industry row 66)</t>
  </si>
  <si>
    <t>eco2 total - sum of fuel rows (cem, Emissions_Industry row 78)</t>
  </si>
  <si>
    <t>eco2 total - sum of fuel rows (nfm, Emissions_Industry row 90)</t>
  </si>
  <si>
    <t>eco2 total - sum of fuel rows (mch, Emissions_Industry row 102)</t>
  </si>
  <si>
    <t>Data_EF EF used - CPAT EF used (tCO2/ktoe; Mitigation rows 6516-6552 col B), max over fuels</t>
  </si>
  <si>
    <t>egy.mit.co2.ind.irn.1</t>
  </si>
  <si>
    <t>CPAT_1_0pre_456 Mitigation row 6572, mt.CO2</t>
  </si>
  <si>
    <t>egy.mit.eco2.irn.tot.e.1</t>
  </si>
  <si>
    <t>egy.mit.co2.ind.cem.1</t>
  </si>
  <si>
    <t>CPAT_1_0pre_456 Mitigation row 6575, mt.CO2</t>
  </si>
  <si>
    <t>egy.mit.eco2.cem.tot.e.1</t>
  </si>
  <si>
    <t>egy.mit.co2.ind.nfm.1</t>
  </si>
  <si>
    <t>CPAT_1_0pre_456 Mitigation row 6573, mt.CO2</t>
  </si>
  <si>
    <t>egy.mit.eco2.nfm.tot.e.1</t>
  </si>
  <si>
    <t>egy.mit.co2.ind.mch.1</t>
  </si>
  <si>
    <t>CPAT_1_0pre_456 Mitigation row 6571, mt.CO2</t>
  </si>
  <si>
    <t>egy.mit.eco2.mch.tot.e.1</t>
  </si>
  <si>
    <t>count</t>
  </si>
  <si>
    <t>Max |identity| and violation counts (Task F)</t>
  </si>
  <si>
    <t>Note: the CPAT comparison is exact only if the baseline ener rows match CPAT (Check!F2 = 0); energy CO2 here is combustion CO2 only (no process emissions, Task G).</t>
  </si>
  <si>
    <t>Scenario 2 eco2 &gt; scenario 1 eco2 while explicit carbon price (block o2 + o3, rows 646/647) &gt; 0 (count of fuel-years, irn)</t>
  </si>
  <si>
    <t>Scenario 2 eco2 &gt; scenario 1 eco2 while explicit carbon price (block o2 + o3, rows 646/647) &gt; 0 (count of fuel-years, cem)</t>
  </si>
  <si>
    <t>Scenario 2 eco2 &gt; scenario 1 eco2 while explicit carbon price (block o2 + o3, rows 646/647) &gt; 0 (count of fuel-years, nfm)</t>
  </si>
  <si>
    <t>Scenario 2 eco2 &gt; scenario 1 eco2 while explicit carbon price (block o2 + o3, rows 646/647) &gt; 0 (count of fuel-years, mch)</t>
  </si>
  <si>
    <t>Mitigation Module - Egypt: Industry kernel - output-based rebating (Task I, Stream 2): rebate per t = MIN(obrrb x EU benchmark, carbon cost per t); net fuel price atpn = atp - (atp - ptp) x sector rebate share feeds the Mitigation_Industry ener USAGE term; shp (efficiency term) and the block process ER keep the full price</t>
  </si>
  <si>
    <t>Output-based rebate - Baseline (scenario 1); CBAM block rows 245-400, kernel rows 5-243</t>
  </si>
  <si>
    <t>policy</t>
  </si>
  <si>
    <t>Output-based rebate share theta (active bundle)</t>
  </si>
  <si>
    <t>Data_Prices (Scenarios section 4)</t>
  </si>
  <si>
    <t>Output-based rebate per t at benchmark = theta x cptraj</t>
  </si>
  <si>
    <t>Data_Prices = CBAM block o6 (row 251); ETS not included (Task E)</t>
  </si>
  <si>
    <t>obrbm</t>
  </si>
  <si>
    <t>DRI-EAF steel: EU product benchmark</t>
  </si>
  <si>
    <t>tCO2/t</t>
  </si>
  <si>
    <t>CBAM block column Z rows o19-o26 (Manual inputs Z30:Z37)</t>
  </si>
  <si>
    <t>Scrap-EAF steel: EU product benchmark</t>
  </si>
  <si>
    <t>BOF steel: EU product benchmark</t>
  </si>
  <si>
    <t>Clinker / cement: EU product benchmark</t>
  </si>
  <si>
    <t>Ammonia: EU product benchmark</t>
  </si>
  <si>
    <t>Urea: EU product benchmark</t>
  </si>
  <si>
    <t>Ammonium nitrate: EU product benchmark</t>
  </si>
  <si>
    <t>Primary aluminium: EU product benchmark</t>
  </si>
  <si>
    <t>ccpt</t>
  </si>
  <si>
    <t>DRI-EAF steel: Full carbon cost per t = fuel + process price increase</t>
  </si>
  <si>
    <t>$/t</t>
  </si>
  <si>
    <t>CBAM block o54 + o65</t>
  </si>
  <si>
    <t>Scrap-EAF steel: Full carbon cost per t = fuel + process price increase</t>
  </si>
  <si>
    <t>BOF steel: Full carbon cost per t = fuel + process price increase</t>
  </si>
  <si>
    <t>Clinker / cement: Full carbon cost per t = fuel + process price increase</t>
  </si>
  <si>
    <t>Ammonia: Full carbon cost per t = fuel + process price increase</t>
  </si>
  <si>
    <t>Urea: Full carbon cost per t = fuel + process price increase</t>
  </si>
  <si>
    <t>Ammonium nitrate: Full carbon cost per t = fuel + process price increase</t>
  </si>
  <si>
    <t>Primary aluminium: Full carbon cost per t = fuel + process price increase</t>
  </si>
  <si>
    <t>obrpu</t>
  </si>
  <si>
    <t>DRI-EAF steel: Rebate per t uncapped = obrrb x benchmark</t>
  </si>
  <si>
    <t>memo</t>
  </si>
  <si>
    <t>Scrap-EAF steel: Rebate per t uncapped = obrrb x benchmark</t>
  </si>
  <si>
    <t>BOF steel: Rebate per t uncapped = obrrb x benchmark</t>
  </si>
  <si>
    <t>Clinker / cement: Rebate per t uncapped = obrrb x benchmark</t>
  </si>
  <si>
    <t>Ammonia: Rebate per t uncapped = obrrb x benchmark</t>
  </si>
  <si>
    <t>Urea: Rebate per t uncapped = obrrb x benchmark</t>
  </si>
  <si>
    <t>Ammonium nitrate: Rebate per t uncapped = obrrb x benchmark</t>
  </si>
  <si>
    <t>Primary aluminium: Rebate per t uncapped = obrrb x benchmark</t>
  </si>
  <si>
    <t>obrpt</t>
  </si>
  <si>
    <t>DRI-EAF steel: Rebate per t used = MIN(uncapped, full carbon cost)</t>
  </si>
  <si>
    <t>cap keeps the net price &gt;= pre-tax price (binding when benchmark &gt; priced intensity, e.g. urea)</t>
  </si>
  <si>
    <t>Scrap-EAF steel: Rebate per t used = MIN(uncapped, full carbon cost)</t>
  </si>
  <si>
    <t>BOF steel: Rebate per t used = MIN(uncapped, full carbon cost)</t>
  </si>
  <si>
    <t>Clinker / cement: Rebate per t used = MIN(uncapped, full carbon cost)</t>
  </si>
  <si>
    <t>Ammonia: Rebate per t used = MIN(uncapped, full carbon cost)</t>
  </si>
  <si>
    <t>Urea: Rebate per t used = MIN(uncapped, full carbon cost)</t>
  </si>
  <si>
    <t>Ammonium nitrate: Rebate per t used = MIN(uncapped, full carbon cost)</t>
  </si>
  <si>
    <t>Primary aluminium: Rebate per t used = MIN(uncapped, full carbon cost)</t>
  </si>
  <si>
    <t>ccnet</t>
  </si>
  <si>
    <t>DRI-EAF steel: Net carbon cost per t = full cost - rebate</t>
  </si>
  <si>
    <t>Scrap-EAF steel: Net carbon cost per t = full cost - rebate</t>
  </si>
  <si>
    <t>BOF steel: Net carbon cost per t = full cost - rebate</t>
  </si>
  <si>
    <t>Clinker / cement: Net carbon cost per t = full cost - rebate</t>
  </si>
  <si>
    <t>Ammonia: Net carbon cost per t = full cost - rebate</t>
  </si>
  <si>
    <t>Urea: Net carbon cost per t = full cost - rebate</t>
  </si>
  <si>
    <t>Ammonium nitrate: Net carbon cost per t = full cost - rebate</t>
  </si>
  <si>
    <t>Primary aluminium: Net carbon cost per t = full cost - rebate</t>
  </si>
  <si>
    <t>ppin</t>
  </si>
  <si>
    <t>DRI-EAF steel: Net product price increase share (TASK H HOOK: wire into output)</t>
  </si>
  <si>
    <t>net cost / product price (CBAM block o43, USD/t)</t>
  </si>
  <si>
    <t>Scrap-EAF steel: Net product price increase share (TASK H HOOK: wire into output)</t>
  </si>
  <si>
    <t>BOF steel: Net product price increase share (TASK H HOOK: wire into output)</t>
  </si>
  <si>
    <t>Clinker / cement: Net product price increase share (TASK H HOOK: wire into output)</t>
  </si>
  <si>
    <t>Ammonia: Net product price increase share (TASK H HOOK: wire into output)</t>
  </si>
  <si>
    <t>Urea: Net product price increase share (TASK H HOOK: wire into output)</t>
  </si>
  <si>
    <t>Ammonium nitrate: Net product price increase share (TASK H HOOK: wire into output)</t>
  </si>
  <si>
    <t>Primary aluminium: Net product price increase share (TASK H HOOK: wire into output)</t>
  </si>
  <si>
    <t>obr</t>
  </si>
  <si>
    <t>DRI-EAF steel: Rebate cost = rebate per t x production / 1000</t>
  </si>
  <si>
    <t>production kt: CBAM block o31-o38</t>
  </si>
  <si>
    <t>Scrap-EAF steel: Rebate cost = rebate per t x production / 1000</t>
  </si>
  <si>
    <t>BOF steel: Rebate cost = rebate per t x production / 1000</t>
  </si>
  <si>
    <t>Clinker / cement: Rebate cost = rebate per t x production / 1000</t>
  </si>
  <si>
    <t>Ammonia: Rebate cost = rebate per t x production / 1000</t>
  </si>
  <si>
    <t>Urea: Rebate cost = rebate per t x production / 1000</t>
  </si>
  <si>
    <t>Ammonium nitrate: Rebate cost = rebate per t x production / 1000</t>
  </si>
  <si>
    <t>Primary aluminium: Rebate cost = rebate per t x production / 1000</t>
  </si>
  <si>
    <t>Total rebate cost, CBAM products</t>
  </si>
  <si>
    <t>Sector rebate = sum of product rebate costs</t>
  </si>
  <si>
    <t>products: stl.drg, stl.scr, stl.bof</t>
  </si>
  <si>
    <t>Sector carbon-cost base = sum of full cost per t x production / 1000</t>
  </si>
  <si>
    <t>ccf</t>
  </si>
  <si>
    <t>Sector rebate share rsh = MIN(1, rebate / carbon-cost base)</t>
  </si>
  <si>
    <t>rsh</t>
  </si>
  <si>
    <t>applied to the kernel fuel carbon wedge (atp - ptp)</t>
  </si>
  <si>
    <t>Coal: net post-tax price = atp - (atp - ptp) x rsh</t>
  </si>
  <si>
    <t>atpn</t>
  </si>
  <si>
    <t>read by the ener usage term, Mitigation_Industry row 54</t>
  </si>
  <si>
    <t>Natural gas: net post-tax price = atp - (atp - ptp) x rsh</t>
  </si>
  <si>
    <t>read by the ener usage term, Mitigation_Industry row 55</t>
  </si>
  <si>
    <t>Gasoline: net post-tax price = atp - (atp - ptp) x rsh</t>
  </si>
  <si>
    <t>read by the ener usage term, Mitigation_Industry row 56</t>
  </si>
  <si>
    <t>Diesel: net post-tax price = atp - (atp - ptp) x rsh</t>
  </si>
  <si>
    <t>read by the ener usage term, Mitigation_Industry row 57</t>
  </si>
  <si>
    <t>LPG: net post-tax price = atp - (atp - ptp) x rsh</t>
  </si>
  <si>
    <t>read by the ener usage term, Mitigation_Industry row 58</t>
  </si>
  <si>
    <t>Kerosene: net post-tax price = atp - (atp - ptp) x rsh</t>
  </si>
  <si>
    <t>read by the ener usage term, Mitigation_Industry row 59</t>
  </si>
  <si>
    <t>Other oil products: net post-tax price = atp - (atp - ptp) x rsh</t>
  </si>
  <si>
    <t>read by the ener usage term, Mitigation_Industry row 60</t>
  </si>
  <si>
    <t>Biomass: net post-tax price = atp - (atp - ptp) x rsh</t>
  </si>
  <si>
    <t>read by the ener usage term, Mitigation_Industry row 61</t>
  </si>
  <si>
    <t>Self-generated renewables: net post-tax price = atp - (atp - ptp) x rsh</t>
  </si>
  <si>
    <t>read by the ener usage term, Mitigation_Industry row 62</t>
  </si>
  <si>
    <t>products: cmt.dry</t>
  </si>
  <si>
    <t>read by the ener usage term, Mitigation_Industry row 114</t>
  </si>
  <si>
    <t>read by the ener usage term, Mitigation_Industry row 115</t>
  </si>
  <si>
    <t>read by the ener usage term, Mitigation_Industry row 116</t>
  </si>
  <si>
    <t>read by the ener usage term, Mitigation_Industry row 117</t>
  </si>
  <si>
    <t>read by the ener usage term, Mitigation_Industry row 118</t>
  </si>
  <si>
    <t>read by the ener usage term, Mitigation_Industry row 119</t>
  </si>
  <si>
    <t>read by the ener usage term, Mitigation_Industry row 120</t>
  </si>
  <si>
    <t>read by the ener usage term, Mitigation_Industry row 121</t>
  </si>
  <si>
    <t>read by the ener usage term, Mitigation_Industry row 122</t>
  </si>
  <si>
    <t>products: alu.prp</t>
  </si>
  <si>
    <t>read by the ener usage term, Mitigation_Industry row 174</t>
  </si>
  <si>
    <t>read by the ener usage term, Mitigation_Industry row 175</t>
  </si>
  <si>
    <t>read by the ener usage term, Mitigation_Industry row 176</t>
  </si>
  <si>
    <t>read by the ener usage term, Mitigation_Industry row 177</t>
  </si>
  <si>
    <t>read by the ener usage term, Mitigation_Industry row 178</t>
  </si>
  <si>
    <t>read by the ener usage term, Mitigation_Industry row 179</t>
  </si>
  <si>
    <t>read by the ener usage term, Mitigation_Industry row 180</t>
  </si>
  <si>
    <t>read by the ener usage term, Mitigation_Industry row 181</t>
  </si>
  <si>
    <t>read by the ener usage term, Mitigation_Industry row 182</t>
  </si>
  <si>
    <t>products: frt.amc, frt.ure, frt.nit</t>
  </si>
  <si>
    <t>read by the ener usage term, Mitigation_Industry row 234</t>
  </si>
  <si>
    <t>read by the ener usage term, Mitigation_Industry row 235</t>
  </si>
  <si>
    <t>read by the ener usage term, Mitigation_Industry row 236</t>
  </si>
  <si>
    <t>read by the ener usage term, Mitigation_Industry row 237</t>
  </si>
  <si>
    <t>read by the ener usage term, Mitigation_Industry row 238</t>
  </si>
  <si>
    <t>read by the ener usage term, Mitigation_Industry row 239</t>
  </si>
  <si>
    <t>read by the ener usage term, Mitigation_Industry row 240</t>
  </si>
  <si>
    <t>read by the ener usage term, Mitigation_Industry row 241</t>
  </si>
  <si>
    <t>read by the ener usage term, Mitigation_Industry row 242</t>
  </si>
  <si>
    <t>revenue</t>
  </si>
  <si>
    <t>Total revenues (CBAM block o155)</t>
  </si>
  <si>
    <t>rev</t>
  </si>
  <si>
    <t>link to egy.mit.rev.cbam.tot.1 (Mitigation_Industry row 400)</t>
  </si>
  <si>
    <t>Total rebate cost</t>
  </si>
  <si>
    <t>Net revenue = total revenues - rebate cost</t>
  </si>
  <si>
    <t>revnet</t>
  </si>
  <si>
    <t>Output-based rebate - Policy (scenario 2); CBAM block rows 644-799, kernel rows 404-642</t>
  </si>
  <si>
    <t>Data_Prices = CBAM block o6 (row 650); ETS not included (Task E)</t>
  </si>
  <si>
    <t>read by the ener usage term, Mitigation_Industry row 453</t>
  </si>
  <si>
    <t>read by the ener usage term, Mitigation_Industry row 454</t>
  </si>
  <si>
    <t>read by the ener usage term, Mitigation_Industry row 455</t>
  </si>
  <si>
    <t>read by the ener usage term, Mitigation_Industry row 456</t>
  </si>
  <si>
    <t>read by the ener usage term, Mitigation_Industry row 457</t>
  </si>
  <si>
    <t>read by the ener usage term, Mitigation_Industry row 458</t>
  </si>
  <si>
    <t>read by the ener usage term, Mitigation_Industry row 459</t>
  </si>
  <si>
    <t>read by the ener usage term, Mitigation_Industry row 460</t>
  </si>
  <si>
    <t>read by the ener usage term, Mitigation_Industry row 461</t>
  </si>
  <si>
    <t>read by the ener usage term, Mitigation_Industry row 513</t>
  </si>
  <si>
    <t>read by the ener usage term, Mitigation_Industry row 514</t>
  </si>
  <si>
    <t>read by the ener usage term, Mitigation_Industry row 515</t>
  </si>
  <si>
    <t>read by the ener usage term, Mitigation_Industry row 516</t>
  </si>
  <si>
    <t>read by the ener usage term, Mitigation_Industry row 517</t>
  </si>
  <si>
    <t>read by the ener usage term, Mitigation_Industry row 518</t>
  </si>
  <si>
    <t>read by the ener usage term, Mitigation_Industry row 519</t>
  </si>
  <si>
    <t>read by the ener usage term, Mitigation_Industry row 520</t>
  </si>
  <si>
    <t>read by the ener usage term, Mitigation_Industry row 521</t>
  </si>
  <si>
    <t>read by the ener usage term, Mitigation_Industry row 573</t>
  </si>
  <si>
    <t>read by the ener usage term, Mitigation_Industry row 574</t>
  </si>
  <si>
    <t>read by the ener usage term, Mitigation_Industry row 575</t>
  </si>
  <si>
    <t>read by the ener usage term, Mitigation_Industry row 576</t>
  </si>
  <si>
    <t>read by the ener usage term, Mitigation_Industry row 577</t>
  </si>
  <si>
    <t>read by the ener usage term, Mitigation_Industry row 578</t>
  </si>
  <si>
    <t>read by the ener usage term, Mitigation_Industry row 579</t>
  </si>
  <si>
    <t>read by the ener usage term, Mitigation_Industry row 580</t>
  </si>
  <si>
    <t>read by the ener usage term, Mitigation_Industry row 581</t>
  </si>
  <si>
    <t>read by the ener usage term, Mitigation_Industry row 633</t>
  </si>
  <si>
    <t>read by the ener usage term, Mitigation_Industry row 634</t>
  </si>
  <si>
    <t>read by the ener usage term, Mitigation_Industry row 635</t>
  </si>
  <si>
    <t>read by the ener usage term, Mitigation_Industry row 636</t>
  </si>
  <si>
    <t>read by the ener usage term, Mitigation_Industry row 637</t>
  </si>
  <si>
    <t>read by the ener usage term, Mitigation_Industry row 638</t>
  </si>
  <si>
    <t>read by the ener usage term, Mitigation_Industry row 639</t>
  </si>
  <si>
    <t>read by the ener usage term, Mitigation_Industry row 640</t>
  </si>
  <si>
    <t>read by the ener usage term, Mitigation_Industry row 641</t>
  </si>
  <si>
    <t>link to egy.mit.rev.cbam.tot.2 (Mitigation_Industry row 799)</t>
  </si>
  <si>
    <t>usage term reads net price Rebate_Industry row 84 (atpn, Task I); efficiency term shp</t>
  </si>
  <si>
    <t>usage term reads net price Rebate_Industry row 85 (atpn, Task I); efficiency term shp</t>
  </si>
  <si>
    <t>usage term reads net price Rebate_Industry row 86 (atpn, Task I); efficiency term shp</t>
  </si>
  <si>
    <t>usage term reads net price Rebate_Industry row 87 (atpn, Task I); efficiency term shp</t>
  </si>
  <si>
    <t>usage term reads net price Rebate_Industry row 88 (atpn, Task I); efficiency term shp</t>
  </si>
  <si>
    <t>usage term reads net price Rebate_Industry row 89 (atpn, Task I); efficiency term shp</t>
  </si>
  <si>
    <t>usage term reads net price Rebate_Industry row 90 (atpn, Task I); efficiency term shp</t>
  </si>
  <si>
    <t>usage term reads net price Rebate_Industry row 91 (atpn, Task I); efficiency term shp</t>
  </si>
  <si>
    <t>usage term reads net price Rebate_Industry row 92 (atpn, Task I); efficiency term shp</t>
  </si>
  <si>
    <t>usage term reads net price Rebate_Industry row 98 (atpn, Task I); efficiency term shp</t>
  </si>
  <si>
    <t>usage term reads net price Rebate_Industry row 99 (atpn, Task I); efficiency term shp</t>
  </si>
  <si>
    <t>usage term reads net price Rebate_Industry row 100 (atpn, Task I); efficiency term shp</t>
  </si>
  <si>
    <t>usage term reads net price Rebate_Industry row 101 (atpn, Task I); efficiency term shp</t>
  </si>
  <si>
    <t>usage term reads net price Rebate_Industry row 102 (atpn, Task I); efficiency term shp</t>
  </si>
  <si>
    <t>usage term reads net price Rebate_Industry row 103 (atpn, Task I); efficiency term shp</t>
  </si>
  <si>
    <t>usage term reads net price Rebate_Industry row 104 (atpn, Task I); efficiency term shp</t>
  </si>
  <si>
    <t>usage term reads net price Rebate_Industry row 105 (atpn, Task I); efficiency term shp</t>
  </si>
  <si>
    <t>usage term reads net price Rebate_Industry row 106 (atpn, Task I); efficiency term shp</t>
  </si>
  <si>
    <t>usage term reads net price Rebate_Industry row 112 (atpn, Task I); efficiency term shp</t>
  </si>
  <si>
    <t>usage term reads net price Rebate_Industry row 113 (atpn, Task I); efficiency term shp</t>
  </si>
  <si>
    <t>usage term reads net price Rebate_Industry row 114 (atpn, Task I); efficiency term shp</t>
  </si>
  <si>
    <t>usage term reads net price Rebate_Industry row 115 (atpn, Task I); efficiency term shp</t>
  </si>
  <si>
    <t>usage term reads net price Rebate_Industry row 116 (atpn, Task I); efficiency term shp</t>
  </si>
  <si>
    <t>usage term reads net price Rebate_Industry row 117 (atpn, Task I); efficiency term shp</t>
  </si>
  <si>
    <t>usage term reads net price Rebate_Industry row 118 (atpn, Task I); efficiency term shp</t>
  </si>
  <si>
    <t>usage term reads net price Rebate_Industry row 119 (atpn, Task I); efficiency term shp</t>
  </si>
  <si>
    <t>usage term reads net price Rebate_Industry row 120 (atpn, Task I); efficiency term shp</t>
  </si>
  <si>
    <t>usage term reads net price Rebate_Industry row 126 (atpn, Task I); efficiency term shp</t>
  </si>
  <si>
    <t>usage term reads net price Rebate_Industry row 127 (atpn, Task I); efficiency term shp</t>
  </si>
  <si>
    <t>usage term reads net price Rebate_Industry row 128 (atpn, Task I); efficiency term shp</t>
  </si>
  <si>
    <t>usage term reads net price Rebate_Industry row 129 (atpn, Task I); efficiency term shp</t>
  </si>
  <si>
    <t>usage term reads net price Rebate_Industry row 130 (atpn, Task I); efficiency term shp</t>
  </si>
  <si>
    <t>usage term reads net price Rebate_Industry row 131 (atpn, Task I); efficiency term shp</t>
  </si>
  <si>
    <t>usage term reads net price Rebate_Industry row 132 (atpn, Task I); efficiency term shp</t>
  </si>
  <si>
    <t>usage term reads net price Rebate_Industry row 133 (atpn, Task I); efficiency term shp</t>
  </si>
  <si>
    <t>usage term reads net price Rebate_Industry row 134 (atpn, Task I); efficiency term shp</t>
  </si>
  <si>
    <t>usage term reads net price Rebate_Industry row 223 (atpn, Task I); efficiency term shp</t>
  </si>
  <si>
    <t>usage term reads net price Rebate_Industry row 224 (atpn, Task I); efficiency term shp</t>
  </si>
  <si>
    <t>usage term reads net price Rebate_Industry row 225 (atpn, Task I); efficiency term shp</t>
  </si>
  <si>
    <t>usage term reads net price Rebate_Industry row 226 (atpn, Task I); efficiency term shp</t>
  </si>
  <si>
    <t>usage term reads net price Rebate_Industry row 227 (atpn, Task I); efficiency term shp</t>
  </si>
  <si>
    <t>usage term reads net price Rebate_Industry row 228 (atpn, Task I); efficiency term shp</t>
  </si>
  <si>
    <t>usage term reads net price Rebate_Industry row 229 (atpn, Task I); efficiency term shp</t>
  </si>
  <si>
    <t>usage term reads net price Rebate_Industry row 230 (atpn, Task I); efficiency term shp</t>
  </si>
  <si>
    <t>usage term reads net price Rebate_Industry row 231 (atpn, Task I); efficiency term shp</t>
  </si>
  <si>
    <t>usage term reads net price Rebate_Industry row 237 (atpn, Task I); efficiency term shp</t>
  </si>
  <si>
    <t>usage term reads net price Rebate_Industry row 238 (atpn, Task I); efficiency term shp</t>
  </si>
  <si>
    <t>usage term reads net price Rebate_Industry row 239 (atpn, Task I); efficiency term shp</t>
  </si>
  <si>
    <t>usage term reads net price Rebate_Industry row 240 (atpn, Task I); efficiency term shp</t>
  </si>
  <si>
    <t>usage term reads net price Rebate_Industry row 241 (atpn, Task I); efficiency term shp</t>
  </si>
  <si>
    <t>usage term reads net price Rebate_Industry row 242 (atpn, Task I); efficiency term shp</t>
  </si>
  <si>
    <t>usage term reads net price Rebate_Industry row 243 (atpn, Task I); efficiency term shp</t>
  </si>
  <si>
    <t>usage term reads net price Rebate_Industry row 244 (atpn, Task I); efficiency term shp</t>
  </si>
  <si>
    <t>usage term reads net price Rebate_Industry row 245 (atpn, Task I); efficiency term shp</t>
  </si>
  <si>
    <t>usage term reads net price Rebate_Industry row 251 (atpn, Task I); efficiency term shp</t>
  </si>
  <si>
    <t>usage term reads net price Rebate_Industry row 252 (atpn, Task I); efficiency term shp</t>
  </si>
  <si>
    <t>usage term reads net price Rebate_Industry row 253 (atpn, Task I); efficiency term shp</t>
  </si>
  <si>
    <t>usage term reads net price Rebate_Industry row 254 (atpn, Task I); efficiency term shp</t>
  </si>
  <si>
    <t>usage term reads net price Rebate_Industry row 255 (atpn, Task I); efficiency term shp</t>
  </si>
  <si>
    <t>usage term reads net price Rebate_Industry row 256 (atpn, Task I); efficiency term shp</t>
  </si>
  <si>
    <t>usage term reads net price Rebate_Industry row 257 (atpn, Task I); efficiency term shp</t>
  </si>
  <si>
    <t>usage term reads net price Rebate_Industry row 258 (atpn, Task I); efficiency term shp</t>
  </si>
  <si>
    <t>usage term reads net price Rebate_Industry row 259 (atpn, Task I); efficiency term shp</t>
  </si>
  <si>
    <t>usage term reads net price Rebate_Industry row 265 (atpn, Task I); efficiency term shp</t>
  </si>
  <si>
    <t>usage term reads net price Rebate_Industry row 266 (atpn, Task I); efficiency term shp</t>
  </si>
  <si>
    <t>usage term reads net price Rebate_Industry row 267 (atpn, Task I); efficiency term shp</t>
  </si>
  <si>
    <t>usage term reads net price Rebate_Industry row 268 (atpn, Task I); efficiency term shp</t>
  </si>
  <si>
    <t>usage term reads net price Rebate_Industry row 269 (atpn, Task I); efficiency term shp</t>
  </si>
  <si>
    <t>usage term reads net price Rebate_Industry row 270 (atpn, Task I); efficiency term shp</t>
  </si>
  <si>
    <t>usage term reads net price Rebate_Industry row 271 (atpn, Task I); efficiency term shp</t>
  </si>
  <si>
    <t>usage term reads net price Rebate_Industry row 272 (atpn, Task I); efficiency term shp</t>
  </si>
  <si>
    <t>usage term reads net price Rebate_Industry row 273 (atpn, Task I); efficiency term shp</t>
  </si>
  <si>
    <t>Stream 1 (H: output response; L: CBAM price deduction); Stream 2 (I: Rebate_Industry)</t>
  </si>
  <si>
    <t>CBAM block o6; Stream 1 (H, L); Stream 2 (I: Rebate_Industry)</t>
  </si>
  <si>
    <t>Task I (stream 2, v0.12): output-based rebate in sheet Rebate_Industry (scenario 1 rows 5-139, scenario 2 rows 144-278). Rebate per t = MIN(obrrb x EU benchmark, fuel + process carbon cost per t); sector rebate share rsh = rebate / carbon-cost base; net fuel price atpn = atp - (atp - ptp) x rsh replaces atp in the kernel ener USAGE term only (efficiency term shp and block process ER keep the full price). Codes egy.mit.atpn.&lt;sector&gt;.&lt;fuel&gt;.e.&lt;s&gt;, obr/ccf/rsh.ind.&lt;sector&gt;.&lt;s&gt;, obrbm/ccpt/obrpu/obrpt/ccnet/ppin/obr.&lt;prod&gt;.&lt;s&gt;, obr.cbam.tot.&lt;s&gt;, revnet.cbam.tot.&lt;s&gt;. ppin = net product price increase share = TASK H HOOK (production exogenous until Task H). Only bundles with theta &gt; 0 (3B) change.</t>
  </si>
  <si>
    <t>Task I (Stream2 v2): output-based rebating (identities expected 0, counts expected 0)</t>
  </si>
  <si>
    <t>Rebate per t while obrsh = 0: sum |obrpt| x (obrsh = 0), all products</t>
  </si>
  <si>
    <t>Net carbon cost per t &lt; 0 or &gt; full carbon cost (count, all products)</t>
  </si>
  <si>
    <t>Net price atpn &gt; atp (full price) or atpn &lt; ptp (pre-tax) (count of fuel-years, irn)</t>
  </si>
  <si>
    <t>Net price atpn &gt; atp (full price) or atpn &lt; ptp (pre-tax) (count of fuel-years, cem)</t>
  </si>
  <si>
    <t>Net price atpn &gt; atp (full price) or atpn &lt; ptp (pre-tax) (count of fuel-years, nfm)</t>
  </si>
  <si>
    <t>Net price atpn &gt; atp (full price) or atpn &lt; ptp (pre-tax) (count of fuel-years, mch)</t>
  </si>
  <si>
    <t>Sector rebate share rsh outside [0,1] (count, 4 sectors)</t>
  </si>
  <si>
    <t>Total rebate cost - sum of product rebate rows</t>
  </si>
  <si>
    <t>Total rebate cost - sum of sector rebate rows</t>
  </si>
  <si>
    <t>Net revenue - (total revenues - total rebate cost)</t>
  </si>
  <si>
    <t>ener total scenario 1 (irn) - v1 (baseline, bundle-independent)</t>
  </si>
  <si>
    <t>ener total scenario 1 (cem) - v1 (baseline, bundle-independent)</t>
  </si>
  <si>
    <t>ener total scenario 1 (nfm) - v1 (baseline, bundle-independent)</t>
  </si>
  <si>
    <t>ener total scenario 1 (mch) - v1 (baseline, bundle-independent)</t>
  </si>
  <si>
    <t>ener total scenario 2 (irn) below v1 while theta &gt; 0 (count of years; the rebate can only raise energy use)</t>
  </si>
  <si>
    <t>ener total scenario 2 (cem) below v1 while theta &gt; 0 (count of years; the rebate can only raise energy use)</t>
  </si>
  <si>
    <t>ener total scenario 2 (nfm) below v1 while theta &gt; 0 (count of years; the rebate can only raise energy use)</t>
  </si>
  <si>
    <t>ener total scenario 2 (mch) below v1 while theta &gt; 0 (count of years; the rebate can only raise energy use)</t>
  </si>
  <si>
    <t>INFO: ener total scenario 2 (irn) - v1 for the active bundle (rebate effect, ktoe)</t>
  </si>
  <si>
    <t>info</t>
  </si>
  <si>
    <t>INFO: ener total scenario 2 (cem) - v1 for the active bundle (rebate effect, ktoe)</t>
  </si>
  <si>
    <t>INFO: ener total scenario 2 (nfm) - v1 for the active bundle (rebate effect, ktoe)</t>
  </si>
  <si>
    <t>INFO: ener total scenario 2 (mch) - v1 for the active bundle (rebate effect, ktoe)</t>
  </si>
  <si>
    <t>INFO: total rebate cost scenario 2 (USD million)</t>
  </si>
  <si>
    <t>INFO: net revenue scenario 2 (USD million)</t>
  </si>
  <si>
    <t>INFO: sector rebate share rsh scenario 2 (irn)</t>
  </si>
  <si>
    <t>INFO: sector rebate share rsh scenario 2 (cem)</t>
  </si>
  <si>
    <t>INFO: sector rebate share rsh scenario 2 (nfm)</t>
  </si>
  <si>
    <t>INFO: sector rebate share rsh scenario 2 (mch)</t>
  </si>
  <si>
    <t>v1:ener:1:irn:</t>
  </si>
  <si>
    <t>v1 ener ktoe</t>
  </si>
  <si>
    <t>v1:ener:1:cem:</t>
  </si>
  <si>
    <t>v1:ener:1:nfm:</t>
  </si>
  <si>
    <t>v1:ener:1:mch:</t>
  </si>
  <si>
    <t>v1:ener:2:irn:LEGACY</t>
  </si>
  <si>
    <t>v1 ener ktoe (LEGACY)</t>
  </si>
  <si>
    <t>v1:ener:2:cem:LEGACY</t>
  </si>
  <si>
    <t>v1:ener:2:nfm:LEGACY</t>
  </si>
  <si>
    <t>v1:ener:2:mch:LEGACY</t>
  </si>
  <si>
    <t>v1:shp:2:irn:LEGACY</t>
  </si>
  <si>
    <t>sum</t>
  </si>
  <si>
    <t>v1 sum shp (LEGACY)</t>
  </si>
  <si>
    <t>v1:shp:2:cem:LEGACY</t>
  </si>
  <si>
    <t>v1:shp:2:nfm:LEGACY</t>
  </si>
  <si>
    <t>v1:shp:2:mch:LEGACY</t>
  </si>
  <si>
    <t>v1:ener:2:irn:1A</t>
  </si>
  <si>
    <t>v1 ener ktoe (1A)</t>
  </si>
  <si>
    <t>v1:ener:2:cem:1A</t>
  </si>
  <si>
    <t>v1:ener:2:nfm:1A</t>
  </si>
  <si>
    <t>v1:ener:2:mch:1A</t>
  </si>
  <si>
    <t>v1:shp:2:irn:1A</t>
  </si>
  <si>
    <t>v1 sum shp (1A)</t>
  </si>
  <si>
    <t>v1:shp:2:cem:1A</t>
  </si>
  <si>
    <t>v1:shp:2:nfm:1A</t>
  </si>
  <si>
    <t>v1:shp:2:mch:1A</t>
  </si>
  <si>
    <t>v1:ener:2:irn:2A</t>
  </si>
  <si>
    <t>v1 ener ktoe (2A)</t>
  </si>
  <si>
    <t>v1:ener:2:cem:2A</t>
  </si>
  <si>
    <t>v1:ener:2:nfm:2A</t>
  </si>
  <si>
    <t>v1:ener:2:mch:2A</t>
  </si>
  <si>
    <t>v1:shp:2:irn:2A</t>
  </si>
  <si>
    <t>v1 sum shp (2A)</t>
  </si>
  <si>
    <t>v1:shp:2:cem:2A</t>
  </si>
  <si>
    <t>v1:shp:2:nfm:2A</t>
  </si>
  <si>
    <t>v1:shp:2:mch:2A</t>
  </si>
  <si>
    <t>v1:ener:2:irn:2B</t>
  </si>
  <si>
    <t>v1 ener ktoe (2B)</t>
  </si>
  <si>
    <t>v1:ener:2:cem:2B</t>
  </si>
  <si>
    <t>v1:ener:2:nfm:2B</t>
  </si>
  <si>
    <t>v1:ener:2:mch:2B</t>
  </si>
  <si>
    <t>v1:shp:2:irn:2B</t>
  </si>
  <si>
    <t>v1 sum shp (2B)</t>
  </si>
  <si>
    <t>v1:shp:2:cem:2B</t>
  </si>
  <si>
    <t>v1:shp:2:nfm:2B</t>
  </si>
  <si>
    <t>v1:shp:2:mch:2B</t>
  </si>
  <si>
    <t>v1:ener:2:irn:3A</t>
  </si>
  <si>
    <t>v1 ener ktoe (3A)</t>
  </si>
  <si>
    <t>v1:ener:2:cem:3A</t>
  </si>
  <si>
    <t>v1:ener:2:nfm:3A</t>
  </si>
  <si>
    <t>v1:ener:2:mch:3A</t>
  </si>
  <si>
    <t>v1:shp:2:irn:3A</t>
  </si>
  <si>
    <t>v1 sum shp (3A)</t>
  </si>
  <si>
    <t>v1:shp:2:cem:3A</t>
  </si>
  <si>
    <t>v1:shp:2:nfm:3A</t>
  </si>
  <si>
    <t>v1:shp:2:mch:3A</t>
  </si>
  <si>
    <t>v1:ener:2:irn:3B</t>
  </si>
  <si>
    <t>v1 ener ktoe (3B)</t>
  </si>
  <si>
    <t>v1:ener:2:cem:3B</t>
  </si>
  <si>
    <t>v1:ener:2:nfm:3B</t>
  </si>
  <si>
    <t>v1:ener:2:mch:3B</t>
  </si>
  <si>
    <t>v1:shp:2:irn:3B</t>
  </si>
  <si>
    <t>v1 sum shp (3B)</t>
  </si>
  <si>
    <t>v1:shp:2:cem:3B</t>
  </si>
  <si>
    <t>v1:shp:2:nfm:3B</t>
  </si>
  <si>
    <t>v1:shp:2:mch:3B</t>
  </si>
  <si>
    <t>v1:ener:2:irn:3C</t>
  </si>
  <si>
    <t>v1 ener ktoe (3C)</t>
  </si>
  <si>
    <t>v1:ener:2:cem:3C</t>
  </si>
  <si>
    <t>v1:ener:2:nfm:3C</t>
  </si>
  <si>
    <t>v1:ener:2:mch:3C</t>
  </si>
  <si>
    <t>v1:shp:2:irn:3C</t>
  </si>
  <si>
    <t>v1 sum shp (3C)</t>
  </si>
  <si>
    <t>v1:shp:2:cem:3C</t>
  </si>
  <si>
    <t>v1:shp:2:nfm:3C</t>
  </si>
  <si>
    <t>v1:shp:2:mch:3C</t>
  </si>
  <si>
    <t>Max |identity| and violation counts (Task I)</t>
  </si>
  <si>
    <t>identities rows 1554-1585, counts rows 1586-1589</t>
  </si>
  <si>
    <t>Mitigation Module - Egypt: Industry kernel - use-of-funds model (Task J): fund F = phi x carbon revenue (pre-fund); fund shadow price s solves outlay(s) = F along the CBAM block abatement curves (fuel semi-elasticities; process ERmax x (1 - e^-beta P) per category np / no, Task D), sequential after the carbon price; s -&gt; block o4 (fuel and process ER) and -&gt; kernel shp (efficiency term only) via Data_Prices shp/ssc</t>
  </si>
  <si>
    <t>Fund parameters (GREEN = manual input)</t>
  </si>
  <si>
    <t>Outlay rule: RATE = fund pays s $/t for all abatement (reverse-auction clearing price); COST = fund pays the abatement cost (area under the marginal cost curve)</t>
  </si>
  <si>
    <t>text</t>
  </si>
  <si>
    <t>RATE</t>
  </si>
  <si>
    <t>Cap on the fund shadow price s (binding cap -&gt; part of the fund stays unspent)</t>
  </si>
  <si>
    <t>ssc_fund: share of s added to the kernel efficiency-term shadow price shp (Data_Prices egy.mit.ssc.&lt;sector&gt;.2); 1 = full s (kernel usage term never sees s)</t>
  </si>
  <si>
    <t>Newton iterations: 15 (explicit rows, no circular reference)</t>
  </si>
  <si>
    <t>Abatement fund - Baseline (scenario 1); CBAM block rows 245-400, kernel rows 5-243 - MEMO ONLY (baseline fundsh = 0; not wired to the block or the kernel)</t>
  </si>
  <si>
    <t>Fund share of carbon revenue phi (active bundle)</t>
  </si>
  <si>
    <t>Carbon price on energy CO2</t>
  </si>
  <si>
    <t>CBAM block o2 (row 247)</t>
  </si>
  <si>
    <t>ETS price</t>
  </si>
  <si>
    <t>CBAM block o3 (row 248)</t>
  </si>
  <si>
    <t>Carbon price on process CO2</t>
  </si>
  <si>
    <t>CBAM block o63 (row 308)</t>
  </si>
  <si>
    <t>pf</t>
  </si>
  <si>
    <t>Fuel-CO2 carbon price per t - DRI-EAF steel</t>
  </si>
  <si>
    <t>block o54-o61 col F/G x o2/o3</t>
  </si>
  <si>
    <t>Fuel-CO2 carbon price per t - Scrap-EAF steel</t>
  </si>
  <si>
    <t>Fuel-CO2 carbon price per t - BOF steel</t>
  </si>
  <si>
    <t>Fuel-CO2 carbon price per t - Clinker / cement</t>
  </si>
  <si>
    <t>Fuel-CO2 carbon price per t - Ammonia</t>
  </si>
  <si>
    <t>Fuel-CO2 carbon price per t - Urea</t>
  </si>
  <si>
    <t>Fuel-CO2 carbon price per t - Ammonium nitrate</t>
  </si>
  <si>
    <t>Fuel-CO2 carbon price per t - Primary aluminium</t>
  </si>
  <si>
    <t>pp</t>
  </si>
  <si>
    <t>stl.drg.np</t>
  </si>
  <si>
    <t>Process-CO2 carbon price per t - DRI-EAF steel (np)</t>
  </si>
  <si>
    <t>block o65-o72 col F/G x o63/o3 (same price for np and no)</t>
  </si>
  <si>
    <t>stl.scr.np</t>
  </si>
  <si>
    <t>Process-CO2 carbon price per t - Scrap-EAF steel (np)</t>
  </si>
  <si>
    <t>stl.bof.np</t>
  </si>
  <si>
    <t>Process-CO2 carbon price per t - BOF steel (np)</t>
  </si>
  <si>
    <t>cmt.dry.np</t>
  </si>
  <si>
    <t>Process-CO2 carbon price per t - Clinker / cement (np)</t>
  </si>
  <si>
    <t>frt.amc.np</t>
  </si>
  <si>
    <t>Process-CO2 carbon price per t - Ammonia (np)</t>
  </si>
  <si>
    <t>frt.ure.np</t>
  </si>
  <si>
    <t>Process-CO2 carbon price per t - Urea (np)</t>
  </si>
  <si>
    <t>frt.nit.np</t>
  </si>
  <si>
    <t>Process-CO2 carbon price per t - Ammonium nitrate (np)</t>
  </si>
  <si>
    <t>alu.prp.np</t>
  </si>
  <si>
    <t>Process-CO2 carbon price per t - Primary aluminium (np)</t>
  </si>
  <si>
    <t>stl.drg.no</t>
  </si>
  <si>
    <t>Process-CO2 carbon price per t - DRI-EAF steel (no)</t>
  </si>
  <si>
    <t>stl.scr.no</t>
  </si>
  <si>
    <t>Process-CO2 carbon price per t - Scrap-EAF steel (no)</t>
  </si>
  <si>
    <t>stl.bof.no</t>
  </si>
  <si>
    <t>Process-CO2 carbon price per t - BOF steel (no)</t>
  </si>
  <si>
    <t>cmt.dry.no</t>
  </si>
  <si>
    <t>Process-CO2 carbon price per t - Clinker / cement (no)</t>
  </si>
  <si>
    <t>frt.amc.no</t>
  </si>
  <si>
    <t>Process-CO2 carbon price per t - Ammonia (no)</t>
  </si>
  <si>
    <t>frt.ure.no</t>
  </si>
  <si>
    <t>Process-CO2 carbon price per t - Urea (no)</t>
  </si>
  <si>
    <t>frt.nit.no</t>
  </si>
  <si>
    <t>Process-CO2 carbon price per t - Ammonium nitrate (no)</t>
  </si>
  <si>
    <t>alu.prp.no</t>
  </si>
  <si>
    <t>Process-CO2 carbon price per t - Primary aluminium (no)</t>
  </si>
  <si>
    <t>wf</t>
  </si>
  <si>
    <t>Fuel CO2 abatement base - DRI-EAF steel</t>
  </si>
  <si>
    <t>block o85-o92</t>
  </si>
  <si>
    <t>Fuel CO2 abatement base - Scrap-EAF steel</t>
  </si>
  <si>
    <t>Fuel CO2 abatement base - BOF steel</t>
  </si>
  <si>
    <t>Fuel CO2 abatement base - Clinker / cement</t>
  </si>
  <si>
    <t>Fuel CO2 abatement base - Ammonia</t>
  </si>
  <si>
    <t>Fuel CO2 abatement base - Urea</t>
  </si>
  <si>
    <t>Fuel CO2 abatement base - Ammonium nitrate</t>
  </si>
  <si>
    <t>Fuel CO2 abatement base - Primary aluminium</t>
  </si>
  <si>
    <t>bf</t>
  </si>
  <si>
    <t>Fuel semi-elasticity beta_f - DRI-EAF steel</t>
  </si>
  <si>
    <t>1/($/t)</t>
  </si>
  <si>
    <t>Manual inputs E40:E47</t>
  </si>
  <si>
    <t>Fuel semi-elasticity beta_f - Scrap-EAF steel</t>
  </si>
  <si>
    <t>Fuel semi-elasticity beta_f - BOF steel</t>
  </si>
  <si>
    <t>Fuel semi-elasticity beta_f - Clinker / cement</t>
  </si>
  <si>
    <t>Fuel semi-elasticity beta_f - Ammonia</t>
  </si>
  <si>
    <t>Fuel semi-elasticity beta_f - Urea</t>
  </si>
  <si>
    <t>Fuel semi-elasticity beta_f - Ammonium nitrate</t>
  </si>
  <si>
    <t>Fuel semi-elasticity beta_f - Primary aluminium</t>
  </si>
  <si>
    <t>bp</t>
  </si>
  <si>
    <t>Process semi-elasticity beta_p - DRI-EAF steel (np)</t>
  </si>
  <si>
    <t>Task D (Manual inputs T / V rows 53-60)</t>
  </si>
  <si>
    <t>Process semi-elasticity beta_p - Scrap-EAF steel (np)</t>
  </si>
  <si>
    <t>Process semi-elasticity beta_p - BOF steel (np)</t>
  </si>
  <si>
    <t>Process semi-elasticity beta_p - Clinker / cement (np)</t>
  </si>
  <si>
    <t>Process semi-elasticity beta_p - Ammonia (np)</t>
  </si>
  <si>
    <t>Process semi-elasticity beta_p - Urea (np)</t>
  </si>
  <si>
    <t>Process semi-elasticity beta_p - Ammonium nitrate (np)</t>
  </si>
  <si>
    <t>Process semi-elasticity beta_p - Primary aluminium (np)</t>
  </si>
  <si>
    <t>Process semi-elasticity beta_p - DRI-EAF steel (no)</t>
  </si>
  <si>
    <t>Process semi-elasticity beta_p - Scrap-EAF steel (no)</t>
  </si>
  <si>
    <t>Process semi-elasticity beta_p - BOF steel (no)</t>
  </si>
  <si>
    <t>Process semi-elasticity beta_p - Clinker / cement (no)</t>
  </si>
  <si>
    <t>Process semi-elasticity beta_p - Ammonia (no)</t>
  </si>
  <si>
    <t>Process semi-elasticity beta_p - Urea (no)</t>
  </si>
  <si>
    <t>Process semi-elasticity beta_p - Ammonium nitrate (no)</t>
  </si>
  <si>
    <t>Process semi-elasticity beta_p - Primary aluminium (no)</t>
  </si>
  <si>
    <t>wm</t>
  </si>
  <si>
    <t>Maximum abatable process CO2 = production x coverage x MAX(EF,0) x ERmax - DRI-EAF steel (np)</t>
  </si>
  <si>
    <t>block o31 x o28 col J/K x o19 col J/K x o118 col F/H (Task D)</t>
  </si>
  <si>
    <t>Maximum abatable process CO2 = production x coverage x MAX(EF,0) x ERmax - Scrap-EAF steel (np)</t>
  </si>
  <si>
    <t>Maximum abatable process CO2 = production x coverage x MAX(EF,0) x ERmax - BOF steel (np)</t>
  </si>
  <si>
    <t>Maximum abatable process CO2 = production x coverage x MAX(EF,0) x ERmax - Clinker / cement (np)</t>
  </si>
  <si>
    <t>Maximum abatable process CO2 = production x coverage x MAX(EF,0) x ERmax - Ammonia (np)</t>
  </si>
  <si>
    <t>Maximum abatable process CO2 = production x coverage x MAX(EF,0) x ERmax - Urea (np)</t>
  </si>
  <si>
    <t>Maximum abatable process CO2 = production x coverage x MAX(EF,0) x ERmax - Ammonium nitrate (np)</t>
  </si>
  <si>
    <t>Maximum abatable process CO2 = production x coverage x MAX(EF,0) x ERmax - Primary aluminium (np)</t>
  </si>
  <si>
    <t>Maximum abatable process CO2 = production x coverage x MAX(EF,0) x ERmax - DRI-EAF steel (no)</t>
  </si>
  <si>
    <t>Maximum abatable process CO2 = production x coverage x MAX(EF,0) x ERmax - Scrap-EAF steel (no)</t>
  </si>
  <si>
    <t>Maximum abatable process CO2 = production x coverage x MAX(EF,0) x ERmax - BOF steel (no)</t>
  </si>
  <si>
    <t>Maximum abatable process CO2 = production x coverage x MAX(EF,0) x ERmax - Clinker / cement (no)</t>
  </si>
  <si>
    <t>Maximum abatable process CO2 = production x coverage x MAX(EF,0) x ERmax - Ammonia (no)</t>
  </si>
  <si>
    <t>Maximum abatable process CO2 = production x coverage x MAX(EF,0) x ERmax - Urea (no)</t>
  </si>
  <si>
    <t>Maximum abatable process CO2 = production x coverage x MAX(EF,0) x ERmax - Ammonium nitrate (no)</t>
  </si>
  <si>
    <t>Maximum abatable process CO2 = production x coverage x MAX(EF,0) x ERmax - Primary aluminium (no)</t>
  </si>
  <si>
    <t>wp</t>
  </si>
  <si>
    <t>Process CO2 abatable after the carbon price = wm x EXP(-beta_p x pp) - DRI-EAF steel (np)</t>
  </si>
  <si>
    <t>fund increment = wm e^-bP (1 - e^-bs)</t>
  </si>
  <si>
    <t>Process CO2 abatable after the carbon price = wm x EXP(-beta_p x pp) - Scrap-EAF steel (np)</t>
  </si>
  <si>
    <t>Process CO2 abatable after the carbon price = wm x EXP(-beta_p x pp) - BOF steel (np)</t>
  </si>
  <si>
    <t>Process CO2 abatable after the carbon price = wm x EXP(-beta_p x pp) - Clinker / cement (np)</t>
  </si>
  <si>
    <t>Process CO2 abatable after the carbon price = wm x EXP(-beta_p x pp) - Ammonia (np)</t>
  </si>
  <si>
    <t>Process CO2 abatable after the carbon price = wm x EXP(-beta_p x pp) - Urea (np)</t>
  </si>
  <si>
    <t>Process CO2 abatable after the carbon price = wm x EXP(-beta_p x pp) - Ammonium nitrate (np)</t>
  </si>
  <si>
    <t>Process CO2 abatable after the carbon price = wm x EXP(-beta_p x pp) - Primary aluminium (np)</t>
  </si>
  <si>
    <t>Process CO2 abatable after the carbon price = wm x EXP(-beta_p x pp) - DRI-EAF steel (no)</t>
  </si>
  <si>
    <t>Process CO2 abatable after the carbon price = wm x EXP(-beta_p x pp) - Scrap-EAF steel (no)</t>
  </si>
  <si>
    <t>Process CO2 abatable after the carbon price = wm x EXP(-beta_p x pp) - BOF steel (no)</t>
  </si>
  <si>
    <t>Process CO2 abatable after the carbon price = wm x EXP(-beta_p x pp) - Clinker / cement (no)</t>
  </si>
  <si>
    <t>Process CO2 abatable after the carbon price = wm x EXP(-beta_p x pp) - Ammonia (no)</t>
  </si>
  <si>
    <t>Process CO2 abatable after the carbon price = wm x EXP(-beta_p x pp) - Urea (no)</t>
  </si>
  <si>
    <t>Process CO2 abatable after the carbon price = wm x EXP(-beta_p x pp) - Ammonium nitrate (no)</t>
  </si>
  <si>
    <t>Process CO2 abatable after the carbon price = wm x EXP(-beta_p x pp) - Primary aluminium (no)</t>
  </si>
  <si>
    <t>fund</t>
  </si>
  <si>
    <t>revf0</t>
  </si>
  <si>
    <t>cbam</t>
  </si>
  <si>
    <t>Fuel-CO2 carbon revenue before the fund response (= block o137 at o4 = 0)</t>
  </si>
  <si>
    <t>sum wf x covered share (o85 col I) x pf</t>
  </si>
  <si>
    <t>revp0</t>
  </si>
  <si>
    <t>Process-CO2 carbon revenue before the fund response (= block o138 at o4 = 0)</t>
  </si>
  <si>
    <t>covered process CO2 (o96 x o85 col J) x pp - carbon-price abatement (wm - wp) x pp</t>
  </si>
  <si>
    <t>rev0</t>
  </si>
  <si>
    <t>Carbon revenue base of the fund (pre-fund; = block o155 when phi = 0)</t>
  </si>
  <si>
    <t>revf0 + revp0; breaks the fund -&gt; abatement -&gt; revenue -&gt; fund circularity (ex-post shortfall below)</t>
  </si>
  <si>
    <t>Abatement fund F = phi x rev0</t>
  </si>
  <si>
    <t>feeds CBAM block o5 'Revenues Fund' (row 250)</t>
  </si>
  <si>
    <t>emrp0</t>
  </si>
  <si>
    <t>Process ER from the carbon price alone (= block o126 at o4 = 0)</t>
  </si>
  <si>
    <t>sum wp - sum wm</t>
  </si>
  <si>
    <t>swb</t>
  </si>
  <si>
    <t>Marginal abatement at s = 0: sum w x beta (fuel + process)</t>
  </si>
  <si>
    <t>MtCO2 per $/t</t>
  </si>
  <si>
    <t>A'(0); start value s0 = SQRT(F / A'(0)) (x2 for the COST rule)</t>
  </si>
  <si>
    <t>s0</t>
  </si>
  <si>
    <t>Newton start value</t>
  </si>
  <si>
    <t>newton</t>
  </si>
  <si>
    <t>15 safeguarded Newton steps on outlay(s) - F = 0; step k evaluates A, outlay and d outlay/ds at s(k-1); s(k) = s(k-1) - (outlay - F) / gradient, halved if negative, capped at smax; s = 0 when F &lt;= 0</t>
  </si>
  <si>
    <t>A1</t>
  </si>
  <si>
    <t>Abatement A(s0)</t>
  </si>
  <si>
    <t>A</t>
  </si>
  <si>
    <t>out1</t>
  </si>
  <si>
    <t>Outlay(s0)</t>
  </si>
  <si>
    <t>out</t>
  </si>
  <si>
    <t>gd1</t>
  </si>
  <si>
    <t>d outlay / ds at s0</t>
  </si>
  <si>
    <t>USD million per $/t</t>
  </si>
  <si>
    <t>gd</t>
  </si>
  <si>
    <t>s1</t>
  </si>
  <si>
    <t>Shadow price after step 1</t>
  </si>
  <si>
    <t>s</t>
  </si>
  <si>
    <t>A2</t>
  </si>
  <si>
    <t>Abatement A(s1)</t>
  </si>
  <si>
    <t>out2</t>
  </si>
  <si>
    <t>Outlay(s1)</t>
  </si>
  <si>
    <t>gd2</t>
  </si>
  <si>
    <t>d outlay / ds at s1</t>
  </si>
  <si>
    <t>s2</t>
  </si>
  <si>
    <t>Shadow price after step 2</t>
  </si>
  <si>
    <t>A3</t>
  </si>
  <si>
    <t>Abatement A(s2)</t>
  </si>
  <si>
    <t>out3</t>
  </si>
  <si>
    <t>Outlay(s2)</t>
  </si>
  <si>
    <t>gd3</t>
  </si>
  <si>
    <t>d outlay / ds at s2</t>
  </si>
  <si>
    <t>s3</t>
  </si>
  <si>
    <t>Shadow price after step 3</t>
  </si>
  <si>
    <t>A4</t>
  </si>
  <si>
    <t>Abatement A(s3)</t>
  </si>
  <si>
    <t>out4</t>
  </si>
  <si>
    <t>Outlay(s3)</t>
  </si>
  <si>
    <t>gd4</t>
  </si>
  <si>
    <t>d outlay / ds at s3</t>
  </si>
  <si>
    <t>s4</t>
  </si>
  <si>
    <t>Shadow price after step 4</t>
  </si>
  <si>
    <t>A5</t>
  </si>
  <si>
    <t>Abatement A(s4)</t>
  </si>
  <si>
    <t>out5</t>
  </si>
  <si>
    <t>Outlay(s4)</t>
  </si>
  <si>
    <t>gd5</t>
  </si>
  <si>
    <t>d outlay / ds at s4</t>
  </si>
  <si>
    <t>s5</t>
  </si>
  <si>
    <t>Shadow price after step 5</t>
  </si>
  <si>
    <t>A6</t>
  </si>
  <si>
    <t>Abatement A(s5)</t>
  </si>
  <si>
    <t>out6</t>
  </si>
  <si>
    <t>Outlay(s5)</t>
  </si>
  <si>
    <t>gd6</t>
  </si>
  <si>
    <t>d outlay / ds at s5</t>
  </si>
  <si>
    <t>s6</t>
  </si>
  <si>
    <t>Shadow price after step 6</t>
  </si>
  <si>
    <t>A7</t>
  </si>
  <si>
    <t>Abatement A(s6)</t>
  </si>
  <si>
    <t>out7</t>
  </si>
  <si>
    <t>Outlay(s6)</t>
  </si>
  <si>
    <t>gd7</t>
  </si>
  <si>
    <t>d outlay / ds at s6</t>
  </si>
  <si>
    <t>s7</t>
  </si>
  <si>
    <t>Shadow price after step 7</t>
  </si>
  <si>
    <t>A8</t>
  </si>
  <si>
    <t>Abatement A(s7)</t>
  </si>
  <si>
    <t>out8</t>
  </si>
  <si>
    <t>Outlay(s7)</t>
  </si>
  <si>
    <t>gd8</t>
  </si>
  <si>
    <t>d outlay / ds at s7</t>
  </si>
  <si>
    <t>s8</t>
  </si>
  <si>
    <t>Shadow price after step 8</t>
  </si>
  <si>
    <t>A9</t>
  </si>
  <si>
    <t>Abatement A(s8)</t>
  </si>
  <si>
    <t>out9</t>
  </si>
  <si>
    <t>Outlay(s8)</t>
  </si>
  <si>
    <t>gd9</t>
  </si>
  <si>
    <t>d outlay / ds at s8</t>
  </si>
  <si>
    <t>s9</t>
  </si>
  <si>
    <t>Shadow price after step 9</t>
  </si>
  <si>
    <t>A10</t>
  </si>
  <si>
    <t>Abatement A(s9)</t>
  </si>
  <si>
    <t>out10</t>
  </si>
  <si>
    <t>Outlay(s9)</t>
  </si>
  <si>
    <t>gd10</t>
  </si>
  <si>
    <t>d outlay / ds at s9</t>
  </si>
  <si>
    <t>s10</t>
  </si>
  <si>
    <t>Shadow price after step 10</t>
  </si>
  <si>
    <t>A11</t>
  </si>
  <si>
    <t>Abatement A(s10)</t>
  </si>
  <si>
    <t>out11</t>
  </si>
  <si>
    <t>Outlay(s10)</t>
  </si>
  <si>
    <t>gd11</t>
  </si>
  <si>
    <t>d outlay / ds at s10</t>
  </si>
  <si>
    <t>s11</t>
  </si>
  <si>
    <t>Shadow price after step 11</t>
  </si>
  <si>
    <t>A12</t>
  </si>
  <si>
    <t>Abatement A(s11)</t>
  </si>
  <si>
    <t>out12</t>
  </si>
  <si>
    <t>Outlay(s11)</t>
  </si>
  <si>
    <t>gd12</t>
  </si>
  <si>
    <t>d outlay / ds at s11</t>
  </si>
  <si>
    <t>s12</t>
  </si>
  <si>
    <t>Shadow price after step 12</t>
  </si>
  <si>
    <t>A13</t>
  </si>
  <si>
    <t>Abatement A(s12)</t>
  </si>
  <si>
    <t>out13</t>
  </si>
  <si>
    <t>Outlay(s12)</t>
  </si>
  <si>
    <t>gd13</t>
  </si>
  <si>
    <t>d outlay / ds at s12</t>
  </si>
  <si>
    <t>s13</t>
  </si>
  <si>
    <t>Shadow price after step 13</t>
  </si>
  <si>
    <t>A14</t>
  </si>
  <si>
    <t>Abatement A(s13)</t>
  </si>
  <si>
    <t>out14</t>
  </si>
  <si>
    <t>Outlay(s13)</t>
  </si>
  <si>
    <t>gd14</t>
  </si>
  <si>
    <t>d outlay / ds at s13</t>
  </si>
  <si>
    <t>s14</t>
  </si>
  <si>
    <t>Shadow price after step 14</t>
  </si>
  <si>
    <t>A15</t>
  </si>
  <si>
    <t>Abatement A(s14)</t>
  </si>
  <si>
    <t>out15</t>
  </si>
  <si>
    <t>Outlay(s14)</t>
  </si>
  <si>
    <t>gd15</t>
  </si>
  <si>
    <t>d outlay / ds at s14</t>
  </si>
  <si>
    <t>s15</t>
  </si>
  <si>
    <t>Shadow price after step 15</t>
  </si>
  <si>
    <t>result</t>
  </si>
  <si>
    <t>Fund shadow price s (solution)</t>
  </si>
  <si>
    <t>feeds Scenarios fundsp row -&gt; Data_Prices egy.mit.fundsp.1 -&gt; CBAM block o4 (row 249); -&gt; kernel shp via shpf rows below</t>
  </si>
  <si>
    <t>abat</t>
  </si>
  <si>
    <t>Fund-financed abatement A(s), fuel + process</t>
  </si>
  <si>
    <t>equals -(block o115 + o126 - emrp0) exactly (Check)</t>
  </si>
  <si>
    <t>abatf</t>
  </si>
  <si>
    <t>Fund-financed fuel-CO2 abatement</t>
  </si>
  <si>
    <t>equals -block o115</t>
  </si>
  <si>
    <t>abatp</t>
  </si>
  <si>
    <t>Fund-financed process-CO2 abatement (np + no)</t>
  </si>
  <si>
    <t>equals emrp0 - block o126</t>
  </si>
  <si>
    <t>outlay</t>
  </si>
  <si>
    <t>Fund outlay at s (RATE: s x A; COST: abatement cost)</t>
  </si>
  <si>
    <t>resid</t>
  </si>
  <si>
    <t>Budget residual outlay - F (0 unless capped or F &lt;= 0)</t>
  </si>
  <si>
    <t>unspent</t>
  </si>
  <si>
    <t>Unspent fund = MAX(0, F - outlay)</t>
  </si>
  <si>
    <t>capped</t>
  </si>
  <si>
    <t>s at the cap smax (1/0)</t>
  </si>
  <si>
    <t>flag</t>
  </si>
  <si>
    <t>cpt</t>
  </si>
  <si>
    <t>Average fund cost per t abated = outlay / A</t>
  </si>
  <si>
    <t>expost</t>
  </si>
  <si>
    <t>Ex-post fund = phi x block o155 (revenue after the fund response)</t>
  </si>
  <si>
    <t>INFO: o155 falls as the fund abates priced emissions</t>
  </si>
  <si>
    <t>short</t>
  </si>
  <si>
    <t>Ex-post revenue shortfall = phi x o155 - F (&lt;= 0)</t>
  </si>
  <si>
    <t>INFO</t>
  </si>
  <si>
    <t>s x Scenarios pass-through factor (E30:E38, fuel price unit per $/tCO2; bio / ren 0) -&gt; Data_Prices egy.mit.shp.&lt;fuel&gt;.ind.1 -&gt; kernel shp = atp + shpf x ssc (efficiency term only)</t>
  </si>
  <si>
    <t>Fund shadow price in fuel price units - coa</t>
  </si>
  <si>
    <t>shpf</t>
  </si>
  <si>
    <t>Fund shadow price in fuel price units - nga</t>
  </si>
  <si>
    <t>Fund shadow price in fuel price units - gso</t>
  </si>
  <si>
    <t>Fund shadow price in fuel price units - die</t>
  </si>
  <si>
    <t>Fund shadow price in fuel price units - lpg</t>
  </si>
  <si>
    <t>Fund shadow price in fuel price units - ker</t>
  </si>
  <si>
    <t>Fund shadow price in fuel price units - oop</t>
  </si>
  <si>
    <t>Fund shadow price in fuel price units - bio</t>
  </si>
  <si>
    <t>Fund shadow price in fuel price units - ren</t>
  </si>
  <si>
    <t>Abatement fund - Policy (scenario 2); CBAM block rows 644-799, kernel rows 404-642</t>
  </si>
  <si>
    <t>CBAM block o2 (row 646)</t>
  </si>
  <si>
    <t>CBAM block o3 (row 647)</t>
  </si>
  <si>
    <t>CBAM block o63 (row 707)</t>
  </si>
  <si>
    <t>feeds CBAM block o5 'Revenues Fund' (row 649)</t>
  </si>
  <si>
    <t>feeds Scenarios fundsp row -&gt; Data_Prices egy.mit.fundsp.2 -&gt; CBAM block o4 (row 648); -&gt; kernel shp via shpf rows below</t>
  </si>
  <si>
    <t>s x Scenarios pass-through factor (E30:E38, fuel price unit per $/tCO2; bio / ren 0) -&gt; Data_Prices egy.mit.shp.&lt;fuel&gt;.ind.2 -&gt; kernel shp = atp + shpf x ssc (efficiency term only)</t>
  </si>
  <si>
    <t>Shadow price of non-price policies ($/unit): Task J fund shadow price s x pass-through factor (Fund_Industry shpf row 410); 0 when the bundle's fund share phi = 0</t>
  </si>
  <si>
    <t>Shadow price of non-price policies ($/unit): Task J fund shadow price s x pass-through factor (Fund_Industry shpf row 411); 0 when the bundle's fund share phi = 0</t>
  </si>
  <si>
    <t>Shadow price of non-price policies ($/unit): Task J fund shadow price s x pass-through factor (Fund_Industry shpf row 412); 0 when the bundle's fund share phi = 0</t>
  </si>
  <si>
    <t>Shadow price of non-price policies ($/unit): Task J fund shadow price s x pass-through factor (Fund_Industry shpf row 413); 0 when the bundle's fund share phi = 0</t>
  </si>
  <si>
    <t>Shadow price of non-price policies ($/unit): Task J fund shadow price s x pass-through factor (Fund_Industry shpf row 414); 0 when the bundle's fund share phi = 0</t>
  </si>
  <si>
    <t>Shadow price of non-price policies ($/unit): Task J fund shadow price s x pass-through factor (Fund_Industry shpf row 415); 0 when the bundle's fund share phi = 0</t>
  </si>
  <si>
    <t>Shadow price of non-price policies ($/unit): Task J fund shadow price s x pass-through factor (Fund_Industry shpf row 416); 0 when the bundle's fund share phi = 0</t>
  </si>
  <si>
    <t>Shadow price of non-price policies ($/unit): Task J fund shadow price s x pass-through factor (Fund_Industry shpf row 417); 0 when the bundle's fund share phi = 0</t>
  </si>
  <si>
    <t>Shadow price of non-price policies ($/unit): Task J fund shadow price s x pass-through factor (Fund_Industry shpf row 418); 0 when the bundle's fund share phi = 0</t>
  </si>
  <si>
    <t>Share of the shadow price added to the efficiency-term price shp: Task J ssc_fund (Fund_Industry F6, default 1)</t>
  </si>
  <si>
    <t>Shadow price of fund-financed abatement s (acts on intensity only): solved in Fund_Industry so that fund outlay(s) = phi x carbon revenue (Task J)</t>
  </si>
  <si>
    <t>CBAM block o4 -&gt; fuel ER rows o107-o114 and process ER rows o118-o125 (price term P + s); kernel shp via Data_Prices shp.&lt;fuel&gt;.ind.2 (Fund_Industry shpf rows)</t>
  </si>
  <si>
    <t>CBAM block o5; Fund_Industry fund size F = phi x rev0 (Task J)</t>
  </si>
  <si>
    <t>Task J (stream 2, v0.12): use-of-funds model in sheet Fund_Industry (scenario 1 rows 10-211 memo only, scenario 2 rows 217-418). Fund F = phi x pre-fund carbon revenue rev0 (block fuel + process revenue at o4 = 0); the fund buys abatement along the CBAM block semi-elasticity curves after the carbon price: shadow price s solves outlay(s) = F (outlay rule RATE: s x A(s); alternative COST: area under the marginal cost curve; Fund_Industry F4:F6 parameters, cap smax). s -&gt; fundsp row 49 -&gt; block o4 (fuel ER o107-o114 as before; process ER o118-o125 and o15/o16 now use EXP(-beta x (P + o4))); o5 = F. Kernel: Data_Prices shp.&lt;fuel&gt;.ind.2 = s x pass-through factor (rows 30-38), ssc.&lt;sector&gt;.2 = ssc_fund, so shp = atp + s x cpf reaches the EFFICIENCY term only (usage term keeps atpn / atp). Codes egy.mit.fund/rev0/fundsp/abat/abatf/abatp/outlay/unspent/cpt.cbam.tot.&lt;s&gt;, pf/pp/wf/wp/bf/bp.&lt;prod&gt;.&lt;s&gt;, shpf.&lt;fuel&gt;.ind.&lt;s&gt;. Only bundles with phi &gt; 0 (3C) change.</t>
  </si>
  <si>
    <t>Task J: fund F = fundsh x rev0 (Fund_Industry row 122; pre-fund revenue base, not o155, to avoid the fund -&gt; abatement -&gt; revenue circularity)</t>
  </si>
  <si>
    <t>Fund-financed abatement shadow price s (Task J, Fund_Industry row 190 via Scenarios / Data_Prices); fuel ER o107-o114, process ER o118-o125 and o15/o16 (price term P + o4)</t>
  </si>
  <si>
    <t>Task J: price term = process price + o4 fund shadow price (np and no) - sequential: the fund's abatement is ERmax x e^-beta P x (1 - e^-beta s)</t>
  </si>
  <si>
    <t xml:space="preserve"> Task J: price term includes o4.</t>
  </si>
  <si>
    <t>Task J: fund F = fundsh x rev0 (Fund_Industry row 329; pre-fund revenue base, not o155, to avoid the fund -&gt; abatement -&gt; revenue circularity)</t>
  </si>
  <si>
    <t>Fund-financed abatement shadow price s (Task J, Fund_Industry row 397 via Scenarios / Data_Prices); fuel ER o107-o114, process ER o118-o125 and o15/o16 (price term P + o4)</t>
  </si>
  <si>
    <t>Efficiency-term price unchanged: sum of shp over fuels (scenario 2, irn) - v1, active bundle and phi = 0 (Task J)</t>
  </si>
  <si>
    <t>Efficiency-term price unchanged: sum of shp over fuels (scenario 2, cem) - v1, active bundle and phi = 0 (Task J)</t>
  </si>
  <si>
    <t>Efficiency-term price unchanged: sum of shp over fuels (scenario 2, nfm) - v1, active bundle and phi = 0 (Task J)</t>
  </si>
  <si>
    <t>Efficiency-term price unchanged: sum of shp over fuels (scenario 2, mch) - v1, active bundle and phi = 0 (Task J)</t>
  </si>
  <si>
    <t>ener total scenario 2 (irn) - v1 for the active bundle when its theta = 0 (else 0) and phi = 0 (Task J)</t>
  </si>
  <si>
    <t>ener total scenario 2 (cem) - v1 for the active bundle when its theta = 0 (else 0) and phi = 0 (Task J)</t>
  </si>
  <si>
    <t>ener total scenario 2 (nfm) - v1 for the active bundle when its theta = 0 (else 0) and phi = 0 (Task J)</t>
  </si>
  <si>
    <t>ener total scenario 2 (mch) - v1 for the active bundle when its theta = 0 (else 0) and phi = 0 (Task J)</t>
  </si>
  <si>
    <t>Task J (Stream2 v3): use-of-funds model (identities expected 0, counts expected 0)</t>
  </si>
  <si>
    <t>Fund shadow price s, scenario 1 (baseline fundsh = 0; memo block)</t>
  </si>
  <si>
    <t>Budget residual outlay(s) - F when F &gt; 0, s uncapped and abatement available (Newton convergence)</t>
  </si>
  <si>
    <t>Block fund ER identity: o115 + o126 - emrp0 + A(s) (fuel + process ER from the fund = -A exactly)</t>
  </si>
  <si>
    <t>Pre-fund revenue base rev0 - block o155 when phi = 0 (else 0)</t>
  </si>
  <si>
    <t>Block o5 'Revenues Fund' - F</t>
  </si>
  <si>
    <t>Kernel shadow-price wedge: sum over fuels of (shp - atp - shpf x ssc_fund), scenario 2, irn</t>
  </si>
  <si>
    <t>Kernel shadow-price wedge: sum over fuels of (shp - atp - shpf x ssc_fund), scenario 2, cem</t>
  </si>
  <si>
    <t>Kernel shadow-price wedge: sum over fuels of (shp - atp - shpf x ssc_fund), scenario 2, nfm</t>
  </si>
  <si>
    <t>Kernel shadow-price wedge: sum over fuels of (shp - atp - shpf x ssc_fund), scenario 2, mch</t>
  </si>
  <si>
    <t>Scenarios fundsp row 49 - s (scenario 2)</t>
  </si>
  <si>
    <t>Block o4 'Total Shadow Price' - s (scenario 2)</t>
  </si>
  <si>
    <t>ener total scenario 1 (irn) - v2 (baseline, bundle-independent)</t>
  </si>
  <si>
    <t>ener total scenario 1 (cem) - v2 (baseline, bundle-independent)</t>
  </si>
  <si>
    <t>ener total scenario 1 (nfm) - v2 (baseline, bundle-independent)</t>
  </si>
  <si>
    <t>ener total scenario 1 (mch) - v2 (baseline, bundle-independent)</t>
  </si>
  <si>
    <t>ener total scenario 2 (irn) - v2 for the active bundle when its phi = 0 (else 0)</t>
  </si>
  <si>
    <t>ener total scenario 2 (cem) - v2 for the active bundle when its phi = 0 (else 0)</t>
  </si>
  <si>
    <t>ener total scenario 2 (nfm) - v2 for the active bundle when its phi = 0 (else 0)</t>
  </si>
  <si>
    <t>ener total scenario 2 (mch) - v2 for the active bundle when its phi = 0 (else 0)</t>
  </si>
  <si>
    <t>Usage-term price unchanged: sum of atp over fuels (scenario 2, irn) - v2, all bundles</t>
  </si>
  <si>
    <t>Usage-term price unchanged: sum of atp over fuels (scenario 2, cem) - v2, all bundles</t>
  </si>
  <si>
    <t>Usage-term price unchanged: sum of atp over fuels (scenario 2, nfm) - v2, all bundles</t>
  </si>
  <si>
    <t>Usage-term price unchanged: sum of atp over fuels (scenario 2, mch) - v2, all bundles</t>
  </si>
  <si>
    <t>Block o135 total emissions scenario 2 - v2 when phi = 0 (else 0)</t>
  </si>
  <si>
    <t>Rebate cost obr.cbam.tot.2 - v2, all bundles (rebate independent of the fund)</t>
  </si>
  <si>
    <t>Net revenue revnet.cbam.tot.2 - v2 when phi = 0 (else 0)</t>
  </si>
  <si>
    <t>s outside [0, smax] (count of years, scenario 2)</t>
  </si>
  <si>
    <t>ener total scenario 2 (irn) above v2 while phi &gt; 0 (count of years; the fund can only lower energy use)</t>
  </si>
  <si>
    <t>ener total scenario 2 (cem) above v2 while phi &gt; 0 (count of years; the fund can only lower energy use)</t>
  </si>
  <si>
    <t>ener total scenario 2 (nfm) above v2 while phi &gt; 0 (count of years; the fund can only lower energy use)</t>
  </si>
  <si>
    <t>ener total scenario 2 (mch) above v2 while phi &gt; 0 (count of years; the fund can only lower energy use)</t>
  </si>
  <si>
    <t>Block o135 scenario 2 above v2 while phi &gt; 0 (count of years)</t>
  </si>
  <si>
    <t>INFO: fund F (USD million), scenario 2</t>
  </si>
  <si>
    <t>INFO: fund shadow price s ($/tCO2), scenario 2</t>
  </si>
  <si>
    <t>INFO: fund-financed abatement A (MtCO2), scenario 2</t>
  </si>
  <si>
    <t>INFO: fuel-CO2 abatement (MtCO2), scenario 2</t>
  </si>
  <si>
    <t>INFO: process-CO2 abatement (MtCO2), scenario 2</t>
  </si>
  <si>
    <t>INFO: fund outlay (USD million), scenario 2</t>
  </si>
  <si>
    <t>INFO: unspent fund (USD million), scenario 2</t>
  </si>
  <si>
    <t>INFO: s capped at smax (1/0), scenario 2</t>
  </si>
  <si>
    <t>INFO: ex-post revenue shortfall phi x o155 - F (USD million), scenario 2</t>
  </si>
  <si>
    <t>INFO: ener total scenario 2 (irn) - v2 for the active bundle (fund effect, ktoe)</t>
  </si>
  <si>
    <t>INFO: ener total scenario 2 (cem) - v2 for the active bundle (fund effect, ktoe)</t>
  </si>
  <si>
    <t>INFO: ener total scenario 2 (nfm) - v2 for the active bundle (fund effect, ktoe)</t>
  </si>
  <si>
    <t>INFO: ener total scenario 2 (mch) - v2 for the active bundle (fund effect, ktoe)</t>
  </si>
  <si>
    <t>INFO: kernel energy CO2 scenario 2 (4 sectors, Emissions_Industry) - v2 (MtCO2)</t>
  </si>
  <si>
    <t>INFO: block o135 total emissions scenario 2 - v2 (MtCO2e)</t>
  </si>
  <si>
    <t>INFO: block o155 total revenues scenario 2 - v2 (USD million)</t>
  </si>
  <si>
    <t>INFO: net revenue revnet.cbam.tot.2 (USD million)</t>
  </si>
  <si>
    <t>Note: for every bundle with phi = 0 (all but 3C) all kernel and block values equal v2 (s = 0 exactly); for 3C the fund shadow price raises the efficiency-term price shp and the block ER rows, so energy use and emissions are &lt;= v2 (INFO rows). atp (usage term) and the rebate are unchanged for all bundles. Residual tolerance: Newton converges to ~1E-12 USD million.</t>
  </si>
  <si>
    <t>v2:ener:1:irn:</t>
  </si>
  <si>
    <t>v2 ener ktoe</t>
  </si>
  <si>
    <t>v2:ener:1:cem:</t>
  </si>
  <si>
    <t>v2:ener:1:nfm:</t>
  </si>
  <si>
    <t>v2:ener:1:mch:</t>
  </si>
  <si>
    <t>v2:ener:2:irn:LEGACY</t>
  </si>
  <si>
    <t>v2 ener ktoe (LEGACY)</t>
  </si>
  <si>
    <t>v2:ener:2:cem:LEGACY</t>
  </si>
  <si>
    <t>v2:ener:2:nfm:LEGACY</t>
  </si>
  <si>
    <t>v2:ener:2:mch:LEGACY</t>
  </si>
  <si>
    <t>v2:atp:2:irn:LEGACY</t>
  </si>
  <si>
    <t>v2 sum atp (LEGACY)</t>
  </si>
  <si>
    <t>v2:atp:2:cem:LEGACY</t>
  </si>
  <si>
    <t>v2:atp:2:nfm:LEGACY</t>
  </si>
  <si>
    <t>v2:atp:2:mch:LEGACY</t>
  </si>
  <si>
    <t>v2:emis:2:tot:LEGACY</t>
  </si>
  <si>
    <t>v2 emis MtCO2e (LEGACY)</t>
  </si>
  <si>
    <t>v2:rev:2:tot:LEGACY</t>
  </si>
  <si>
    <t>v2 rev USD million (LEGACY)</t>
  </si>
  <si>
    <t>v2:obr:2:tot:LEGACY</t>
  </si>
  <si>
    <t>v2 obr USD million (LEGACY)</t>
  </si>
  <si>
    <t>v2:revnet:2:tot:LEGACY</t>
  </si>
  <si>
    <t>v2 revnet USD million (LEGACY)</t>
  </si>
  <si>
    <t>v2:eco2:2:tot:LEGACY</t>
  </si>
  <si>
    <t>v2 eco2 MtCO2 (LEGACY)</t>
  </si>
  <si>
    <t>v2:phi:2:tot:LEGACY</t>
  </si>
  <si>
    <t>phi</t>
  </si>
  <si>
    <t>v2 bundle fund share (info)</t>
  </si>
  <si>
    <t>v2:ener:2:irn:1A</t>
  </si>
  <si>
    <t>v2 ener ktoe (1A)</t>
  </si>
  <si>
    <t>v2:ener:2:cem:1A</t>
  </si>
  <si>
    <t>v2:ener:2:nfm:1A</t>
  </si>
  <si>
    <t>v2:ener:2:mch:1A</t>
  </si>
  <si>
    <t>v2:atp:2:irn:1A</t>
  </si>
  <si>
    <t>v2 sum atp (1A)</t>
  </si>
  <si>
    <t>v2:atp:2:cem:1A</t>
  </si>
  <si>
    <t>v2:atp:2:nfm:1A</t>
  </si>
  <si>
    <t>v2:atp:2:mch:1A</t>
  </si>
  <si>
    <t>v2:emis:2:tot:1A</t>
  </si>
  <si>
    <t>v2 emis MtCO2e (1A)</t>
  </si>
  <si>
    <t>v2:rev:2:tot:1A</t>
  </si>
  <si>
    <t>v2 rev USD million (1A)</t>
  </si>
  <si>
    <t>v2:obr:2:tot:1A</t>
  </si>
  <si>
    <t>v2 obr USD million (1A)</t>
  </si>
  <si>
    <t>v2:revnet:2:tot:1A</t>
  </si>
  <si>
    <t>v2 revnet USD million (1A)</t>
  </si>
  <si>
    <t>v2:eco2:2:tot:1A</t>
  </si>
  <si>
    <t>v2 eco2 MtCO2 (1A)</t>
  </si>
  <si>
    <t>v2:phi:2:tot:1A</t>
  </si>
  <si>
    <t>v2:ener:2:irn:2A</t>
  </si>
  <si>
    <t>v2 ener ktoe (2A)</t>
  </si>
  <si>
    <t>v2:ener:2:cem:2A</t>
  </si>
  <si>
    <t>v2:ener:2:nfm:2A</t>
  </si>
  <si>
    <t>v2:ener:2:mch:2A</t>
  </si>
  <si>
    <t>v2:atp:2:irn:2A</t>
  </si>
  <si>
    <t>v2 sum atp (2A)</t>
  </si>
  <si>
    <t>v2:atp:2:cem:2A</t>
  </si>
  <si>
    <t>v2:atp:2:nfm:2A</t>
  </si>
  <si>
    <t>v2:atp:2:mch:2A</t>
  </si>
  <si>
    <t>v2:emis:2:tot:2A</t>
  </si>
  <si>
    <t>v2 emis MtCO2e (2A)</t>
  </si>
  <si>
    <t>v2:rev:2:tot:2A</t>
  </si>
  <si>
    <t>v2 rev USD million (2A)</t>
  </si>
  <si>
    <t>v2:obr:2:tot:2A</t>
  </si>
  <si>
    <t>v2 obr USD million (2A)</t>
  </si>
  <si>
    <t>v2:revnet:2:tot:2A</t>
  </si>
  <si>
    <t>v2 revnet USD million (2A)</t>
  </si>
  <si>
    <t>v2:eco2:2:tot:2A</t>
  </si>
  <si>
    <t>v2 eco2 MtCO2 (2A)</t>
  </si>
  <si>
    <t>v2:phi:2:tot:2A</t>
  </si>
  <si>
    <t>v2:ener:2:irn:2B</t>
  </si>
  <si>
    <t>v2 ener ktoe (2B)</t>
  </si>
  <si>
    <t>v2:ener:2:cem:2B</t>
  </si>
  <si>
    <t>v2:ener:2:nfm:2B</t>
  </si>
  <si>
    <t>v2:ener:2:mch:2B</t>
  </si>
  <si>
    <t>v2:atp:2:irn:2B</t>
  </si>
  <si>
    <t>v2 sum atp (2B)</t>
  </si>
  <si>
    <t>v2:atp:2:cem:2B</t>
  </si>
  <si>
    <t>v2:atp:2:nfm:2B</t>
  </si>
  <si>
    <t>v2:atp:2:mch:2B</t>
  </si>
  <si>
    <t>v2:emis:2:tot:2B</t>
  </si>
  <si>
    <t>v2 emis MtCO2e (2B)</t>
  </si>
  <si>
    <t>v2:rev:2:tot:2B</t>
  </si>
  <si>
    <t>v2 rev USD million (2B)</t>
  </si>
  <si>
    <t>v2:obr:2:tot:2B</t>
  </si>
  <si>
    <t>v2 obr USD million (2B)</t>
  </si>
  <si>
    <t>v2:revnet:2:tot:2B</t>
  </si>
  <si>
    <t>v2 revnet USD million (2B)</t>
  </si>
  <si>
    <t>v2:eco2:2:tot:2B</t>
  </si>
  <si>
    <t>v2 eco2 MtCO2 (2B)</t>
  </si>
  <si>
    <t>v2:phi:2:tot:2B</t>
  </si>
  <si>
    <t>v2:ener:2:irn:3A</t>
  </si>
  <si>
    <t>v2 ener ktoe (3A)</t>
  </si>
  <si>
    <t>v2:ener:2:cem:3A</t>
  </si>
  <si>
    <t>v2:ener:2:nfm:3A</t>
  </si>
  <si>
    <t>v2:ener:2:mch:3A</t>
  </si>
  <si>
    <t>v2:atp:2:irn:3A</t>
  </si>
  <si>
    <t>v2 sum atp (3A)</t>
  </si>
  <si>
    <t>v2:atp:2:cem:3A</t>
  </si>
  <si>
    <t>v2:atp:2:nfm:3A</t>
  </si>
  <si>
    <t>v2:atp:2:mch:3A</t>
  </si>
  <si>
    <t>v2:emis:2:tot:3A</t>
  </si>
  <si>
    <t>v2 emis MtCO2e (3A)</t>
  </si>
  <si>
    <t>v2:rev:2:tot:3A</t>
  </si>
  <si>
    <t>v2 rev USD million (3A)</t>
  </si>
  <si>
    <t>v2:obr:2:tot:3A</t>
  </si>
  <si>
    <t>v2 obr USD million (3A)</t>
  </si>
  <si>
    <t>v2:revnet:2:tot:3A</t>
  </si>
  <si>
    <t>v2 revnet USD million (3A)</t>
  </si>
  <si>
    <t>v2:eco2:2:tot:3A</t>
  </si>
  <si>
    <t>v2 eco2 MtCO2 (3A)</t>
  </si>
  <si>
    <t>v2:phi:2:tot:3A</t>
  </si>
  <si>
    <t>v2:ener:2:irn:3B</t>
  </si>
  <si>
    <t>v2 ener ktoe (3B)</t>
  </si>
  <si>
    <t>v2:ener:2:cem:3B</t>
  </si>
  <si>
    <t>v2:ener:2:nfm:3B</t>
  </si>
  <si>
    <t>v2:ener:2:mch:3B</t>
  </si>
  <si>
    <t>v2:atp:2:irn:3B</t>
  </si>
  <si>
    <t>v2 sum atp (3B)</t>
  </si>
  <si>
    <t>v2:atp:2:cem:3B</t>
  </si>
  <si>
    <t>v2:atp:2:nfm:3B</t>
  </si>
  <si>
    <t>v2:atp:2:mch:3B</t>
  </si>
  <si>
    <t>v2:emis:2:tot:3B</t>
  </si>
  <si>
    <t>v2 emis MtCO2e (3B)</t>
  </si>
  <si>
    <t>v2:rev:2:tot:3B</t>
  </si>
  <si>
    <t>v2 rev USD million (3B)</t>
  </si>
  <si>
    <t>v2:obr:2:tot:3B</t>
  </si>
  <si>
    <t>v2 obr USD million (3B)</t>
  </si>
  <si>
    <t>v2:revnet:2:tot:3B</t>
  </si>
  <si>
    <t>v2 revnet USD million (3B)</t>
  </si>
  <si>
    <t>v2:eco2:2:tot:3B</t>
  </si>
  <si>
    <t>v2 eco2 MtCO2 (3B)</t>
  </si>
  <si>
    <t>v2:phi:2:tot:3B</t>
  </si>
  <si>
    <t>v2:ener:2:irn:3C</t>
  </si>
  <si>
    <t>v2 ener ktoe (3C)</t>
  </si>
  <si>
    <t>v2:ener:2:cem:3C</t>
  </si>
  <si>
    <t>v2:ener:2:nfm:3C</t>
  </si>
  <si>
    <t>v2:ener:2:mch:3C</t>
  </si>
  <si>
    <t>v2:atp:2:irn:3C</t>
  </si>
  <si>
    <t>v2 sum atp (3C)</t>
  </si>
  <si>
    <t>v2:atp:2:cem:3C</t>
  </si>
  <si>
    <t>v2:atp:2:nfm:3C</t>
  </si>
  <si>
    <t>v2:atp:2:mch:3C</t>
  </si>
  <si>
    <t>v2:emis:2:tot:3C</t>
  </si>
  <si>
    <t>v2 emis MtCO2e (3C)</t>
  </si>
  <si>
    <t>v2:rev:2:tot:3C</t>
  </si>
  <si>
    <t>v2 rev USD million (3C)</t>
  </si>
  <si>
    <t>v2:obr:2:tot:3C</t>
  </si>
  <si>
    <t>v2 obr USD million (3C)</t>
  </si>
  <si>
    <t>v2:revnet:2:tot:3C</t>
  </si>
  <si>
    <t>v2 revnet USD million (3C)</t>
  </si>
  <si>
    <t>v2:eco2:2:tot:3C</t>
  </si>
  <si>
    <t>v2 eco2 MtCO2 (3C)</t>
  </si>
  <si>
    <t>v2:phi:2:tot:3C</t>
  </si>
  <si>
    <t>Max |identity| and violation counts (Task J)</t>
  </si>
  <si>
    <t>identities rows 1669-1698, counts rows 1699-1704</t>
  </si>
  <si>
    <t>Stored pre-Task-I values (v0.11 + Task F within the v0.12 build, computed per bundle by looping Settings!B10 before the Task I changes); key = v1:&lt;var&gt;:&lt;scenario&gt;:&lt;sector&gt;:&lt;bundle&gt;</t>
  </si>
  <si>
    <t>Note: for every bundle with theta = 0 (all but 3B) all kernel values equal v1 (atpn = atp exactly); for 3B the rebate lowers the net price in the ener usage term so energy use is &gt;= v1 (INFO rows). The efficiency-term price (shp) is unchanged for all bundles. Production responds to the net carbon cost (Task H, v0.10, which already deducts obrrb); ppin is memo.</t>
  </si>
  <si>
    <t>v0.12</t>
  </si>
  <si>
    <t>T2 merge: Stream 2 (branch v0.7 -&gt; Stream2_v1/v2/v3) integrated into the mainline v0.11 by re-applying the branch steps (build_v0_12.py imports build_stream2_v1/v2/v3). Task F: new sheets Data_EF, Emissions_Industry (eco2 = ener x EF), MTInputs EmissionsFactCO2 / EFsAdjustmentNonAnnexI green; check (d) now conditions on the explicit price o2 + o3 (branch used o1, a cascade to the year row). Task I: new sheet Rebate_Industry (Fund-independent output-based rebate per t = MIN(obrrb x EU benchmark, carbon cost per t), sector rebate share, net prices atpn); kernel ener usage term reads atpn (1368 cells, asserted); ppin memo since Task H (v0.10) already deducts obrrb in the output response (basis covered EF; Task I basis EU benchmark -&gt; CAVEATS). Task J: new sheet Fund_Industry (F = phi x pre-fund revenue rev0, shadow price s by 15 Newton rows, RATE|COST rule); process abatement rebuilt for the v0.9 per-category ERmax form (wm = Q x cov x EF x ERmax, wp = wm x e^-beta P, 16 rows np/no); block o5 = F, '+o4' inside the process price term of o118-o125 (np and no) and o15/o16 (440 block cells, asserted against v0.11); Data_Prices shp.&lt;fuel&gt;.ind.2 = s x pass-through, ssc.&lt;sector&gt;.2 = ssc_fund (260 cells); Scenarios fundsp row 49 = s. Check sections F (row 1520), I (row 1552), J (row 1667) store the pre-step values per bundle computed inside this build. Regression vs v0.11: all Check summaries 0 for every bundle; Mitigation_Industry identical to v0.11 for LEGACY, 1A, 2A, 2B, 3A (max |diff| 0); changed by design: 3B 873; 3C 1.9e+03. Sheets list above not extended (keeps row 25 fixed).</t>
  </si>
  <si>
    <t>IPPU accounting (Task G, v0.13)</t>
  </si>
  <si>
    <t>Non-block IPPU response (IppuOther: NONE / CPAT)</t>
  </si>
  <si>
    <t>NONE</t>
  </si>
  <si>
    <t>NONE (default, MajorIssues #17): IPPU outside the CBAM block held at baseline in the policy scenario. CPAT: scaled with industrial energy CO2 as in CPAT. Code egy.in.ippuoth</t>
  </si>
  <si>
    <t>IPPU_Industry: kernel IPPU = block process (np + no, post-policy) + fp flagged below + non-block remainder (CPAT IPPU baseline - block IPPU baseline); replaces CPAT's proportional IPPU row</t>
  </si>
  <si>
    <t>fp counted as IPPU (1/0)</t>
  </si>
  <si>
    <t>0: DRI reductant gas stays in energy CO2 (IEA/CPAT iron &amp; steel final consumption; block steel fc+fp &lt; CPAT irn)</t>
  </si>
  <si>
    <t>assumption</t>
  </si>
  <si>
    <t>egy.in.ippufp.stl.drg</t>
  </si>
  <si>
    <t>0: no fp</t>
  </si>
  <si>
    <t>egy.in.ippufp.stl.scr</t>
  </si>
  <si>
    <t>0: BF-BOF coke/coal reductant counted with energy (not produced in Egypt, Q = 0)</t>
  </si>
  <si>
    <t>egy.in.ippufp.stl.bof</t>
  </si>
  <si>
    <t>egy.in.ippufp.cmt.dry</t>
  </si>
  <si>
    <t>1: SMR feedstock gas = IEA non-energy use (not in CPAT energy CO2; CPAT mch = 0) and IPCC 2B1 IPPU</t>
  </si>
  <si>
    <t>egy.in.ippufp.frt.amc</t>
  </si>
  <si>
    <t>egy.in.ippufp.frt.ure</t>
  </si>
  <si>
    <t>egy.in.ippufp.frt.nit</t>
  </si>
  <si>
    <t>egy.in.ippufp.alu.prp</t>
  </si>
  <si>
    <t>Mitigation Module - Egypt: Industry kernel - IPPU accounting and fuel-CO2 reconciliation (Task G): block process emissions replace CPAT's proportional IPPU row</t>
  </si>
  <si>
    <t>A. CPAT IPPU inventory and industrial energy CO2, baseline (CPAT_1_0pre_456 Mitigation, stored values)</t>
  </si>
  <si>
    <t>co2</t>
  </si>
  <si>
    <t>ipr</t>
  </si>
  <si>
    <t>IPPU CO2, CPAT baseline</t>
  </si>
  <si>
    <t>CPAT Mitigation row 7566</t>
  </si>
  <si>
    <t>2022-23 inventory (rows 844-847); 2024+ x ind CO2 growth (row 7553)</t>
  </si>
  <si>
    <t>ch4</t>
  </si>
  <si>
    <t>IPPU CH4, CPAT baseline</t>
  </si>
  <si>
    <t>CPAT Mitigation row 7567</t>
  </si>
  <si>
    <t>n2o</t>
  </si>
  <si>
    <t>IPPU N2O, CPAT baseline</t>
  </si>
  <si>
    <t>CPAT Mitigation row 7568</t>
  </si>
  <si>
    <t>fga</t>
  </si>
  <si>
    <t>IPPU F-gases, CPAT baseline</t>
  </si>
  <si>
    <t>CPAT Mitigation row 7569</t>
  </si>
  <si>
    <t>IPPU all gases, CPAT baseline</t>
  </si>
  <si>
    <t>CPAT Mitigation row 7570</t>
  </si>
  <si>
    <t>sum of the gas rows</t>
  </si>
  <si>
    <t>Industrial energy CO2 (all industry sectors), CPAT baseline</t>
  </si>
  <si>
    <t>CPAT Mitigation row 6590</t>
  </si>
  <si>
    <t>IPPU growth driver in CPAT</t>
  </si>
  <si>
    <t>B1. IPPU accounting - Baseline (scenario 1)</t>
  </si>
  <si>
    <t>kern</t>
  </si>
  <si>
    <t>Energy CO2, kernel sectors (irn + cem + nfm + mch)</t>
  </si>
  <si>
    <t>Emissions_Industry</t>
  </si>
  <si>
    <t>Task F sector totals</t>
  </si>
  <si>
    <t>Industrial energy CO2 implied (CPAT baseline + kernel change)</t>
  </si>
  <si>
    <t>row 11 + kernel change</t>
  </si>
  <si>
    <t>non-kernel industry sectors held at the CPAT baseline</t>
  </si>
  <si>
    <t>IPPU, CPAT method (all IPPU scaled with industrial energy CO2)</t>
  </si>
  <si>
    <t>CPAT Mitigation rows 7553, 7566-7570</t>
  </si>
  <si>
    <t>the row Task G replaces; scenario 1 = CPAT egy.mit.ghg.ipr.tot.1</t>
  </si>
  <si>
    <t>Block process CO2 (np), post-policy</t>
  </si>
  <si>
    <t>Mitigation_Industry row 260 (o15)</t>
  </si>
  <si>
    <t>egy.mit.emisnp.cbam.tot.1</t>
  </si>
  <si>
    <t>Block non-CO2 process (no), post-policy</t>
  </si>
  <si>
    <t>Mitigation_Industry row 261 (o16)</t>
  </si>
  <si>
    <t>egy.mit.emisno.cbam.tot.1</t>
  </si>
  <si>
    <t>Block process emissions (np + no), post-policy</t>
  </si>
  <si>
    <t>Mitigation_Industry row 390 (o145)</t>
  </si>
  <si>
    <t>egy.mit.emisp.cbam.tot.1</t>
  </si>
  <si>
    <t>Block fuel used in the process (fp) counted as IPPU</t>
  </si>
  <si>
    <t>Mitigation_Industry o85-o92 + o107-o114</t>
  </si>
  <si>
    <t>(fuel + fuel ER) x fp/(fc+fp) x flag (Manual inputs E88:E95)</t>
  </si>
  <si>
    <t>Block IPPU (process + fp counted as IPPU)</t>
  </si>
  <si>
    <t>oth</t>
  </si>
  <si>
    <t>Non-block IPPU (IPPU outside the CBAM block)</t>
  </si>
  <si>
    <t>CPAT IPPU baseline - block IPPU baseline (about 40-60% of IPPU)</t>
  </si>
  <si>
    <t>IPPU, kernel (block + non-block) - replaces the CPAT-method row</t>
  </si>
  <si>
    <t>use instead of egy.mit.ghg.ipr.tot.1</t>
  </si>
  <si>
    <t>Double-count correction: kernel IPPU - CPAT-method IPPU</t>
  </si>
  <si>
    <t>add to CPAT total GHG to correct it (0 in scenario 1)</t>
  </si>
  <si>
    <t>shr</t>
  </si>
  <si>
    <t>Block IPPU share of CPAT-method IPPU</t>
  </si>
  <si>
    <t>B2. IPPU accounting - Policy scenario (scenario 2)</t>
  </si>
  <si>
    <t>Mitigation_Industry row 659 (o15)</t>
  </si>
  <si>
    <t>egy.mit.emisnp.cbam.tot.2</t>
  </si>
  <si>
    <t>Mitigation_Industry row 660 (o16)</t>
  </si>
  <si>
    <t>egy.mit.emisno.cbam.tot.2</t>
  </si>
  <si>
    <t>Mitigation_Industry row 789 (o145)</t>
  </si>
  <si>
    <t>egy.mit.emisp.cbam.tot.2</t>
  </si>
  <si>
    <t>IppuOther (Manual inputs E85): NONE = baseline; CPAT = baseline x CPAT-method ratio</t>
  </si>
  <si>
    <t>use instead of egy.mit.ghg.ipr.tot.2</t>
  </si>
  <si>
    <t>C1. Reconciliation: block product fuel CO2 vs kernel sector energy CO2 (Task F) - scenario 1</t>
  </si>
  <si>
    <t>blk</t>
  </si>
  <si>
    <t>Iron and steel: block fuel CO2 (fc + fp, post-policy) net of fp counted as IPPU</t>
  </si>
  <si>
    <t>Mitigation_Industry row 375 (cpef)</t>
  </si>
  <si>
    <t>Iron and steel: kernel sector energy CO2</t>
  </si>
  <si>
    <t>Emissions_Industry row 15</t>
  </si>
  <si>
    <t>gap</t>
  </si>
  <si>
    <t>Iron and steel: sector energy CO2 - block fuel CO2 (other products / non-CBAM)</t>
  </si>
  <si>
    <t>negative = block exceeds the sector</t>
  </si>
  <si>
    <t>rat</t>
  </si>
  <si>
    <t>Iron and steel: block fuel CO2 / sector energy CO2</t>
  </si>
  <si>
    <t>0 if the sector has no energy CO2 (CPAT nfm, mch)</t>
  </si>
  <si>
    <t>Cement: block fuel CO2 (fc + fp, post-policy) net of fp counted as IPPU</t>
  </si>
  <si>
    <t>Mitigation_Industry row 378 (cpef)</t>
  </si>
  <si>
    <t>Cement: kernel sector energy CO2</t>
  </si>
  <si>
    <t>Emissions_Industry row 27</t>
  </si>
  <si>
    <t>Cement: sector energy CO2 - block fuel CO2 (other products / non-CBAM)</t>
  </si>
  <si>
    <t>Cement: block fuel CO2 / sector energy CO2</t>
  </si>
  <si>
    <t>Non-ferrous metals: block fuel CO2 (fc + fp, post-policy) net of fp counted as IPPU</t>
  </si>
  <si>
    <t>Mitigation_Industry row 376 (cpef)</t>
  </si>
  <si>
    <t>Non-ferrous metals: kernel sector energy CO2</t>
  </si>
  <si>
    <t>Emissions_Industry row 39</t>
  </si>
  <si>
    <t>Non-ferrous metals: sector energy CO2 - block fuel CO2 (other products / non-CBAM)</t>
  </si>
  <si>
    <t>Non-ferrous metals: block fuel CO2 / sector energy CO2</t>
  </si>
  <si>
    <t>Mining &amp; chemicals: block fuel CO2 (fc + fp, post-policy) net of fp counted as IPPU</t>
  </si>
  <si>
    <t>Mitigation_Industry row 374 (cpef)</t>
  </si>
  <si>
    <t>Mining &amp; chemicals: kernel sector energy CO2</t>
  </si>
  <si>
    <t>Emissions_Industry row 51</t>
  </si>
  <si>
    <t>Mining &amp; chemicals: sector energy CO2 - block fuel CO2 (other products / non-CBAM)</t>
  </si>
  <si>
    <t>Mining &amp; chemicals: block fuel CO2 / sector energy CO2</t>
  </si>
  <si>
    <t>C2. Reconciliation: block product fuel CO2 vs kernel sector energy CO2 (Task F) - scenario 2</t>
  </si>
  <si>
    <t>Mitigation_Industry row 774 (cpef)</t>
  </si>
  <si>
    <t>Emissions_Industry row 66</t>
  </si>
  <si>
    <t>egy.mit.eco2.irn.tot.e.2</t>
  </si>
  <si>
    <t>Mitigation_Industry row 777 (cpef)</t>
  </si>
  <si>
    <t>Emissions_Industry row 78</t>
  </si>
  <si>
    <t>egy.mit.eco2.cem.tot.e.2</t>
  </si>
  <si>
    <t>Mitigation_Industry row 775 (cpef)</t>
  </si>
  <si>
    <t>Emissions_Industry row 90</t>
  </si>
  <si>
    <t>egy.mit.eco2.nfm.tot.e.2</t>
  </si>
  <si>
    <t>Mitigation_Industry row 773 (cpef)</t>
  </si>
  <si>
    <t>Emissions_Industry row 102</t>
  </si>
  <si>
    <t>egy.mit.eco2.mch.tot.e.2</t>
  </si>
  <si>
    <t>Task G (v0.13): IPPU accounting and fuel-CO2 reconciliation</t>
  </si>
  <si>
    <t>IPPU CPAT method, scenario 1 - CPAT egy.mit.ghg.ipr.tot.1 (stored)</t>
  </si>
  <si>
    <t>Kernel IPPU - CPAT-method IPPU, scenario 1</t>
  </si>
  <si>
    <t>Block np + no - block process total (emisnp + emisno - emisp)</t>
  </si>
  <si>
    <t>Non-block IPPU &lt; 0 (count of years)</t>
  </si>
  <si>
    <t>Kernel IPPU - (block + non-block)</t>
  </si>
  <si>
    <t>Block CO2 (np + fp as IPPU) &gt; CPAT IPPU CO2, scenario 1 (count of years)</t>
  </si>
  <si>
    <t>Block non-CO2 (no) &gt; CPAT IPPU CH4 + N2O + F-gases, scenario 1 (count of years)</t>
  </si>
  <si>
    <t>Non-block IPPU scenario 2 - IppuOther rule (NONE: = s1; CPAT: s1 x CPAT ratio)</t>
  </si>
  <si>
    <t>Max |identity| and violation counts (Task G)</t>
  </si>
  <si>
    <t>Information (not expected 0): reconciliation and double-count size</t>
  </si>
  <si>
    <t>Info: block fuel CO2 &gt; kernel sector energy CO2, irn (count of years)</t>
  </si>
  <si>
    <t>Info: block fuel CO2 &gt; kernel sector energy CO2, cem (count of years)</t>
  </si>
  <si>
    <t>Info: block fuel CO2 &gt; kernel sector energy CO2, nfm (count of years)</t>
  </si>
  <si>
    <t>Info: block fuel CO2 &gt; kernel sector energy CO2, mch (count of years)</t>
  </si>
  <si>
    <t>Info: double-count correction, scenario 2 (MtCO2e; kernel - CPAT-method IPPU)</t>
  </si>
  <si>
    <t>value</t>
  </si>
  <si>
    <t>Note: the CPAT-method row reproduces CPAT exactly only in scenario 1; in scenario 2 it applies CPAT's rule to the kernel's own industrial energy CO2 change (non-kernel industry sectors held at the CPAT baseline).</t>
  </si>
  <si>
    <t>Task G (v0.13): sheet IPPU_Industry - kernel IPPU egy.mit.ghg.iprk.tot.&lt;s&gt; (rows 26 / 43) = block process (np + no) + fp flagged as IPPU + non-block remainder (Manual inputs E85 IppuOther NONE|CPAT); it replaces CPAT's proportional IPPU (egy.mit.ghg.iprc.tot.&lt;s&gt;); double-count correction egy.mit.ghg.iprdc.tot.&lt;s&gt;. Fuel-CO2 reconciliation by sector in sections C1/C2.</t>
  </si>
  <si>
    <t>v0.13</t>
  </si>
  <si>
    <t>Task G: new sheet IPPU_Industry. CPAT IPPU baseline by gas and industrial energy CO2 stored (CPAT Mitigation rows 7566-7570, 6590); CPAT-method IPPU (all IPPU x industrial energy CO2 growth, kernel change only) vs kernel IPPU = block process np+no (o145) + fp counted as IPPU (ammonia feedstock flag) + non-block remainder (CPAT baseline - block baseline; IppuOther NONE holds it, CPAT scales it). Double-count correction row iprdc. Reconciliation of block fuel CO2 with Task F sector energy CO2 by sector (report only). Manual inputs rows 84-95 (switch E85, fp flags E88:E95). Check section row 1831. 2030, bundle 3A scenario 2: CPAT-method IPPU 85.3, kernel IPPU 84.7 MtCO2e (block 34.0, non-block 50.7), correction -0.52. Regression vs v0.12: all prior sheets identical for every bundle (max |diff| 0); new rows only.</t>
  </si>
  <si>
    <t>Main CPAT - Egypt: national outputs of the CPAT runs EG1-EG4 used by Task M (stored values)</t>
  </si>
  <si>
    <t>A. CPAT national outputs by run (cpat_outputs_egypt_2022_2041.csv, egypt+mitigation/AdHocRebuild; EG1 = 1A/2A, EG2 = 2B, EG3 = 3A-3C, EG4 unused)</t>
  </si>
  <si>
    <t>Key (code|run)</t>
  </si>
  <si>
    <t>Run</t>
  </si>
  <si>
    <t>egy.air.ada.2464|EG1</t>
  </si>
  <si>
    <t>EG1</t>
  </si>
  <si>
    <t>Averted deaths by age group: 25 to 64 years</t>
  </si>
  <si>
    <t>deaths</t>
  </si>
  <si>
    <t>CPAT run EG1 (csv)</t>
  </si>
  <si>
    <t>egy.air.ada.2464</t>
  </si>
  <si>
    <t>egy.air.ada.2464|EG2</t>
  </si>
  <si>
    <t>EG2</t>
  </si>
  <si>
    <t>CPAT run EG2 (csv)</t>
  </si>
  <si>
    <t>egy.air.ada.2464|EG3</t>
  </si>
  <si>
    <t>EG3</t>
  </si>
  <si>
    <t>CPAT run EG3 (csv)</t>
  </si>
  <si>
    <t>egy.air.ada.2464|EG4</t>
  </si>
  <si>
    <t>EG4</t>
  </si>
  <si>
    <t>CPAT run EG4 (csv)</t>
  </si>
  <si>
    <t>egy.air.ada.65|EG1</t>
  </si>
  <si>
    <t>Averted deaths by age group: 65+ years</t>
  </si>
  <si>
    <t>egy.air.ada.65</t>
  </si>
  <si>
    <t>egy.air.ada.65|EG2</t>
  </si>
  <si>
    <t>egy.air.ada.65|EG3</t>
  </si>
  <si>
    <t>egy.air.ada.65|EG4</t>
  </si>
  <si>
    <t>egy.air.ada.u24|EG1</t>
  </si>
  <si>
    <t>Averted deaths by age group: under 24 years (including neonatal)</t>
  </si>
  <si>
    <t>egy.air.ada.u24</t>
  </si>
  <si>
    <t>egy.air.ada.u24|EG2</t>
  </si>
  <si>
    <t>egy.air.ada.u24|EG3</t>
  </si>
  <si>
    <t>egy.air.ada.u24|EG4</t>
  </si>
  <si>
    <t>egy.air.cad.net|EG1</t>
  </si>
  <si>
    <t>Cumulative averted deaths - net</t>
  </si>
  <si>
    <t>csv</t>
  </si>
  <si>
    <t>egy.air.cad.net</t>
  </si>
  <si>
    <t>egy.air.cad.net|EG2</t>
  </si>
  <si>
    <t>egy.air.cad.net|EG3</t>
  </si>
  <si>
    <t>egy.air.cad.net|EG4</t>
  </si>
  <si>
    <t>egy.air.mort|EG1</t>
  </si>
  <si>
    <t>Baseline air pollution deaths</t>
  </si>
  <si>
    <t>egy.air.mort</t>
  </si>
  <si>
    <t>egy.air.mort|EG2</t>
  </si>
  <si>
    <t>egy.air.mort|EG3</t>
  </si>
  <si>
    <t>egy.air.mort|EG4</t>
  </si>
  <si>
    <t>egy.mit.co2.enr.tot.1|EG1</t>
  </si>
  <si>
    <t>Total energy related CO2 emissions (baseline)</t>
  </si>
  <si>
    <t>egy.mit.co2.enr.tot.1</t>
  </si>
  <si>
    <t>egy.mit.co2.enr.tot.1|EG2</t>
  </si>
  <si>
    <t>egy.mit.co2.enr.tot.1|EG3</t>
  </si>
  <si>
    <t>egy.mit.co2.enr.tot.1|EG4</t>
  </si>
  <si>
    <t>egy.mit.co2.enr.tot.2|EG1</t>
  </si>
  <si>
    <t>Total energy related CO2 emissions - policy</t>
  </si>
  <si>
    <t>egy.mit.co2.enr.tot.2</t>
  </si>
  <si>
    <t>egy.mit.co2.enr.tot.2|EG2</t>
  </si>
  <si>
    <t>egy.mit.co2.enr.tot.2|EG3</t>
  </si>
  <si>
    <t>egy.mit.co2.enr.tot.2|EG4</t>
  </si>
  <si>
    <t>egy.mit.co2.ind.1|EG1</t>
  </si>
  <si>
    <t>Energy related CO2 emissions - Industry (baseline)</t>
  </si>
  <si>
    <t>egy.mit.co2.ind.1</t>
  </si>
  <si>
    <t>egy.mit.co2.ind.1|EG2</t>
  </si>
  <si>
    <t>egy.mit.co2.ind.1|EG3</t>
  </si>
  <si>
    <t>egy.mit.co2.ind.1|EG4</t>
  </si>
  <si>
    <t>egy.mit.co2.ind.2|EG1</t>
  </si>
  <si>
    <t>Energy related CO2 emissions - Industry (policy)</t>
  </si>
  <si>
    <t>egy.mit.co2.ind.2</t>
  </si>
  <si>
    <t>egy.mit.co2.ind.2|EG2</t>
  </si>
  <si>
    <t>egy.mit.co2.ind.2|EG3</t>
  </si>
  <si>
    <t>egy.mit.co2.ind.2|EG4</t>
  </si>
  <si>
    <t>egy.mit.co2.pow.1|EG1</t>
  </si>
  <si>
    <t>Energy related CO2 emissions - Power sector (baseline)</t>
  </si>
  <si>
    <t>egy.mit.co2.pow.1</t>
  </si>
  <si>
    <t>egy.mit.co2.pow.1|EG2</t>
  </si>
  <si>
    <t>egy.mit.co2.pow.1|EG3</t>
  </si>
  <si>
    <t>egy.mit.co2.pow.1|EG4</t>
  </si>
  <si>
    <t>egy.mit.co2.pow.2|EG1</t>
  </si>
  <si>
    <t>Energy related CO2 emissions - Power sector (policy)</t>
  </si>
  <si>
    <t>egy.mit.co2.pow.2</t>
  </si>
  <si>
    <t>egy.mit.co2.pow.2|EG2</t>
  </si>
  <si>
    <t>egy.mit.co2.pow.2|EG3</t>
  </si>
  <si>
    <t>egy.mit.co2.pow.2|EG4</t>
  </si>
  <si>
    <t>egy.mit.co2.res.1|EG1</t>
  </si>
  <si>
    <t>Energy related CO2 emissions - Residential (baseline)</t>
  </si>
  <si>
    <t>egy.mit.co2.res.1</t>
  </si>
  <si>
    <t>egy.mit.co2.res.1|EG2</t>
  </si>
  <si>
    <t>egy.mit.co2.res.1|EG3</t>
  </si>
  <si>
    <t>egy.mit.co2.res.1|EG4</t>
  </si>
  <si>
    <t>egy.mit.co2.res.2|EG1</t>
  </si>
  <si>
    <t>Energy related CO2 emissions - Residential (policy)</t>
  </si>
  <si>
    <t>egy.mit.co2.res.2</t>
  </si>
  <si>
    <t>egy.mit.co2.res.2|EG2</t>
  </si>
  <si>
    <t>egy.mit.co2.res.2|EG3</t>
  </si>
  <si>
    <t>egy.mit.co2.res.2|EG4</t>
  </si>
  <si>
    <t>egy.mit.co2.tot.1|EG1</t>
  </si>
  <si>
    <t>Carbon dioxide (CO2) - baseline</t>
  </si>
  <si>
    <t>egy.mit.co2.tot.1</t>
  </si>
  <si>
    <t>egy.mit.co2.tot.1|EG2</t>
  </si>
  <si>
    <t>egy.mit.co2.tot.1|EG3</t>
  </si>
  <si>
    <t>egy.mit.co2.tot.1|EG4</t>
  </si>
  <si>
    <t>egy.mit.co2.tot.2|EG1</t>
  </si>
  <si>
    <t>Carbon dioxide (CO2) - policy</t>
  </si>
  <si>
    <t>egy.mit.co2.tot.2</t>
  </si>
  <si>
    <t>egy.mit.co2.tot.2|EG2</t>
  </si>
  <si>
    <t>egy.mit.co2.tot.2|EG3</t>
  </si>
  <si>
    <t>egy.mit.co2.tot.2|EG4</t>
  </si>
  <si>
    <t>egy.mit.co2.tra.1|EG1</t>
  </si>
  <si>
    <t>Energy related CO2 emissions - Transport (baseline)</t>
  </si>
  <si>
    <t>egy.mit.co2.tra.1</t>
  </si>
  <si>
    <t>egy.mit.co2.tra.1|EG2</t>
  </si>
  <si>
    <t>egy.mit.co2.tra.1|EG3</t>
  </si>
  <si>
    <t>egy.mit.co2.tra.1|EG4</t>
  </si>
  <si>
    <t>egy.mit.co2.tra.2|EG1</t>
  </si>
  <si>
    <t>Energy related CO2 emissions - Transport (policy)</t>
  </si>
  <si>
    <t>egy.mit.co2.tra.2</t>
  </si>
  <si>
    <t>egy.mit.co2.tra.2|EG2</t>
  </si>
  <si>
    <t>egy.mit.co2.tra.2|EG3</t>
  </si>
  <si>
    <t>egy.mit.co2.tra.2|EG4</t>
  </si>
  <si>
    <t>egy.mit.cptraj.2|EG1</t>
  </si>
  <si>
    <t>Carbon tax trajectory</t>
  </si>
  <si>
    <t>egy.mit.cptraj.2|EG2</t>
  </si>
  <si>
    <t>egy.mit.cptraj.2|EG3</t>
  </si>
  <si>
    <t>egy.mit.cptraj.2|EG4</t>
  </si>
  <si>
    <t>egy.mit.eff.cptraj.2|EG1</t>
  </si>
  <si>
    <t>Effective carbon tax trajectory</t>
  </si>
  <si>
    <t>egy.mit.eff.cptraj.2</t>
  </si>
  <si>
    <t>egy.mit.eff.cptraj.2|EG2</t>
  </si>
  <si>
    <t>egy.mit.eff.cptraj.2|EG3</t>
  </si>
  <si>
    <t>egy.mit.eff.cptraj.2|EG4</t>
  </si>
  <si>
    <t>egy.mit.ghg.ipr.tot.1|EG1</t>
  </si>
  <si>
    <t>Industrial processes GHG emissions (baseline)</t>
  </si>
  <si>
    <t>egy.mit.ghg.ipr.tot.1</t>
  </si>
  <si>
    <t>egy.mit.ghg.ipr.tot.1|EG2</t>
  </si>
  <si>
    <t>egy.mit.ghg.ipr.tot.1|EG3</t>
  </si>
  <si>
    <t>egy.mit.ghg.ipr.tot.1|EG4</t>
  </si>
  <si>
    <t>egy.mit.ghg.ipr.tot.2|EG1</t>
  </si>
  <si>
    <t>Industrial processes GHG emissions (policy)</t>
  </si>
  <si>
    <t>egy.mit.ghg.ipr.tot.2</t>
  </si>
  <si>
    <t>egy.mit.ghg.ipr.tot.2|EG2</t>
  </si>
  <si>
    <t>egy.mit.ghg.ipr.tot.2|EG3</t>
  </si>
  <si>
    <t>egy.mit.ghg.ipr.tot.2|EG4</t>
  </si>
  <si>
    <t>egy.mit.ghg.tot.inc.1|EG1</t>
  </si>
  <si>
    <t>Total GHG emissions, inc. LULUCF (baseline)</t>
  </si>
  <si>
    <t>egy.mit.ghg.tot.inc.1</t>
  </si>
  <si>
    <t>egy.mit.ghg.tot.inc.1|EG2</t>
  </si>
  <si>
    <t>egy.mit.ghg.tot.inc.1|EG3</t>
  </si>
  <si>
    <t>egy.mit.ghg.tot.inc.1|EG4</t>
  </si>
  <si>
    <t>egy.mit.ghg.tot.inc.2|EG1</t>
  </si>
  <si>
    <t>Total GHG emissions, inc. LULUCF (policy)</t>
  </si>
  <si>
    <t>egy.mit.ghg.tot.inc.2</t>
  </si>
  <si>
    <t>egy.mit.ghg.tot.inc.2|EG2</t>
  </si>
  <si>
    <t>egy.mit.ghg.tot.inc.2|EG3</t>
  </si>
  <si>
    <t>egy.mit.ghg.tot.inc.2|EG4</t>
  </si>
  <si>
    <t>egy.mit.rev.new.coa.usd.2|EG1</t>
  </si>
  <si>
    <t>Fiscal revenues, coal, policy</t>
  </si>
  <si>
    <t>$bn</t>
  </si>
  <si>
    <t>egy.mit.rev.new.coa.usd.2</t>
  </si>
  <si>
    <t>egy.mit.rev.new.coa.usd.2|EG2</t>
  </si>
  <si>
    <t>egy.mit.rev.new.coa.usd.2|EG3</t>
  </si>
  <si>
    <t>egy.mit.rev.new.coa.usd.2|EG4</t>
  </si>
  <si>
    <t>egy.mit.rev.new.die.usd.2|EG1</t>
  </si>
  <si>
    <t>Fiscal revenues, diesel, policy</t>
  </si>
  <si>
    <t>egy.mit.rev.new.die.usd.2</t>
  </si>
  <si>
    <t>egy.mit.rev.new.die.usd.2|EG2</t>
  </si>
  <si>
    <t>egy.mit.rev.new.die.usd.2|EG3</t>
  </si>
  <si>
    <t>egy.mit.rev.new.die.usd.2|EG4</t>
  </si>
  <si>
    <t>egy.mit.rev.new.gso.usd.2|EG1</t>
  </si>
  <si>
    <t>Fiscal revenues, gasoline, policy</t>
  </si>
  <si>
    <t>egy.mit.rev.new.gso.usd.2</t>
  </si>
  <si>
    <t>egy.mit.rev.new.gso.usd.2|EG2</t>
  </si>
  <si>
    <t>egy.mit.rev.new.gso.usd.2|EG3</t>
  </si>
  <si>
    <t>egy.mit.rev.new.gso.usd.2|EG4</t>
  </si>
  <si>
    <t>egy.mit.rev.new.lpk.usd.2|EG1</t>
  </si>
  <si>
    <t>Fiscal revenues, lpg &amp; kerosene, policy</t>
  </si>
  <si>
    <t>egy.mit.rev.new.lpk.usd.2</t>
  </si>
  <si>
    <t>egy.mit.rev.new.lpk.usd.2|EG2</t>
  </si>
  <si>
    <t>egy.mit.rev.new.lpk.usd.2|EG3</t>
  </si>
  <si>
    <t>egy.mit.rev.new.lpk.usd.2|EG4</t>
  </si>
  <si>
    <t>egy.mit.rev.new.nga.usd.2|EG1</t>
  </si>
  <si>
    <t>Fiscal revenues, natural gas, policy</t>
  </si>
  <si>
    <t>egy.mit.rev.new.nga.usd.2</t>
  </si>
  <si>
    <t>egy.mit.rev.new.nga.usd.2|EG2</t>
  </si>
  <si>
    <t>egy.mit.rev.new.nga.usd.2|EG3</t>
  </si>
  <si>
    <t>egy.mit.rev.new.nga.usd.2|EG4</t>
  </si>
  <si>
    <t>egy.mit.rev.new.oil.usd.2|EG1</t>
  </si>
  <si>
    <t>Fiscal revenues, non-road oil, policy</t>
  </si>
  <si>
    <t>egy.mit.rev.new.oil.usd.2</t>
  </si>
  <si>
    <t>egy.mit.rev.new.oil.usd.2|EG2</t>
  </si>
  <si>
    <t>egy.mit.rev.new.oil.usd.2|EG3</t>
  </si>
  <si>
    <t>egy.mit.rev.new.oil.usd.2|EG4</t>
  </si>
  <si>
    <t>egy.mit.rev.new.usd.1|EG1</t>
  </si>
  <si>
    <t>Fiscal revenues by fuel, total, net of subsidies, baseline (real 2021 US$bn)</t>
  </si>
  <si>
    <t>egy.mit.rev.new.usd.1</t>
  </si>
  <si>
    <t>egy.mit.rev.new.usd.1|EG2</t>
  </si>
  <si>
    <t>egy.mit.rev.new.usd.1|EG3</t>
  </si>
  <si>
    <t>egy.mit.rev.new.usd.1|EG4</t>
  </si>
  <si>
    <t>egy.mit.rev.new.usd.2|EG1</t>
  </si>
  <si>
    <t>Fiscal revenues by fuel, total, net of subsidies, policy (real 2021 US$bn)</t>
  </si>
  <si>
    <t>egy.mit.rev.new.usd.2</t>
  </si>
  <si>
    <t>egy.mit.rev.new.usd.2|EG2</t>
  </si>
  <si>
    <t>egy.mit.rev.new.usd.2|EG3</t>
  </si>
  <si>
    <t>egy.mit.rev.new.usd.2|EG4</t>
  </si>
  <si>
    <t>egy.mit.wel.air.pct|EG1</t>
  </si>
  <si>
    <t>Air pollution co-benefits (% GDP)</t>
  </si>
  <si>
    <t>egy.mit.wel.air.pct</t>
  </si>
  <si>
    <t>egy.mit.wel.air.pct|EG2</t>
  </si>
  <si>
    <t>egy.mit.wel.air.pct|EG3</t>
  </si>
  <si>
    <t>egy.mit.wel.air.pct|EG4</t>
  </si>
  <si>
    <t>Note: different data vintage from the CPAT values stored in the kernel (IPPU_Industry section A, CPAT_1_0pre_456 xlsb): 2030 baseline IPPU 85.97 vs 87.67, industrial energy CO2 88.97 vs 75.38 MtCO2. Task M uses deltas (policy - baseline) of a run only; levels of the two sources are never mixed.</t>
  </si>
  <si>
    <t>Mitigation Module - Egypt: Industry kernel - links to main CPAT and Table 2 (Task M)</t>
  </si>
  <si>
    <t>A. Bundle -&gt; CPAT run mapping and active bundle</t>
  </si>
  <si>
    <t>CPAT run</t>
  </si>
  <si>
    <t>Energy scope (Scenarios L)</t>
  </si>
  <si>
    <t>-': regression bundle, not in Table 2 (national rows 0)</t>
  </si>
  <si>
    <t>TASK-2b run mapping (MethodologyNote v0.1)</t>
  </si>
  <si>
    <t>Active bundle</t>
  </si>
  <si>
    <t>Energy scope</t>
  </si>
  <si>
    <t>Revenue use (recycling)</t>
  </si>
  <si>
    <t>Summary year (section E)</t>
  </si>
  <si>
    <t>the stored snapshot (E) is for 2030; Check compares live = snapshot in 2030</t>
  </si>
  <si>
    <t>B. CPAT national series of the mapped run (CPAT_National; 0 when the run is '-')</t>
  </si>
  <si>
    <t>nat</t>
  </si>
  <si>
    <t>cpat</t>
  </si>
  <si>
    <t>Total GHG incl. LULUCF, baseline</t>
  </si>
  <si>
    <t>CPAT_National</t>
  </si>
  <si>
    <t>Total GHG incl. LULUCF, policy</t>
  </si>
  <si>
    <t>IPPU GHG, baseline</t>
  </si>
  <si>
    <t>IPPU GHG, policy</t>
  </si>
  <si>
    <t>Energy CO2, baseline</t>
  </si>
  <si>
    <t>Energy CO2, policy</t>
  </si>
  <si>
    <t>Industry energy CO2, baseline</t>
  </si>
  <si>
    <t>Industry energy CO2, policy</t>
  </si>
  <si>
    <t>Carbon price trajectory of the run</t>
  </si>
  <si>
    <t>Effective (coverage-weighted) carbon price of the run</t>
  </si>
  <si>
    <t>Net new revenue, baseline</t>
  </si>
  <si>
    <t>Net new revenue, policy</t>
  </si>
  <si>
    <t>Carbon-tax revenue, coal</t>
  </si>
  <si>
    <t>Carbon-tax revenue, diesel</t>
  </si>
  <si>
    <t>Carbon-tax revenue, gasoline</t>
  </si>
  <si>
    <t>Carbon-tax revenue, LPG/kerosene</t>
  </si>
  <si>
    <t>Carbon-tax revenue, natural gas</t>
  </si>
  <si>
    <t>Carbon-tax revenue, oil products</t>
  </si>
  <si>
    <t>Air-pollution deaths avoided, 25-64</t>
  </si>
  <si>
    <t>Air-pollution deaths avoided, 65+</t>
  </si>
  <si>
    <t>Air-pollution deaths avoided, under 24</t>
  </si>
  <si>
    <t>Air-pollution deaths, baseline total</t>
  </si>
  <si>
    <t>der</t>
  </si>
  <si>
    <t>Carbon-tax receipts of the run, six fuels</t>
  </si>
  <si>
    <t>rebuild CV_revctax</t>
  </si>
  <si>
    <t>Deaths avoided of the run, all ages</t>
  </si>
  <si>
    <t>rebuild CV_deaths</t>
  </si>
  <si>
    <t>dGHG of the run (policy - baseline)</t>
  </si>
  <si>
    <t>dIPPU of the run</t>
  </si>
  <si>
    <t>CPAT proportional IPPU response</t>
  </si>
  <si>
    <t>dEnergy CO2 of the run</t>
  </si>
  <si>
    <t>dIndustry energy CO2 of the run</t>
  </si>
  <si>
    <t>dNet new revenue of the run</t>
  </si>
  <si>
    <t>C. Kernel series (active bundle; scenario 1 = baseline, 2 = policy)</t>
  </si>
  <si>
    <t>dEnergy CO2, kernel sectors</t>
  </si>
  <si>
    <t>Industry energy CO2, CPAT baseline (kernel's stored CPAT vintage)</t>
  </si>
  <si>
    <t>IPPU_Industry row 11</t>
  </si>
  <si>
    <t>Non-kernel industry energy CO2, baseline</t>
  </si>
  <si>
    <t>dIndustry energy CO2, kernel composition</t>
  </si>
  <si>
    <t>IPPU, kernel, baseline</t>
  </si>
  <si>
    <t>IPPU_Industry row 26</t>
  </si>
  <si>
    <t>IPPU, kernel, policy</t>
  </si>
  <si>
    <t>IPPU_Industry row 43</t>
  </si>
  <si>
    <t>dIPPU, kernel</t>
  </si>
  <si>
    <t>Block process emissions (np + no), baseline</t>
  </si>
  <si>
    <t>Mitigation_Industry o145 (block 1)</t>
  </si>
  <si>
    <t>Block emissions (fuel + process), baseline</t>
  </si>
  <si>
    <t>Mitigation_Industry o135 (block 1)</t>
  </si>
  <si>
    <t>Carbon price on energy CO2, active bundle</t>
  </si>
  <si>
    <t>Scenarios row 42</t>
  </si>
  <si>
    <t>Share of industry energy CO2 covered</t>
  </si>
  <si>
    <t>Scenarios row 45</t>
  </si>
  <si>
    <t>Block process revenue (np + no)</t>
  </si>
  <si>
    <t>Mitigation_Industry o138 / 1000</t>
  </si>
  <si>
    <t>Output-based rebate cost</t>
  </si>
  <si>
    <t>Rebate_Industry row 217 / 1000</t>
  </si>
  <si>
    <t>Abatement fund F</t>
  </si>
  <si>
    <t>Fund_Industry row 329 / 1000</t>
  </si>
  <si>
    <t>D. Table 2 columns per year, active bundle (composition in deltas; see Scenarios note and CAVEATS)</t>
  </si>
  <si>
    <t>decomp</t>
  </si>
  <si>
    <t>t2</t>
  </si>
  <si>
    <t>K component: IPPU replacement (dIPPU kernel - dIPPU CPAT)</t>
  </si>
  <si>
    <t>K component: industry energy replacement (dInd kernel - dInd CPAT)</t>
  </si>
  <si>
    <t>K</t>
  </si>
  <si>
    <t>[K] GHG reduction vs baseline = dGHG CPAT + IPPU + industry replacement</t>
  </si>
  <si>
    <t>J</t>
  </si>
  <si>
    <t>All sectors: CPAT energy CO2; Industry only: encov x kernel sectors</t>
  </si>
  <si>
    <t>L</t>
  </si>
  <si>
    <t>[L] Reduction, % of baseline GHG</t>
  </si>
  <si>
    <t>M</t>
  </si>
  <si>
    <t>[M] CBAM coverage</t>
  </si>
  <si>
    <t>block cbcov o39</t>
  </si>
  <si>
    <t>N</t>
  </si>
  <si>
    <t>[N] CBAM-sector intensity change</t>
  </si>
  <si>
    <t>block cbintch o41</t>
  </si>
  <si>
    <t>O</t>
  </si>
  <si>
    <t>[O] CBAM obligation change per t exported</t>
  </si>
  <si>
    <t>block cbobchu o127</t>
  </si>
  <si>
    <t>T</t>
  </si>
  <si>
    <t>[T] Block emissions change (emrt / baseline block emissions)</t>
  </si>
  <si>
    <t>block o83 / o135 (block 1)</t>
  </si>
  <si>
    <t>U</t>
  </si>
  <si>
    <t>[U] Block output change</t>
  </si>
  <si>
    <t>block cbqch o62</t>
  </si>
  <si>
    <t>P</t>
  </si>
  <si>
    <t>[P] Net revenue = gross - output-based rebates - abatement fund</t>
  </si>
  <si>
    <t>Q</t>
  </si>
  <si>
    <t>dEnergy CO2, kernel composition (CPAT run with kernel industry response)</t>
  </si>
  <si>
    <t>R</t>
  </si>
  <si>
    <t>[R] Deaths avoided, % of baseline deaths</t>
  </si>
  <si>
    <t>AR</t>
  </si>
  <si>
    <t>recycling: revenue use in section A</t>
  </si>
  <si>
    <t>E. Table 2 at the summary year: live row (active bundle) and stored snapshot of all bundles (2030)</t>
  </si>
  <si>
    <t>[J] Coverage, % of GHG</t>
  </si>
  <si>
    <t>[K] Reduction, MtCO2e</t>
  </si>
  <si>
    <t>[L] Reduction, % of GHG</t>
  </si>
  <si>
    <t>[M] CBAM coverage, %</t>
  </si>
  <si>
    <t>[N] CBAM intensity change, %</t>
  </si>
  <si>
    <t>[O] CBAM obligation per t exported, %</t>
  </si>
  <si>
    <t>[P] Net revenue, $bn</t>
  </si>
  <si>
    <t>[Q] Deaths avoided</t>
  </si>
  <si>
    <t>[R] Deaths avoided, % of baseline</t>
  </si>
  <si>
    <t>[T] Block emissions change, %</t>
  </si>
  <si>
    <t>[U] Block output change, %</t>
  </si>
  <si>
    <t>[AR] Net new revenue change, $bn</t>
  </si>
  <si>
    <t>K - rebuild K</t>
  </si>
  <si>
    <t>live</t>
  </si>
  <si>
    <t>stored</t>
  </si>
  <si>
    <t>Task M (v0.14): links to main CPAT and Table 2</t>
  </si>
  <si>
    <t>CPAT_National: baseline series (.1) identical across runs EG1-EG4</t>
  </si>
  <si>
    <t>LEGACY (run '-'): national-linked Table 2 columns J, K, P, Q, AR = 0</t>
  </si>
  <si>
    <t>K - (dGHG CPAT + IPPU replacement + industry replacement)</t>
  </si>
  <si>
    <t>Net revenue P &gt; gross revenue (count of years)</t>
  </si>
  <si>
    <t>Table 2 live row (summary year 2030) - stored snapshot row of the active bundle</t>
  </si>
  <si>
    <t>Max |identity| and violation counts (Task M)</t>
  </si>
  <si>
    <t>Info: 1A K kernel composition - rebuild K</t>
  </si>
  <si>
    <t>Info: 2A K kernel composition - rebuild K</t>
  </si>
  <si>
    <t>Info: 2B K kernel composition - rebuild K</t>
  </si>
  <si>
    <t>Info: 3A K kernel composition - rebuild K</t>
  </si>
  <si>
    <t>Info: 3B K kernel composition - rebuild K</t>
  </si>
  <si>
    <t>Info: 3C K kernel composition - rebuild K</t>
  </si>
  <si>
    <t>Task M (v0.14): sheets CPAT_National (CPAT runs EG1-EG4, stored) and Table2_Industry. Bundle -&gt; run mapping Table2_Industry D6:D12 (1A/2A EG1, 2B EG2, 3A-3C EG3, LEGACY '-'); energy scope column L of this sheet. K = dGHG CPAT + (dIPPU kernel - dIPPU CPAT) + (dInd kernel - dInd CPAT), deltas only (csv vintage differs from the stored xlsb values). Table 2 live row 102, stored 2030 snapshot rows 103-108.</t>
  </si>
  <si>
    <t>v0.14</t>
  </si>
  <si>
    <t>Task M: new sheets CPAT_National (CPAT national outputs of runs EG1-EG4 from the TASK-2b csv, stored) and Table2_Industry (bundle -&gt; run mapping; CPAT series of the mapped run; kernel series; Table 2 columns J K L M N O P Q R T U AR per year; live summary row + stored 2030 snapshot of all bundles vs rebuild v0.1 K). Composition in deltas: K = dGHG CPAT + IPPU replacement (Task G kernel IPPU) + industry energy replacement (kernel sectors + non-kernel industry scaled with the run for All sectors). P = gross (CPAT receipts adjusted / kernel sectors) + process revenue - rebates - fund. Q = CPAT deaths x dEnergy CO2 ratio. Check section row 1861. 2030 K: 1A -27.7, 2A -25.7, 2B -27.0, 3A -9.7, 3B -6.6, 3C -17.3. Regression vs v0.13: all prior sheets identical for every bundle (max |diff| 0); new sheets only.</t>
  </si>
  <si>
    <t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t>
  </si>
  <si>
    <t>v0.15 EF: Egypt CBAM EF v0.1 (egypt+mitigation/EmissionFactors/EGY_CBAM_EF_v0.1.xlsx Products; EGY_CBAM_EF_Methodology_v0.1.md). Prior: S1.np: Auth: IPCC 2006 2C1 — DRI process CO2 = 0 / S1.no: Auth: IPCC 2006 2C1</t>
  </si>
  <si>
    <t>v0.15 EF: Egypt CBAM EF v0.1 (egypt+mitigation/EmissionFactors/EGY_CBAM_EF_v0.1.xlsx Products; EGY_CBAM_EF_Methodology_v0.1.md). Prior: S1.fc: Est: IEA Egypt sector average; WSA 2023 scrap-EAF range 2-3 GJ/t. Tota / S1.fp: Auth: no reductant in scrap melting process</t>
  </si>
  <si>
    <t>v0.15 EF: Egypt CBAM EF v0.1 (egypt+mitigation/EmissionFactors/EGY_CBAM_EF_v0.1.xlsx Products; EGY_CBAM_EF_Methodology_v0.1.md). Prior: S1.np: Est: IPCC 2006 Vol2 2C1 default 0.01-0.02 tCO2/t for scrap-EAF / S1.no: Auth: IPCC 2006 2C1</t>
  </si>
  <si>
    <t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t>
  </si>
  <si>
    <t>v0.15 EF: Egypt CBAM EF v0.1 (egypt+mitigation/EmissionFactors/EGY_CBAM_EF_v0.1.xlsx Products; EGY_CBAM_EF_Methodology_v0.1.md). Prior: S1.np: Auth: IPCC 2006 Vol2 2C1 default 0.22-0.28 tCO2/t crude steel / S1.no: Auth: IPCC 2006 2C1</t>
  </si>
  <si>
    <t>v0.15 EF: Egypt CBAM EF v0.1 (egypt+mitigation/EmissionFactors/EGY_CBAM_EF_v0.1.xlsx Products; EGY_CBAM_EF_Methodology_v0.1.md). Prior: S1.fc: Est: IEA Egypt cement sector; CSI/GCCA GNR Egypt 2022. Total AukCoa / S1.fp: Auth: cement production has no chemical reductant fuel</t>
  </si>
  <si>
    <t>v0.15 EF: Egypt CBAM EF v0.1 (egypt+mitigation/EmissionFactors/EGY_CBAM_EF_v0.1.xlsx Products; EGY_CBAM_EF_Methodology_v0.1.md). Prior: S1.np: Auth: IPCC 2006 2A1 stoichiometric constant (44/100 × fraction CaCO3 i / S1.no: Auth</t>
  </si>
  <si>
    <t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t>
  </si>
  <si>
    <t>v0.15 EF: Egypt CBAM EF v0.1 (egypt+mitigation/EmissionFactors/EGY_CBAM_EF_v0.1.xlsx Products; EGY_CBAM_EF_Methodology_v0.1.md). Prior: S1.np: Auth: NH3 synthesis has no carbon process emissions / S1.no: Auth</t>
  </si>
  <si>
    <t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t>
  </si>
  <si>
    <t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t>
  </si>
  <si>
    <t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t>
  </si>
  <si>
    <t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t>
  </si>
  <si>
    <t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t>
  </si>
  <si>
    <t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t>
  </si>
  <si>
    <t>S:V memo (v0.15): implied GJ/t = S1 EF x 1000 / tCO2 per TJ (not read by formulas).</t>
  </si>
  <si>
    <t>n/a (no ERmax 0)</t>
  </si>
  <si>
    <t>Medium</t>
  </si>
  <si>
    <t>Low</t>
  </si>
  <si>
    <t>n/a (np ERmax 0): none: np = 0 (SMR feedstock CO2 is fp; CCS / blue lever not routed to fp - caveat)</t>
  </si>
  <si>
    <t>n/a (np ERmax 0): none: inherits ammonia (np = 0 under CBAM rule)</t>
  </si>
  <si>
    <t>n/a (np ERmax 0): -</t>
  </si>
  <si>
    <t>T1/T5 (v0.15): Egypt CBAM EF v0.1 and Task D semi-elasticities</t>
  </si>
  <si>
    <t>|diff| / count</t>
  </si>
  <si>
    <t>H30:K30 (DRI-EAF steel) = EGY_CBAM_EF_v0.1 Products D:G</t>
  </si>
  <si>
    <t>H31:K31 (Scrap-EAF steel) = EGY_CBAM_EF_v0.1 Products D:G</t>
  </si>
  <si>
    <t>H32:K32 (BF-BOF steel (reference)) = EGY_CBAM_EF_v0.1 Products D:G</t>
  </si>
  <si>
    <t>H33:K33 (Grey clinker (dry-process)) = EGY_CBAM_EF_v0.1 Products D:G</t>
  </si>
  <si>
    <t>H34:K34 (Ammonia (net merchant)) = EGY_CBAM_EF_v0.1 Products D:G</t>
  </si>
  <si>
    <t>H35:K35 (Urea) = EGY_CBAM_EF_v0.1 Products D:G</t>
  </si>
  <si>
    <t>H36:K36 (Ammonium nitrate) = EGY_CBAM_EF_v0.1 Products D:G</t>
  </si>
  <si>
    <t>H37:K37 (Primary aluminium) = EGY_CBAM_EF_v0.1 Products D:G</t>
  </si>
  <si>
    <t>M35 embedded NH3 = 1.12559</t>
  </si>
  <si>
    <t>M36 embedded NH3 = 0.8462122</t>
  </si>
  <si>
    <t>Task D applied: E50 = IPCC</t>
  </si>
  <si>
    <t>Max |identity| and violation counts (T1/T5)</t>
  </si>
  <si>
    <t>T1/T5 (v0.15): Manual inputs H30:K37 = Egypt CBAM EF v0.1 (urea np 0; AN no = integrated HNO3 N2O 0.9944); E50 = IPCC with Task D rows 53-60 (IPCC AR6 central ER at $100; AN blend 0.6179; Al 0.2164 np+no; ammonia / urea 0). Table 2 2030 snapshot refilled.</t>
  </si>
  <si>
    <t>v0.15</t>
  </si>
  <si>
    <t>T5: S1 emission factors H30:K37 = Egypt CBAM EF v0.1 (EGY_CBAM_EF_v0.1.xlsx; urea np 0 CBAM rule, M35 1.1256; AN no 0.9944 integrated HNO3 N2O, M36 0.8462); S:V memo restated. T1: Task D semi-elasticities applied (E50 IPCC; rows 53-60 ER at $100 = IPCC AR6 central, USD2019: DRI 0.3433, scrap 0.1810, BF 0.2803, clinker 0.3352, AN no 0.6179 (50 % abatement blend), Al 0.2164 np+no, ammonia/urea 0). Fuel ER (rows 40-47) and fund unchanged. Table 2 snapshot refilled; rebuild column = AdHoc rebuild v0.2. Check row 1881. 2030 K: 1A -29.8 (v0.14 -27.7), 2A -25.8 (v0.14 -25.7), 2B -27.1 (v0.14 -27.0), 3A -11.8 (v0.14 -9.7), 3B -8.6 (v0.14 -6.6), 3C -23.9 (v0.14 -17.3).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</si>
  <si>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H2/NG-DRI, scrap share, CCS on shaft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</si>
  <si>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electrode / carbon-input efficiency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</si>
  <si>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top-gas recycling, DRI substitution, CCS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</si>
  <si>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clinker substitution (SCMs, LC3), CCS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</si>
  <si>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tertiary N2O abatement in HNO3 (blend: unabated 0.7210 / abated 0.3292 at 50 % abated share, N2O-weighted)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</si>
  <si>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inert / improved anodes, PFC control (combined central, applied to np and no)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</si>
  <si>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inert / improved anodes, PFC control (combined central)</t>
  </si>
  <si>
    <t>Task D applied: ER(122) row 53 = 0.3433 +/- 1e-6 [P* 122, v0.16]</t>
  </si>
  <si>
    <t>Row 53: ER(P*) used = ER* (np 0.3433, no 0.0000) [P* 122, v0.16]</t>
  </si>
  <si>
    <t>Row 54: ER(P*) used = ER* (np 0.1810, no 0.0000) [P* 122, v0.16]</t>
  </si>
  <si>
    <t>Row 55: ER(P*) used = ER* (np 0.2803, no 0.0000) [P* 122, v0.16]</t>
  </si>
  <si>
    <t>Row 56: ER(P*) used = ER* (np 0.3352, no 0.0000) [P* 122, v0.16]</t>
  </si>
  <si>
    <t>Row 57: ER(P*) used = ER* (np 0.0000, no 0.0000) [P* 122, v0.16]</t>
  </si>
  <si>
    <t>Row 58: ER(P*) used = ER* (np 0.0000, no 0.0000) [P* 122, v0.16]</t>
  </si>
  <si>
    <t>Row 59: ER(P*) used = ER* (np 0.0000, no 0.6179) [P* 122, v0.16]</t>
  </si>
  <si>
    <t>Row 60: ER(P*) used = ER* (np 0.2164, no 0.2164) [P* 122, v0.16]</t>
  </si>
  <si>
    <t>kap</t>
  </si>
  <si>
    <t>kappa: share of industry energy CO2 priced by the run (Industry only: effective / headline price x energy CO2 / industry energy CO2; 1 for All sectors)</t>
  </si>
  <si>
    <t>v0.16 EG3 full-coverage approximation (D3)</t>
  </si>
  <si>
    <t>Energy CO2, kernel sectors, baseline: sum over sectors of max(block fuel CO2, CPAT sector energy CO2) (v0.16 reallocation; excess comes out of non-kernel industry)</t>
  </si>
  <si>
    <t>Energy CO2, kernel sectors, policy: sector policy CO2 where sector &gt;= block, else block baseline x sector response rate (block's own response where the sector has 0)</t>
  </si>
  <si>
    <t>IPPU_Industry C1 rows 51-67 (v0.16 D2)</t>
  </si>
  <si>
    <t>IPPU_Industry C2 rows 75-91 (v0.16 D2)</t>
  </si>
  <si>
    <t>dNon-kernel industry energy CO2 = nk1 x dInd CPAT / (Ind CPAT baseline x kappa) (v0.16: Industry-only runs scaled to full industry coverage)</t>
  </si>
  <si>
    <t>[J] Coverage, % of baseline GHG (All: energy CO2; Industry only: all industry energy CO2; + flag x block process)</t>
  </si>
  <si>
    <t>Gross carbon revenue (All: CPAT receipts adjusted to the kernel industry; Industry only: price x all industry energy CO2 incl. non-kernel at full coverage) + block process revenue</t>
  </si>
  <si>
    <t>[Q] Air-pollution deaths avoided (CPAT deaths / kappa x dEnergy CO2 kernel / CPAT dEnergy CO2 at full coverage, dE + (1/kappa - 1) dInd; kappa = 1 for All sectors)</t>
  </si>
  <si>
    <t>[AR] Net new revenue change (CPAT dRev - CPAT carbon-tax receipts / kappa + P)</t>
  </si>
  <si>
    <t>Industry replacement = dEnergy kernel sectors + dnk - dInd CPAT (v0.16: non-kernel industry priced at full coverage, kappa)</t>
  </si>
  <si>
    <t>Stored fixed point (v0.16, build_v0_16.py): R* = block revenue after the fund response (o155) solving R* = o155(phi x R*), per bundle, scenario 2</t>
  </si>
  <si>
    <t>bundle</t>
  </si>
  <si>
    <t>Post-fund block revenue R* (stored; refreshed by the builder; Check v0.16 flags a stale value)</t>
  </si>
  <si>
    <t>Abatement fund F = phi x R* (post-fund block revenue, fixed point; rows 427-433)</t>
  </si>
  <si>
    <t>Stored pre-Task-J values (v0.11 + Tasks F, I within the v0.12 build, computed per bundle by looping Settings!B10 before the Task J changes); key = v2:&lt;var&gt;:&lt;scenario&gt;:&lt;sector|tot&gt;:&lt;bundle&gt; [refilled by build_v0_16.py: phi = 0 per bundle, v0.16 inputs]</t>
  </si>
  <si>
    <t>Rebuild v0.3 K</t>
  </si>
  <si>
    <t>Information (not expected 0): 2030 K vs TASK-2b rebuild v0.3 (MtCO2e)</t>
  </si>
  <si>
    <t>v0.16: P* deflation, fuel-CO2 reallocation, EG3 kappa scaling, fund fixed point</t>
  </si>
  <si>
    <t>P* = 122 on every row with ERmax &gt; 0 (np E/F, no I/J; max abs)</t>
  </si>
  <si>
    <t>Fund fixed point: |phi x o155 - F| scenario 2, active bundle (USD million, max abs over years)</t>
  </si>
  <si>
    <t>Reallocated kernel energy CO2 ek1' below IPPU_Industry row 17 (count of years)</t>
  </si>
  <si>
    <t>Non-kernel industry energy CO2 nk1 &lt; 0 after reallocation (count of years)</t>
  </si>
  <si>
    <t>Industry total preserved: ek1' + nk1 - CPAT industry energy CO2 (max abs)</t>
  </si>
  <si>
    <t>kappa outside (0, 1] (count of years)</t>
  </si>
  <si>
    <t>Max |identity| and violation counts (v0.16)</t>
  </si>
  <si>
    <t>v0.16: P* 122 (USD2024); fuel-CO2 reallocation in the national composition (Table2 rows 59/60); EG3 full-coverage approximation via kappa (Table2 row 54); fund F = phi x post-fund block revenue (fixed point, Fund_Industry rows 427-433). Table 2 snapshot refilled.</t>
  </si>
  <si>
    <t>v0.16</t>
  </si>
  <si>
    <t>Final-results run 2. D1 Manual inputs rows 53-60 P* 100 -&gt; 122 (USD2019 100 in USD2024). D2 Table2 rows 59/60: kernel energy CO2 = max(block fuel CO2, CPAT sector) per sector, excess out of non-kernel industry (industry total unchanged). D3 Table2 row 54 kappa; Industry-only runs (EG3) scaled to full industry coverage (rows 64, 84, 91, 96; approximation). D4 Fund_Industry row 329 F = phi x R*, R* stored rows 427-433 (secant fixed point, iterations {'3C': 5}). Check row 1907. 2030 K: 1A -29.0, 2A -25.5, 2B -26.7, 3A -21.1, 3B -17.4, 3C -32.9.</t>
  </si>
  <si>
    <t>Stored rows written by build_v0_14.py, refilled by build_v0_16.py (2030, each bundle active in turn; Manual inputs at default). Rebuild v0.3 K: TASK-2b ad-hoc rebuild, MethodologyNote v0.3 (Mode REBUILD, Conv NOPHASE). Recycling effects: CPAT csv has no recycling outputs for the runs; reported as revenue use + AR only.</t>
  </si>
  <si>
    <t>Original CPAT run everywhere; CPAT's implied CBAM-block change (r x block) removed; block rebuilt from CPAT's fuel-intensity response (fuel per t), the kernel output response and, where process emissions are charged, the kernel process response. Each effect counted once.</t>
  </si>
  <si>
    <t>A. Inputs (active bundle, 2030)</t>
  </si>
  <si>
    <t>1A/2A = EG1, 2B = EG2, 3A-3C = EG3</t>
  </si>
  <si>
    <t>Process emissions charged (0/1)</t>
  </si>
  <si>
    <t>Output-based free allocation (0/1)</t>
  </si>
  <si>
    <t>3B: free allocation leaves no domestic-price credit against CBAM</t>
  </si>
  <si>
    <t>GHG0: CPAT total GHG incl. LULUCF, baseline</t>
  </si>
  <si>
    <t>ENR0: CPAT energy CO2, baseline</t>
  </si>
  <si>
    <t>IND0: CPAT industry energy CO2, baseline</t>
  </si>
  <si>
    <t>IND1: CPAT industry energy CO2, policy (run)</t>
  </si>
  <si>
    <t>kappa: share of industry energy CO2 priced by the run</t>
  </si>
  <si>
    <t>tau: carbon price, active bundle</t>
  </si>
  <si>
    <t>CBAM factor used (phase-in)</t>
  </si>
  <si>
    <t>s_int: efficiency share of CPAT's industry fuel response</t>
  </si>
  <si>
    <t>Methodology section 3</t>
  </si>
  <si>
    <t>Run for the fuel-intensity response</t>
  </si>
  <si>
    <t>EG3 prices only ~54% of industry; the block is fully priced at the same $20/t, so 3A-3C use EG1</t>
  </si>
  <si>
    <t>IND0 of that run</t>
  </si>
  <si>
    <t>IND1 of that run</t>
  </si>
  <si>
    <t>CPAT growth 2024-2030, iron &amp; steel energy CO2</t>
  </si>
  <si>
    <t>CPAT growth 2024-2030, cement energy CO2</t>
  </si>
  <si>
    <t>CPAT growth 2024-2030, total industry energy CO2</t>
  </si>
  <si>
    <t>CPAT has no mch / nfm energy for Egypt, so they follow total industry</t>
  </si>
  <si>
    <t>Kernel v0.16 O, NOPHASE convention (stored input, table G6:H12)</t>
  </si>
  <si>
    <t>v0.16 O NOPHASE, %</t>
  </si>
  <si>
    <t>B. Rates</t>
  </si>
  <si>
    <t>r: CPAT industry energy CO2 change of the run</t>
  </si>
  <si>
    <t>CPAT scales all industry, incl. IPPU, by r: r x block = CPAT's implied block change</t>
  </si>
  <si>
    <t>i_f: CPAT fuel-intensity response = (IND1/IND0)^s_int - 1</t>
  </si>
  <si>
    <t>O credit factor, FULL = (CBF x P_EU - tau)/(CBF x P_EU); 3B = 1</t>
  </si>
  <si>
    <t>O credit factor, NOPHASE memo = (P_EU - tau)/P_EU; 3B = 1</t>
  </si>
  <si>
    <t>C. CBAM block by sector, 2030 (MtCO2; output in kt; Mitigation_Industry scenario 1 = baseline, +399 = policy)</t>
  </si>
  <si>
    <t>Fuel row</t>
  </si>
  <si>
    <t>Process row</t>
  </si>
  <si>
    <t>Base 2024 fuel+proc</t>
  </si>
  <si>
    <t>Base fuel</t>
  </si>
  <si>
    <t>Base proc</t>
  </si>
  <si>
    <t>Policy fuel</t>
  </si>
  <si>
    <t>Policy proc</t>
  </si>
  <si>
    <t>Output base</t>
  </si>
  <si>
    <t>Output policy</t>
  </si>
  <si>
    <t>Output change u</t>
  </si>
  <si>
    <t>CPAT growth</t>
  </si>
  <si>
    <t>Kernel growth</t>
  </si>
  <si>
    <t>Growth factor f</t>
  </si>
  <si>
    <t>f x base fuel (Bf)</t>
  </si>
  <si>
    <t>f x base proc (Bp)</t>
  </si>
  <si>
    <t>f x (pol fuel x (1+i_f) - base fuel) (dF)</t>
  </si>
  <si>
    <t>f x (pol proc - base proc) (dP)</t>
  </si>
  <si>
    <t>e0 = base fuel+proc</t>
  </si>
  <si>
    <t>e1(i_f) = (pol fuel(1+i_f)+pol proc)/(1+u)</t>
  </si>
  <si>
    <t>e1(0)</t>
  </si>
  <si>
    <t>Mining &amp; chemicals: ammonia, urea, ammonium nitrate</t>
  </si>
  <si>
    <t>Iron &amp; steel</t>
  </si>
  <si>
    <t>Non-ferrous metals: primary aluminium</t>
  </si>
  <si>
    <t>Cement (non-metallic minerals)</t>
  </si>
  <si>
    <t>D. Carve-out</t>
  </si>
  <si>
    <t>Bf: block fuel CO2, baseline (growth-adjusted)</t>
  </si>
  <si>
    <t>Bp: block process CO2, baseline (growth-adjusted)</t>
  </si>
  <si>
    <t>dF: new block fuel change (output x CPAT fuel intensity)</t>
  </si>
  <si>
    <t>dP: new block process change (kernel)</t>
  </si>
  <si>
    <t>CPAT's implied block change = r x (Bf + Bp)</t>
  </si>
  <si>
    <t>adj_f = dF - r x Bf</t>
  </si>
  <si>
    <t>adj_p = dP - r x Bp</t>
  </si>
  <si>
    <t>dN: fuel-intensity term in CBAM intensity</t>
  </si>
  <si>
    <t>pts</t>
  </si>
  <si>
    <t>Check: kernel N rebuilt from this table - Table2 N</t>
  </si>
  <si>
    <t>small (&lt;0.2 pt): unscaled block, output rows</t>
  </si>
  <si>
    <t>CPAT dGHG of the run</t>
  </si>
  <si>
    <t>CPAT carbon-tax receipts of the run</t>
  </si>
  <si>
    <t>CPAT deaths avoided of the run</t>
  </si>
  <si>
    <t>CPAT dEnergy CO2 of the run</t>
  </si>
  <si>
    <t>Kernel block process revenue</t>
  </si>
  <si>
    <t>Kernel output-based rebate (3B)</t>
  </si>
  <si>
    <t>Kernel abatement fund (3C)</t>
  </si>
  <si>
    <t>Kernel N (CBAM intensity)</t>
  </si>
  <si>
    <t>Kernel O, FULL</t>
  </si>
  <si>
    <t>Kernel M (CBAM coverage)</t>
  </si>
  <si>
    <t>E. Table 2 columns, active bundle</t>
  </si>
  <si>
    <t>All sectors: energy CO2; Industry only: kappa x IND0; plus block process where charged</t>
  </si>
  <si>
    <t>[K] Emission cut, MtCO2e</t>
  </si>
  <si>
    <t>CPAT dGHG + adj_f + adj_p</t>
  </si>
  <si>
    <t>[L] Cut, % of GHG</t>
  </si>
  <si>
    <t>[N] CBAM intensity, %</t>
  </si>
  <si>
    <t>kernel N + dN</t>
  </si>
  <si>
    <t>kernel O FULL + credit x dN</t>
  </si>
  <si>
    <t>memo: [O] NOPHASE</t>
  </si>
  <si>
    <t>v0.16 NOPHASE O + credit x dN</t>
  </si>
  <si>
    <t>CPAT receipts + tau x adj_f + process fees - rebate - fund</t>
  </si>
  <si>
    <t>CPAT deaths x (dEnergy + adj_f)/dEnergy</t>
  </si>
  <si>
    <t>CBAM block emissions change, %</t>
  </si>
  <si>
    <t>F. Stored 2030 snapshot, all bundles (make_carveout_v0_3.py; = EGYPT_CarveOut_Table2_v0.3)</t>
  </si>
  <si>
    <t>Onp</t>
  </si>
  <si>
    <t>live - stored (active bundle)</t>
  </si>
  <si>
    <t>Max |live - stored| (&lt; 0.01 expected: kappa 0.537 rounded in the script)</t>
  </si>
  <si>
    <t>Not re-solved: 3B rebate and 3C fund (kernel v0.16 values; block fuel-payment change &lt; $0.05bn). 3B published deaths (345) not traceable. EG3 prices ~54% of industry as CPAT ran it.</t>
  </si>
  <si>
    <t>v0.17: CBAM carve-out (sheet CarveOut_Table2)</t>
  </si>
  <si>
    <t>Max |live - stored carve-out Table 2| (active bundle; n/a for LEGACY)</t>
  </si>
  <si>
    <t>Kernel N rebuilt from the carve-out block table - Table2 N (pts; &lt; 0.2 expected)</t>
  </si>
  <si>
    <t>FINAL Table 2 = CBAM carve-out v0.3 (sheet CarveOut_Table2): CPAT runs + block rebuilt; O on FULL. Section E above is the prototype (kernel-composition) Table 2, kept for reference.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</si>
  <si>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 v0.6: Task B section (row 1443). v0.7: Task C section (row 1455). v0.8: Task K section (row 1464). v0.9: Task D section (row 1476). v0.10: Task H section (row 1489). v0.11: Task L section (row 1506). v0.12 (Stream 2 merged): Task F section (row 1520), Task I section (row 1552), Task J section (row 1667). v0.13: Task G section (row 1831). v0.14: Task M section (row 1861). v0.15: T1/T5 section (row 1881). v0.16: v0.16 section (row 1907). v0.17: carve-out section (row 1919).</t>
  </si>
  <si>
    <t>v0.17</t>
  </si>
  <si>
    <t>Final Table 2: sheet CarveOut_Table2 = CBAM carve-out v0.3 in live formulas (active bundle) + stored 6-bundle snapshot; O on FULL, NOPHASE memo. No other formulas changed. Check row 1919. 2030 K: 1A -37.4, 2A -33.1, 2B -34.8, 3A -22.8, 3B -19.1, 3C -33.0.</t>
  </si>
  <si>
    <t>CPAT industry kernel - Egypt, final v1.0</t>
  </si>
  <si>
    <t>v1.0</t>
  </si>
  <si>
    <t>Final release: v0.17 relabelled, no formula or value changes. Final Table 2 = sheet CarveOut_Table2 (CBAM carve-out). 2030 K: 1A -37.4, 2A -33.1, 2B -34.8, 3A -22.8, 3B -19.1, 3C -33.0.</t>
  </si>
  <si>
    <t>Table 2 (2030), final v1.3: CPAT results with a CBAM carve-out. Live for the active scenario. Table 2 O = intensity-only (stored in M80:M85; live in EGYPT_Table2_Final_CBAMcalc_v1.3.xlsx); rows 71-72 are deduction-based memos</t>
  </si>
  <si>
    <t>Set the bundle in Settings!B10 (1A, 2A, 2B, 3A, 3B, 3C). Year 2030 = column T of the source sheets. Green = hard input. Reference implementation: egypt+mitigation/Old/AdHocRebuild/make_carveout_v0_3.py; method: EGYPT_Methodology_v1.3 section 4.5.</t>
  </si>
  <si>
    <t>memo: O deduction-based, FULL (not Table 2 O; see M80:M85)</t>
  </si>
  <si>
    <t>O (Table 2, intensity-only)</t>
  </si>
  <si>
    <t>Column M: export-weighted change in embedded emissions per t (no deduction); from EGYPT_Table2_Final_CBAMcalc_v1.3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</si>
</sst>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  <numFmt numFmtId="178" formatCode="0.0E+00"/>
    <numFmt numFmtId="179" formatCode="#,##0.000"/>
  </numFmts>
  <fonts count="26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3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0" fontId="21" fillId="7" borderId="0" xfId="0" applyFont="1" applyFill="1"/>
    <xf numFmtId="169" fontId="21" fillId="12" borderId="0" xfId="0" applyNumberFormat="1" applyFont="1" applyFill="1"/>
    <xf numFmtId="0" fontId="21" fillId="12" borderId="0" xfId="0" applyFont="1" applyFill="1"/>
    <xf numFmtId="3" fontId="21" fillId="7" borderId="0" xfId="0" applyNumberFormat="1" applyFont="1" applyFill="1"/>
    <xf numFmtId="175" fontId="21" fillId="7" borderId="0" xfId="0" applyNumberFormat="1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21" fillId="13" borderId="0" xfId="0" applyFont="1" applyFill="1"/>
    <xf numFmtId="166" fontId="21" fillId="13" borderId="0" xfId="0" applyNumberFormat="1" applyFont="1" applyFill="1"/>
    <xf numFmtId="175" fontId="21" fillId="0" borderId="0" xfId="0" applyNumberFormat="1" applyFont="1"/>
    <xf numFmtId="0" fontId="18" fillId="0" borderId="0" xfId="0" applyFont="1" applyAlignment="1">
      <alignment wrapText="1"/>
    </xf>
    <xf numFmtId="9" fontId="18" fillId="0" borderId="0" xfId="0" applyNumberFormat="1" applyFont="1"/>
    <xf numFmtId="1" fontId="18" fillId="14" borderId="0" xfId="0" applyNumberFormat="1" applyFont="1" applyFill="1"/>
    <xf numFmtId="169" fontId="18" fillId="0" borderId="0" xfId="0" applyNumberFormat="1" applyFont="1"/>
    <xf numFmtId="172" fontId="18" fillId="0" borderId="0" xfId="0" applyNumberFormat="1" applyFont="1"/>
    <xf numFmtId="0" fontId="18" fillId="13" borderId="0" xfId="0" applyFont="1" applyFill="1" applyAlignment="1">
      <alignment wrapText="1"/>
    </xf>
    <xf numFmtId="169" fontId="18" fillId="13" borderId="0" xfId="0" applyNumberFormat="1" applyFont="1" applyFill="1"/>
    <xf numFmtId="9" fontId="18" fillId="13" borderId="0" xfId="0" applyNumberFormat="1" applyFont="1" applyFill="1"/>
    <xf numFmtId="2" fontId="18" fillId="14" borderId="0" xfId="0" applyNumberFormat="1" applyFont="1" applyFill="1"/>
    <xf numFmtId="2" fontId="18" fillId="13" borderId="0" xfId="0" applyNumberFormat="1" applyFont="1" applyFill="1"/>
    <xf numFmtId="2" fontId="21" fillId="0" borderId="0" xfId="0" applyNumberFormat="1" applyFont="1"/>
    <xf numFmtId="2" fontId="18" fillId="0" borderId="0" xfId="0" applyNumberFormat="1" applyFont="1"/>
    <xf numFmtId="175" fontId="18" fillId="13" borderId="0" xfId="0" applyNumberFormat="1" applyFont="1" applyFill="1"/>
    <xf numFmtId="0" fontId="22" fillId="0" borderId="0" xfId="0" applyFont="1"/>
    <xf numFmtId="0" fontId="24" fillId="4" borderId="0" xfId="0" applyFont="1" applyFill="1"/>
    <xf numFmtId="0" fontId="22" fillId="7" borderId="0" xfId="0" applyFont="1" applyFill="1"/>
    <xf numFmtId="0" fontId="23" fillId="7" borderId="0" xfId="0" applyFont="1" applyFill="1"/>
    <xf numFmtId="0" fontId="22" fillId="12" borderId="0" xfId="0" applyFont="1" applyFill="1"/>
    <xf numFmtId="168" fontId="22" fillId="7" borderId="0" xfId="0" applyNumberFormat="1" applyFont="1" applyFill="1"/>
    <xf numFmtId="165" fontId="22" fillId="0" borderId="0" xfId="0" applyNumberFormat="1" applyFont="1"/>
    <xf numFmtId="165" fontId="22" fillId="7" borderId="0" xfId="0" applyNumberFormat="1" applyFont="1" applyFill="1"/>
    <xf numFmtId="178" fontId="22" fillId="0" borderId="0" xfId="0" applyNumberFormat="1" applyFont="1"/>
    <xf numFmtId="0" fontId="23" fillId="0" borderId="0" xfId="0" applyFont="1"/>
    <xf numFmtId="177" fontId="22" fillId="7" borderId="0" xfId="0" applyNumberFormat="1" applyFont="1" applyFill="1"/>
    <xf numFmtId="177" fontId="22" fillId="0" borderId="0" xfId="0" applyNumberFormat="1" applyFont="1"/>
    <xf numFmtId="0" fontId="22" fillId="14" borderId="0" xfId="0" applyFont="1" applyFill="1"/>
    <xf numFmtId="0" fontId="10" fillId="12" borderId="0" xfId="0" applyFont="1" applyFill="1" applyAlignment="1">
      <alignment horizontal="center"/>
    </xf>
    <xf numFmtId="165" fontId="0" fillId="9" borderId="0" xfId="0" applyNumberFormat="1" applyFill="1"/>
    <xf numFmtId="165" fontId="2" fillId="0" borderId="2" xfId="0" applyNumberFormat="1" applyFont="1" applyBorder="1"/>
    <xf numFmtId="178" fontId="0" fillId="0" borderId="0" xfId="0" applyNumberFormat="1"/>
    <xf numFmtId="0" fontId="22" fillId="7" borderId="0" xfId="0" applyFont="1" applyFill="1" applyAlignment="1">
      <alignment horizontal="right"/>
    </xf>
    <xf numFmtId="2" fontId="0" fillId="0" borderId="0" xfId="0" applyNumberFormat="1"/>
    <xf numFmtId="1" fontId="0" fillId="0" borderId="0" xfId="0" applyNumberFormat="1"/>
    <xf numFmtId="0" fontId="22" fillId="0" borderId="0" xfId="0" applyFont="1" applyAlignment="1">
      <alignment horizontal="right"/>
    </xf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23" fillId="12" borderId="0" xfId="0" applyFont="1" applyFill="1"/>
    <xf numFmtId="165" fontId="23" fillId="0" borderId="0" xfId="0" applyNumberFormat="1" applyFont="1"/>
    <xf numFmtId="166" fontId="22" fillId="0" borderId="0" xfId="0" applyNumberFormat="1" applyFont="1"/>
    <xf numFmtId="166" fontId="0" fillId="0" borderId="0" xfId="0" applyNumberFormat="1"/>
    <xf numFmtId="179" fontId="22" fillId="7" borderId="0" xfId="0" applyNumberFormat="1" applyFont="1" applyFill="1"/>
    <xf numFmtId="0" fontId="22" fillId="13" borderId="0" xfId="0" applyFont="1" applyFill="1"/>
    <xf numFmtId="0" fontId="22" fillId="0" borderId="0" xfId="0" quotePrefix="1" applyFont="1"/>
    <xf numFmtId="179" fontId="22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wrapText="1"/>
    </xf>
    <xf numFmtId="2" fontId="22" fillId="0" borderId="0" xfId="0" applyNumberFormat="1" applyFont="1"/>
    <xf numFmtId="170" fontId="23" fillId="0" borderId="0" xfId="0" applyNumberFormat="1" applyFont="1"/>
    <xf numFmtId="2" fontId="23" fillId="0" borderId="0" xfId="0" applyNumberFormat="1" applyFont="1"/>
    <xf numFmtId="3" fontId="23" fillId="0" borderId="0" xfId="0" applyNumberFormat="1" applyFont="1"/>
    <xf numFmtId="170" fontId="22" fillId="7" borderId="0" xfId="0" applyNumberFormat="1" applyFont="1" applyFill="1"/>
    <xf numFmtId="2" fontId="22" fillId="7" borderId="0" xfId="0" applyNumberFormat="1" applyFont="1" applyFill="1"/>
    <xf numFmtId="3" fontId="22" fillId="7" borderId="0" xfId="0" applyNumberFormat="1" applyFont="1" applyFill="1"/>
    <xf numFmtId="1" fontId="18" fillId="7" borderId="0" xfId="0" applyNumberFormat="1" applyFont="1" applyFill="1"/>
    <xf numFmtId="2" fontId="0" fillId="14" borderId="0" xfId="0" applyNumberFormat="1" applyFill="1" applyAlignment="1">
      <alignment horizontal="right"/>
    </xf>
    <xf numFmtId="0" fontId="25" fillId="0" borderId="0" xfId="0" applyFont="1"/>
    <xf numFmtId="49" fontId="0" fillId="0" borderId="0" xfId="0" applyNumberFormat="1"/>
    <xf numFmtId="166" fontId="0" fillId="7" borderId="0" xfId="0" applyNumberFormat="1" applyFill="1"/>
    <xf numFmtId="0" fontId="17" fillId="0" borderId="0" xfId="0" applyFont="1" applyAlignment="1">
      <alignment wrapText="1"/>
    </xf>
    <xf numFmtId="1" fontId="0" fillId="14" borderId="0" xfId="0" applyNumberFormat="1" applyFill="1"/>
    <xf numFmtId="170" fontId="0" fillId="0" borderId="0" xfId="0" applyNumberFormat="1"/>
    <xf numFmtId="170" fontId="0" fillId="14" borderId="0" xfId="0" applyNumberFormat="1" applyFill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topLeftCell="A18" zoomScaleNormal="100" workbookViewId="0">
      <selection activeCell="A45" sqref="A45:XFD45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3792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1816</v>
      </c>
      <c r="B10" s="43" t="s">
        <v>1737</v>
      </c>
      <c r="C10" t="s">
        <v>1817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1696</v>
      </c>
      <c r="C17" t="s">
        <v>1697</v>
      </c>
    </row>
    <row r="18" spans="1:3" x14ac:dyDescent="0.45">
      <c r="A18" s="2" t="s">
        <v>1772</v>
      </c>
      <c r="C18" t="s">
        <v>1818</v>
      </c>
    </row>
    <row r="19" spans="1:3" x14ac:dyDescent="0.45">
      <c r="A19" s="5" t="s">
        <v>21</v>
      </c>
      <c r="C19" s="3" t="s">
        <v>1698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1819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3789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1699</v>
      </c>
      <c r="C30" t="s">
        <v>1700</v>
      </c>
    </row>
    <row r="31" spans="1:3" x14ac:dyDescent="0.45">
      <c r="A31" t="s">
        <v>1820</v>
      </c>
      <c r="B31" s="95" t="s">
        <v>1821</v>
      </c>
      <c r="C31" t="s">
        <v>1822</v>
      </c>
    </row>
    <row r="32" spans="1:3" x14ac:dyDescent="0.45">
      <c r="A32" t="s">
        <v>1866</v>
      </c>
      <c r="B32" s="95" t="s">
        <v>1821</v>
      </c>
      <c r="C32" t="s">
        <v>1867</v>
      </c>
    </row>
    <row r="33" spans="1:3" x14ac:dyDescent="0.45">
      <c r="A33" t="s">
        <v>1895</v>
      </c>
      <c r="B33" s="95" t="s">
        <v>1821</v>
      </c>
      <c r="C33" t="s">
        <v>1896</v>
      </c>
    </row>
    <row r="34" spans="1:3" x14ac:dyDescent="0.45">
      <c r="A34" t="s">
        <v>1908</v>
      </c>
      <c r="B34" s="95" t="s">
        <v>1821</v>
      </c>
      <c r="C34" t="s">
        <v>1909</v>
      </c>
    </row>
    <row r="35" spans="1:3" x14ac:dyDescent="0.45">
      <c r="A35" t="s">
        <v>1925</v>
      </c>
      <c r="B35" s="95" t="s">
        <v>1821</v>
      </c>
      <c r="C35" t="s">
        <v>1926</v>
      </c>
    </row>
    <row r="36" spans="1:3" x14ac:dyDescent="0.45">
      <c r="A36" t="s">
        <v>1967</v>
      </c>
      <c r="B36" s="95" t="s">
        <v>1821</v>
      </c>
      <c r="C36" t="s">
        <v>1968</v>
      </c>
    </row>
    <row r="37" spans="1:3" x14ac:dyDescent="0.45">
      <c r="A37" t="s">
        <v>1996</v>
      </c>
      <c r="B37" s="95" t="s">
        <v>1821</v>
      </c>
      <c r="C37" t="s">
        <v>1997</v>
      </c>
    </row>
    <row r="38" spans="1:3" x14ac:dyDescent="0.45">
      <c r="A38" t="s">
        <v>2026</v>
      </c>
      <c r="B38" s="95" t="s">
        <v>1821</v>
      </c>
      <c r="C38" t="s">
        <v>2027</v>
      </c>
    </row>
    <row r="39" spans="1:3" x14ac:dyDescent="0.45">
      <c r="A39" t="s">
        <v>3106</v>
      </c>
      <c r="B39" s="95" t="s">
        <v>1821</v>
      </c>
      <c r="C39" t="s">
        <v>3107</v>
      </c>
    </row>
    <row r="40" spans="1:3" x14ac:dyDescent="0.45">
      <c r="A40" t="s">
        <v>3253</v>
      </c>
      <c r="B40" s="95" t="s">
        <v>1821</v>
      </c>
      <c r="C40" t="s">
        <v>3254</v>
      </c>
    </row>
    <row r="41" spans="1:3" x14ac:dyDescent="0.45">
      <c r="A41" t="s">
        <v>3599</v>
      </c>
      <c r="B41" s="95" t="s">
        <v>1821</v>
      </c>
      <c r="C41" t="s">
        <v>3600</v>
      </c>
    </row>
    <row r="42" spans="1:3" x14ac:dyDescent="0.45">
      <c r="A42" t="s">
        <v>3639</v>
      </c>
      <c r="B42" s="95" t="s">
        <v>1821</v>
      </c>
      <c r="C42" t="s">
        <v>3640</v>
      </c>
    </row>
    <row r="43" spans="1:3" x14ac:dyDescent="0.45">
      <c r="A43" t="s">
        <v>3686</v>
      </c>
      <c r="B43" s="95" t="s">
        <v>1821</v>
      </c>
      <c r="C43" t="s">
        <v>3687</v>
      </c>
    </row>
    <row r="44" spans="1:3" x14ac:dyDescent="0.45">
      <c r="A44" t="s">
        <v>3790</v>
      </c>
      <c r="B44" s="95" t="s">
        <v>1821</v>
      </c>
      <c r="C44" t="s">
        <v>3791</v>
      </c>
    </row>
    <row r="45" spans="1:3" x14ac:dyDescent="0.45">
      <c r="A45" t="s">
        <v>3793</v>
      </c>
      <c r="B45" s="174">
        <v>46299</v>
      </c>
      <c r="C45" t="s">
        <v>3794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95"/>
  <sheetViews>
    <sheetView topLeftCell="A66" workbookViewId="0">
      <selection activeCell="A95" sqref="A95:XFD95"/>
    </sheetView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1847</v>
      </c>
      <c r="E21" s="93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7" spans="1:31" x14ac:dyDescent="0.35">
      <c r="S27" s="53" t="s">
        <v>3617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0.17797725</v>
      </c>
      <c r="I30" s="65">
        <v>0.39301352000000001</v>
      </c>
      <c r="J30" s="65">
        <v>3.7901020000000001E-2</v>
      </c>
      <c r="K30" s="65">
        <v>0</v>
      </c>
      <c r="L30" s="59">
        <f t="shared" ref="L30:L37" si="0">SUM(H30:K30)</f>
        <v>0.60889178999999993</v>
      </c>
      <c r="M30" s="65">
        <v>0</v>
      </c>
      <c r="N30" s="59">
        <f t="shared" ref="N30:N37" si="1">L30+M30</f>
        <v>0.60889178999999993</v>
      </c>
      <c r="O30" s="65">
        <v>0.25</v>
      </c>
      <c r="P30" s="66">
        <v>0</v>
      </c>
      <c r="Q30" s="59">
        <f t="shared" ref="Q30:Q37" si="2">N30+O30</f>
        <v>0.85889178999999993</v>
      </c>
      <c r="R30" s="60">
        <f t="shared" ref="R30:R37" si="3">N30+O30*P30</f>
        <v>0.60889178999999993</v>
      </c>
      <c r="S30" s="67">
        <v>3.1720000000000002</v>
      </c>
      <c r="T30" s="67">
        <v>56.1</v>
      </c>
      <c r="U30" s="67">
        <v>7.0060000000000002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-1.3931082100000003</v>
      </c>
      <c r="AB30" s="61">
        <f t="shared" ref="AB30:AB37" si="6">R30-Z30</f>
        <v>0.12789178999999995</v>
      </c>
      <c r="AC30" s="53" t="s">
        <v>1354</v>
      </c>
      <c r="AD30" s="56" t="s">
        <v>3601</v>
      </c>
      <c r="AE30" s="56" t="s">
        <v>3602</v>
      </c>
    </row>
    <row r="31" spans="1:31" ht="13.15" x14ac:dyDescent="0.4">
      <c r="D31" s="56" t="s">
        <v>1355</v>
      </c>
      <c r="E31" s="53" t="s">
        <v>1351</v>
      </c>
      <c r="F31" s="53" t="s">
        <v>1356</v>
      </c>
      <c r="G31" s="53" t="s">
        <v>1357</v>
      </c>
      <c r="H31" s="65">
        <v>4.4880000000000003E-2</v>
      </c>
      <c r="I31" s="65">
        <v>0</v>
      </c>
      <c r="J31" s="65">
        <v>4.3981149999999997E-2</v>
      </c>
      <c r="K31" s="65">
        <v>0</v>
      </c>
      <c r="L31" s="59">
        <f t="shared" si="0"/>
        <v>8.886115E-2</v>
      </c>
      <c r="M31" s="65">
        <v>0</v>
      </c>
      <c r="N31" s="59">
        <f t="shared" si="1"/>
        <v>8.886115E-2</v>
      </c>
      <c r="O31" s="65">
        <v>0.25</v>
      </c>
      <c r="P31" s="66">
        <v>0</v>
      </c>
      <c r="Q31" s="59">
        <f t="shared" si="2"/>
        <v>0.33886115</v>
      </c>
      <c r="R31" s="60">
        <f t="shared" si="3"/>
        <v>8.886115E-2</v>
      </c>
      <c r="S31" s="67">
        <v>0.8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-0.70313884999999998</v>
      </c>
      <c r="AB31" s="61">
        <f t="shared" si="6"/>
        <v>1.6861150000000005E-2</v>
      </c>
      <c r="AC31" s="53" t="s">
        <v>1358</v>
      </c>
      <c r="AD31" s="56" t="s">
        <v>3603</v>
      </c>
      <c r="AE31" s="56" t="s">
        <v>3604</v>
      </c>
    </row>
    <row r="32" spans="1:31" ht="13.15" x14ac:dyDescent="0.4">
      <c r="D32" s="56" t="s">
        <v>1359</v>
      </c>
      <c r="E32" s="53" t="s">
        <v>1351</v>
      </c>
      <c r="F32" s="53" t="s">
        <v>1360</v>
      </c>
      <c r="G32" s="53" t="s">
        <v>1361</v>
      </c>
      <c r="H32" s="65">
        <v>0.16830000000000001</v>
      </c>
      <c r="I32" s="65">
        <v>1.2566802699999999</v>
      </c>
      <c r="J32" s="65">
        <v>5.276542E-2</v>
      </c>
      <c r="K32" s="65">
        <v>0</v>
      </c>
      <c r="L32" s="59">
        <f t="shared" si="0"/>
        <v>1.4777456899999999</v>
      </c>
      <c r="M32" s="65">
        <v>0</v>
      </c>
      <c r="N32" s="59">
        <f t="shared" si="1"/>
        <v>1.4777456899999999</v>
      </c>
      <c r="O32" s="65">
        <v>0.1875</v>
      </c>
      <c r="P32" s="66">
        <v>0</v>
      </c>
      <c r="Q32" s="59">
        <f t="shared" si="2"/>
        <v>1.6652456899999999</v>
      </c>
      <c r="R32" s="60">
        <f t="shared" si="3"/>
        <v>1.4777456899999999</v>
      </c>
      <c r="S32" s="67">
        <v>1.7509999999999999</v>
      </c>
      <c r="T32" s="67">
        <v>96.1</v>
      </c>
      <c r="U32" s="67">
        <v>13.077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-1.6022543100000002</v>
      </c>
      <c r="AB32" s="61">
        <f t="shared" si="6"/>
        <v>0.10774568999999978</v>
      </c>
      <c r="AC32" s="53" t="s">
        <v>1362</v>
      </c>
      <c r="AD32" s="56" t="s">
        <v>3605</v>
      </c>
      <c r="AE32" s="56" t="s">
        <v>3606</v>
      </c>
    </row>
    <row r="33" spans="1:31" ht="13.15" x14ac:dyDescent="0.4">
      <c r="D33" s="56" t="s">
        <v>1363</v>
      </c>
      <c r="E33" s="53" t="s">
        <v>1364</v>
      </c>
      <c r="F33" s="53" t="s">
        <v>1365</v>
      </c>
      <c r="G33" s="53" t="s">
        <v>1366</v>
      </c>
      <c r="H33" s="65">
        <v>0.31356849999999997</v>
      </c>
      <c r="I33" s="65">
        <v>0</v>
      </c>
      <c r="J33" s="65">
        <v>0.53702616000000003</v>
      </c>
      <c r="K33" s="65">
        <v>0</v>
      </c>
      <c r="L33" s="59">
        <f t="shared" si="0"/>
        <v>0.85059466000000006</v>
      </c>
      <c r="M33" s="65">
        <v>0</v>
      </c>
      <c r="N33" s="59">
        <f t="shared" si="1"/>
        <v>0.85059466000000006</v>
      </c>
      <c r="O33" s="65">
        <v>5.6250000000000001E-2</v>
      </c>
      <c r="P33" s="66">
        <v>1</v>
      </c>
      <c r="Q33" s="59">
        <f t="shared" si="2"/>
        <v>0.90684466000000008</v>
      </c>
      <c r="R33" s="60">
        <f t="shared" si="3"/>
        <v>0.90684466000000008</v>
      </c>
      <c r="S33" s="67">
        <v>3.2629999999999999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-0.83115534000000013</v>
      </c>
      <c r="AB33" s="61">
        <f t="shared" si="6"/>
        <v>0.24084466000000004</v>
      </c>
      <c r="AC33" s="53" t="s">
        <v>1367</v>
      </c>
      <c r="AD33" s="56" t="s">
        <v>3607</v>
      </c>
      <c r="AE33" s="56" t="s">
        <v>3608</v>
      </c>
    </row>
    <row r="34" spans="1:31" ht="13.15" x14ac:dyDescent="0.4">
      <c r="D34" s="56" t="s">
        <v>1368</v>
      </c>
      <c r="E34" s="53" t="s">
        <v>1369</v>
      </c>
      <c r="F34" s="53" t="s">
        <v>1370</v>
      </c>
      <c r="G34" s="53" t="s">
        <v>1371</v>
      </c>
      <c r="H34" s="65">
        <v>0.71247000000000005</v>
      </c>
      <c r="I34" s="65">
        <v>1.2622500000000001</v>
      </c>
      <c r="J34" s="65">
        <v>0</v>
      </c>
      <c r="K34" s="65">
        <v>0</v>
      </c>
      <c r="L34" s="59">
        <f t="shared" si="0"/>
        <v>1.97472</v>
      </c>
      <c r="M34" s="65">
        <v>0</v>
      </c>
      <c r="N34" s="59">
        <f t="shared" si="1"/>
        <v>1.97472</v>
      </c>
      <c r="O34" s="65">
        <v>3.7499999999999999E-2</v>
      </c>
      <c r="P34" s="66">
        <v>1</v>
      </c>
      <c r="Q34" s="59">
        <f t="shared" si="2"/>
        <v>2.0122200000000001</v>
      </c>
      <c r="R34" s="60">
        <f t="shared" si="3"/>
        <v>2.0122200000000001</v>
      </c>
      <c r="S34" s="67">
        <v>12.7</v>
      </c>
      <c r="T34" s="67">
        <v>56.1</v>
      </c>
      <c r="U34" s="67">
        <v>22.5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-5.8279999999999887E-2</v>
      </c>
      <c r="AB34" s="61">
        <f t="shared" si="6"/>
        <v>0.52822000000000013</v>
      </c>
      <c r="AC34" s="53" t="s">
        <v>1372</v>
      </c>
      <c r="AD34" s="56" t="s">
        <v>3609</v>
      </c>
      <c r="AE34" s="56" t="s">
        <v>3610</v>
      </c>
    </row>
    <row r="35" spans="1:31" ht="13.15" x14ac:dyDescent="0.4">
      <c r="D35" s="56" t="s">
        <v>1373</v>
      </c>
      <c r="E35" s="53" t="s">
        <v>1374</v>
      </c>
      <c r="F35" s="53" t="s">
        <v>1375</v>
      </c>
      <c r="G35" s="53" t="s">
        <v>1376</v>
      </c>
      <c r="H35" s="65">
        <v>0.11219999999999999</v>
      </c>
      <c r="I35" s="65">
        <v>0</v>
      </c>
      <c r="J35" s="65">
        <v>0</v>
      </c>
      <c r="K35" s="65">
        <v>0</v>
      </c>
      <c r="L35" s="59">
        <f t="shared" si="0"/>
        <v>0.11219999999999999</v>
      </c>
      <c r="M35" s="65">
        <v>1.1255904000000001</v>
      </c>
      <c r="N35" s="59">
        <f t="shared" si="1"/>
        <v>1.2377904000000002</v>
      </c>
      <c r="O35" s="65">
        <v>3.7499999999999999E-2</v>
      </c>
      <c r="P35" s="66">
        <v>1</v>
      </c>
      <c r="Q35" s="59">
        <f t="shared" si="2"/>
        <v>1.2752904000000003</v>
      </c>
      <c r="R35" s="60">
        <f t="shared" si="3"/>
        <v>1.2752904000000003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-0.12860959999999966</v>
      </c>
      <c r="AB35" s="61">
        <f t="shared" si="6"/>
        <v>0.37329040000000024</v>
      </c>
      <c r="AC35" s="53" t="s">
        <v>1377</v>
      </c>
      <c r="AD35" s="56" t="s">
        <v>3611</v>
      </c>
      <c r="AE35" s="56" t="s">
        <v>3612</v>
      </c>
    </row>
    <row r="36" spans="1:31" ht="13.15" x14ac:dyDescent="0.4">
      <c r="D36" s="56" t="s">
        <v>1378</v>
      </c>
      <c r="E36" s="53" t="s">
        <v>1379</v>
      </c>
      <c r="F36" s="53" t="s">
        <v>1380</v>
      </c>
      <c r="G36" s="53" t="s">
        <v>1381</v>
      </c>
      <c r="H36" s="65">
        <v>0.11219999999999999</v>
      </c>
      <c r="I36" s="65">
        <v>0</v>
      </c>
      <c r="J36" s="65">
        <v>0</v>
      </c>
      <c r="K36" s="65">
        <v>0.99441250000000003</v>
      </c>
      <c r="L36" s="59">
        <f t="shared" si="0"/>
        <v>1.1066125</v>
      </c>
      <c r="M36" s="65">
        <v>0.84621219999999997</v>
      </c>
      <c r="N36" s="59">
        <f t="shared" si="1"/>
        <v>1.9528246999999999</v>
      </c>
      <c r="O36" s="65">
        <v>4.3749999999999997E-2</v>
      </c>
      <c r="P36" s="66">
        <v>1</v>
      </c>
      <c r="Q36" s="59">
        <f t="shared" si="2"/>
        <v>1.9965746999999998</v>
      </c>
      <c r="R36" s="60">
        <f t="shared" si="3"/>
        <v>1.9965746999999998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-0.66982530000000051</v>
      </c>
      <c r="AB36" s="61">
        <f t="shared" si="6"/>
        <v>1.6945746999999998</v>
      </c>
      <c r="AC36" s="53" t="s">
        <v>1382</v>
      </c>
      <c r="AD36" s="56" t="s">
        <v>3613</v>
      </c>
      <c r="AE36" s="56" t="s">
        <v>3614</v>
      </c>
    </row>
    <row r="37" spans="1:31" ht="13.15" x14ac:dyDescent="0.4">
      <c r="D37" s="56" t="s">
        <v>1383</v>
      </c>
      <c r="E37" s="53" t="s">
        <v>1384</v>
      </c>
      <c r="F37" s="53" t="s">
        <v>1385</v>
      </c>
      <c r="G37" s="53" t="s">
        <v>1386</v>
      </c>
      <c r="H37" s="65">
        <v>0.12342</v>
      </c>
      <c r="I37" s="65">
        <v>0</v>
      </c>
      <c r="J37" s="65">
        <v>1.6234930400000001</v>
      </c>
      <c r="K37" s="65">
        <v>0.77400000000000002</v>
      </c>
      <c r="L37" s="59">
        <f t="shared" si="0"/>
        <v>2.5209130399999999</v>
      </c>
      <c r="M37" s="65">
        <v>0</v>
      </c>
      <c r="N37" s="59">
        <f t="shared" si="1"/>
        <v>2.5209130399999999</v>
      </c>
      <c r="O37" s="65">
        <v>6.75</v>
      </c>
      <c r="P37" s="66">
        <v>0</v>
      </c>
      <c r="Q37" s="59">
        <f t="shared" si="2"/>
        <v>9.2709130399999999</v>
      </c>
      <c r="R37" s="60">
        <f t="shared" si="3"/>
        <v>2.5209130399999999</v>
      </c>
      <c r="S37" s="67">
        <v>1.5820000000000001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0.25491303999999948</v>
      </c>
      <c r="AB37" s="61">
        <f t="shared" si="6"/>
        <v>1.0979130399999999</v>
      </c>
      <c r="AC37" s="53" t="s">
        <v>1387</v>
      </c>
      <c r="AD37" s="56" t="s">
        <v>3615</v>
      </c>
      <c r="AE37" s="56" t="s">
        <v>3616</v>
      </c>
    </row>
    <row r="38" spans="1:31" ht="13.15" x14ac:dyDescent="0.4">
      <c r="A38" s="56"/>
      <c r="B38" s="56" t="s">
        <v>1927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1388</v>
      </c>
      <c r="E39" s="56" t="s">
        <v>1389</v>
      </c>
      <c r="F39" s="53" t="s">
        <v>1390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1355</v>
      </c>
      <c r="E41" s="69">
        <v>2.0202707317519501E-4</v>
      </c>
      <c r="F41" s="68">
        <v>0.02</v>
      </c>
    </row>
    <row r="42" spans="1:31" ht="13.15" x14ac:dyDescent="0.4">
      <c r="D42" s="56" t="s">
        <v>1391</v>
      </c>
      <c r="E42" s="69">
        <v>5.1293294387550598E-4</v>
      </c>
      <c r="F42" s="68">
        <v>0.05</v>
      </c>
    </row>
    <row r="43" spans="1:31" ht="13.15" x14ac:dyDescent="0.4">
      <c r="D43" s="56" t="s">
        <v>1392</v>
      </c>
      <c r="E43" s="69">
        <v>8.3381608939051E-4</v>
      </c>
      <c r="F43" s="68">
        <v>0.08</v>
      </c>
    </row>
    <row r="44" spans="1:31" ht="13.15" x14ac:dyDescent="0.4">
      <c r="D44" s="56" t="s">
        <v>1393</v>
      </c>
      <c r="E44" s="69">
        <v>1.98450938723838E-3</v>
      </c>
      <c r="F44" s="68">
        <v>0.18</v>
      </c>
    </row>
    <row r="45" spans="1:31" ht="13.15" x14ac:dyDescent="0.4">
      <c r="D45" s="56" t="s">
        <v>1373</v>
      </c>
      <c r="E45" s="69">
        <v>0</v>
      </c>
      <c r="F45" s="68">
        <v>0</v>
      </c>
    </row>
    <row r="46" spans="1:31" ht="13.15" x14ac:dyDescent="0.4">
      <c r="D46" s="56" t="s">
        <v>1394</v>
      </c>
      <c r="E46" s="69">
        <v>1.04982212449868E-2</v>
      </c>
      <c r="F46" s="68">
        <v>0.65</v>
      </c>
    </row>
    <row r="47" spans="1:31" ht="13.15" x14ac:dyDescent="0.4">
      <c r="D47" s="56" t="s">
        <v>1383</v>
      </c>
      <c r="E47" s="69">
        <v>8.3381608939051E-4</v>
      </c>
      <c r="F47" s="68">
        <v>0.08</v>
      </c>
    </row>
    <row r="49" spans="1:31" ht="13.15" x14ac:dyDescent="0.4">
      <c r="A49" s="56"/>
      <c r="B49" s="56" t="s">
        <v>1928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</row>
    <row r="50" spans="1:31" x14ac:dyDescent="0.35">
      <c r="D50" s="53" t="s">
        <v>1929</v>
      </c>
      <c r="E50" s="93" t="s">
        <v>1930</v>
      </c>
      <c r="F50" s="53" t="s">
        <v>1931</v>
      </c>
    </row>
    <row r="51" spans="1:31" x14ac:dyDescent="0.35">
      <c r="D51" s="53" t="s">
        <v>1932</v>
      </c>
    </row>
    <row r="52" spans="1:31" ht="38.65" x14ac:dyDescent="0.4">
      <c r="D52" s="58" t="s">
        <v>1323</v>
      </c>
      <c r="E52" s="58" t="s">
        <v>1933</v>
      </c>
      <c r="F52" s="102" t="s">
        <v>1934</v>
      </c>
      <c r="G52" s="102" t="s">
        <v>1935</v>
      </c>
      <c r="H52" s="102" t="s">
        <v>1936</v>
      </c>
      <c r="I52" s="102" t="s">
        <v>1937</v>
      </c>
      <c r="J52" s="102" t="s">
        <v>1938</v>
      </c>
      <c r="K52" s="102" t="s">
        <v>1939</v>
      </c>
      <c r="L52" s="102" t="s">
        <v>1940</v>
      </c>
      <c r="M52" s="102" t="s">
        <v>1941</v>
      </c>
      <c r="N52" s="102" t="s">
        <v>1942</v>
      </c>
      <c r="O52" s="102" t="s">
        <v>1943</v>
      </c>
      <c r="P52" s="102" t="s">
        <v>1944</v>
      </c>
      <c r="Q52" s="102" t="s">
        <v>1945</v>
      </c>
      <c r="R52" s="102" t="s">
        <v>1946</v>
      </c>
      <c r="S52" s="102" t="s">
        <v>1947</v>
      </c>
      <c r="T52" s="107" t="s">
        <v>1948</v>
      </c>
      <c r="U52" s="107" t="s">
        <v>1949</v>
      </c>
      <c r="V52" s="107" t="s">
        <v>1950</v>
      </c>
      <c r="W52" s="107" t="s">
        <v>1951</v>
      </c>
    </row>
    <row r="53" spans="1:31" ht="13.15" x14ac:dyDescent="0.4">
      <c r="D53" s="56" t="s">
        <v>1350</v>
      </c>
      <c r="E53" s="68">
        <v>1</v>
      </c>
      <c r="F53" s="165">
        <v>122</v>
      </c>
      <c r="G53" s="68">
        <v>0.34329999999999999</v>
      </c>
      <c r="H53" s="105">
        <f t="shared" ref="H53:H60" si="7">IF(OR(E53=0,G53=0),0,-LN(1-G53/E53)/F53)</f>
        <v>3.4469507031574592E-3</v>
      </c>
      <c r="I53" s="68">
        <v>0</v>
      </c>
      <c r="J53" s="165">
        <v>122</v>
      </c>
      <c r="K53" s="68">
        <v>0</v>
      </c>
      <c r="L53" s="105">
        <f t="shared" ref="L53:L60" si="8">IF(OR(I53=0,K53=0),0,-LN(1-K53/I53)/J53)</f>
        <v>0</v>
      </c>
      <c r="M53" s="106">
        <f t="shared" ref="M53:M60" si="9">E53*H53</f>
        <v>3.4469507031574592E-3</v>
      </c>
      <c r="N53" s="106">
        <f t="shared" ref="N53:N60" si="10">I53*L53</f>
        <v>0</v>
      </c>
      <c r="O53" s="103">
        <f t="shared" ref="O53:O60" si="11">E53*(1-EXP(-H53*20))</f>
        <v>6.6616398384136577E-2</v>
      </c>
      <c r="P53" s="103">
        <f t="shared" ref="P53:P60" si="12">I53*(1-EXP(-L53*20))</f>
        <v>0</v>
      </c>
      <c r="Q53" s="62" t="s">
        <v>3641</v>
      </c>
      <c r="R53" s="62" t="s">
        <v>3618</v>
      </c>
      <c r="S53" s="62" t="s">
        <v>3619</v>
      </c>
      <c r="T53" s="108">
        <f>IF($E$50="ADHOC",$E$40,H53)</f>
        <v>3.4469507031574592E-3</v>
      </c>
      <c r="U53" s="109">
        <f t="shared" ref="U53:U60" si="13">IF($E$50="ADHOC",1,E53)</f>
        <v>1</v>
      </c>
      <c r="V53" s="108">
        <f>IF($E$50="ADHOC",$E$40,L53)</f>
        <v>0</v>
      </c>
      <c r="W53" s="109">
        <f t="shared" ref="W53:W60" si="14">IF($E$50="ADHOC",1,I53)</f>
        <v>0</v>
      </c>
    </row>
    <row r="54" spans="1:31" ht="13.15" x14ac:dyDescent="0.4">
      <c r="D54" s="56" t="s">
        <v>1355</v>
      </c>
      <c r="E54" s="68">
        <v>1</v>
      </c>
      <c r="F54" s="165">
        <v>122</v>
      </c>
      <c r="G54" s="68">
        <v>0.18099999999999999</v>
      </c>
      <c r="H54" s="105">
        <f t="shared" si="7"/>
        <v>1.6366491404021942E-3</v>
      </c>
      <c r="I54" s="68">
        <v>0</v>
      </c>
      <c r="J54" s="165">
        <v>122</v>
      </c>
      <c r="K54" s="68">
        <v>0</v>
      </c>
      <c r="L54" s="105">
        <f t="shared" si="8"/>
        <v>0</v>
      </c>
      <c r="M54" s="106">
        <f t="shared" si="9"/>
        <v>1.6366491404021942E-3</v>
      </c>
      <c r="N54" s="106">
        <f t="shared" si="10"/>
        <v>0</v>
      </c>
      <c r="O54" s="103">
        <f t="shared" si="11"/>
        <v>3.2203056486737491E-2</v>
      </c>
      <c r="P54" s="103">
        <f t="shared" si="12"/>
        <v>0</v>
      </c>
      <c r="Q54" s="62" t="s">
        <v>3642</v>
      </c>
      <c r="R54" s="62" t="s">
        <v>3618</v>
      </c>
      <c r="S54" s="62" t="s">
        <v>3620</v>
      </c>
      <c r="T54" s="108">
        <f>IF($E$50="ADHOC",$E$41,H54)</f>
        <v>1.6366491404021942E-3</v>
      </c>
      <c r="U54" s="109">
        <f t="shared" si="13"/>
        <v>1</v>
      </c>
      <c r="V54" s="108">
        <f>IF($E$50="ADHOC",$E$41,L54)</f>
        <v>0</v>
      </c>
      <c r="W54" s="109">
        <f t="shared" si="14"/>
        <v>0</v>
      </c>
    </row>
    <row r="55" spans="1:31" ht="13.15" x14ac:dyDescent="0.4">
      <c r="D55" s="56" t="s">
        <v>1359</v>
      </c>
      <c r="E55" s="68">
        <v>1</v>
      </c>
      <c r="F55" s="165">
        <v>122</v>
      </c>
      <c r="G55" s="68">
        <v>0.28029999999999999</v>
      </c>
      <c r="H55" s="105">
        <f t="shared" si="7"/>
        <v>2.6960722989211347E-3</v>
      </c>
      <c r="I55" s="68">
        <v>0</v>
      </c>
      <c r="J55" s="165">
        <v>122</v>
      </c>
      <c r="K55" s="68">
        <v>0</v>
      </c>
      <c r="L55" s="105">
        <f t="shared" si="8"/>
        <v>0</v>
      </c>
      <c r="M55" s="106">
        <f t="shared" si="9"/>
        <v>2.6960722989211347E-3</v>
      </c>
      <c r="N55" s="106">
        <f t="shared" si="10"/>
        <v>0</v>
      </c>
      <c r="O55" s="103">
        <f t="shared" si="11"/>
        <v>5.2493465972812126E-2</v>
      </c>
      <c r="P55" s="103">
        <f t="shared" si="12"/>
        <v>0</v>
      </c>
      <c r="Q55" s="62" t="s">
        <v>3643</v>
      </c>
      <c r="R55" s="62" t="s">
        <v>3618</v>
      </c>
      <c r="S55" s="62" t="s">
        <v>3619</v>
      </c>
      <c r="T55" s="108">
        <f>IF($E$50="ADHOC",$E$42,H55)</f>
        <v>2.6960722989211347E-3</v>
      </c>
      <c r="U55" s="109">
        <f t="shared" si="13"/>
        <v>1</v>
      </c>
      <c r="V55" s="108">
        <f>IF($E$50="ADHOC",$E$42,L55)</f>
        <v>0</v>
      </c>
      <c r="W55" s="109">
        <f t="shared" si="14"/>
        <v>0</v>
      </c>
    </row>
    <row r="56" spans="1:31" ht="13.15" x14ac:dyDescent="0.4">
      <c r="D56" s="56" t="s">
        <v>1363</v>
      </c>
      <c r="E56" s="68">
        <v>1</v>
      </c>
      <c r="F56" s="165">
        <v>122</v>
      </c>
      <c r="G56" s="68">
        <v>0.3352</v>
      </c>
      <c r="H56" s="105">
        <f t="shared" si="7"/>
        <v>3.3464675036139224E-3</v>
      </c>
      <c r="I56" s="68">
        <v>0</v>
      </c>
      <c r="J56" s="165">
        <v>122</v>
      </c>
      <c r="K56" s="68">
        <v>0</v>
      </c>
      <c r="L56" s="105">
        <f t="shared" si="8"/>
        <v>0</v>
      </c>
      <c r="M56" s="106">
        <f t="shared" si="9"/>
        <v>3.3464675036139224E-3</v>
      </c>
      <c r="N56" s="106">
        <f t="shared" si="10"/>
        <v>0</v>
      </c>
      <c r="O56" s="103">
        <f t="shared" si="11"/>
        <v>6.473872485581611E-2</v>
      </c>
      <c r="P56" s="103">
        <f t="shared" si="12"/>
        <v>0</v>
      </c>
      <c r="Q56" s="62" t="s">
        <v>3644</v>
      </c>
      <c r="R56" s="62" t="s">
        <v>3618</v>
      </c>
      <c r="S56" s="62" t="s">
        <v>3619</v>
      </c>
      <c r="T56" s="108">
        <f>IF($E$50="ADHOC",$E$43,H56)</f>
        <v>3.3464675036139224E-3</v>
      </c>
      <c r="U56" s="109">
        <f t="shared" si="13"/>
        <v>1</v>
      </c>
      <c r="V56" s="108">
        <f>IF($E$50="ADHOC",$E$43,L56)</f>
        <v>0</v>
      </c>
      <c r="W56" s="109">
        <f t="shared" si="14"/>
        <v>0</v>
      </c>
    </row>
    <row r="57" spans="1:31" ht="13.15" x14ac:dyDescent="0.4">
      <c r="D57" s="56" t="s">
        <v>1368</v>
      </c>
      <c r="E57" s="68">
        <v>0</v>
      </c>
      <c r="F57" s="165">
        <v>122</v>
      </c>
      <c r="G57" s="68">
        <v>0</v>
      </c>
      <c r="H57" s="105">
        <f t="shared" si="7"/>
        <v>0</v>
      </c>
      <c r="I57" s="68">
        <v>0</v>
      </c>
      <c r="J57" s="165">
        <v>122</v>
      </c>
      <c r="K57" s="68">
        <v>0</v>
      </c>
      <c r="L57" s="105">
        <f t="shared" si="8"/>
        <v>0</v>
      </c>
      <c r="M57" s="106">
        <f t="shared" si="9"/>
        <v>0</v>
      </c>
      <c r="N57" s="106">
        <f t="shared" si="10"/>
        <v>0</v>
      </c>
      <c r="O57" s="103">
        <f t="shared" si="11"/>
        <v>0</v>
      </c>
      <c r="P57" s="103">
        <f t="shared" si="12"/>
        <v>0</v>
      </c>
      <c r="Q57" s="62" t="s">
        <v>3621</v>
      </c>
      <c r="R57" s="62" t="s">
        <v>3618</v>
      </c>
      <c r="S57" s="62" t="s">
        <v>3620</v>
      </c>
      <c r="T57" s="108">
        <f>IF($E$50="ADHOC",$E$44,H57)</f>
        <v>0</v>
      </c>
      <c r="U57" s="109">
        <f t="shared" si="13"/>
        <v>0</v>
      </c>
      <c r="V57" s="108">
        <f>IF($E$50="ADHOC",$E$44,L57)</f>
        <v>0</v>
      </c>
      <c r="W57" s="109">
        <f t="shared" si="14"/>
        <v>0</v>
      </c>
    </row>
    <row r="58" spans="1:31" ht="13.15" x14ac:dyDescent="0.4">
      <c r="D58" s="56" t="s">
        <v>1373</v>
      </c>
      <c r="E58" s="68">
        <v>0</v>
      </c>
      <c r="F58" s="165">
        <v>122</v>
      </c>
      <c r="G58" s="68">
        <v>0</v>
      </c>
      <c r="H58" s="105">
        <f t="shared" si="7"/>
        <v>0</v>
      </c>
      <c r="I58" s="68">
        <v>0</v>
      </c>
      <c r="J58" s="165">
        <v>122</v>
      </c>
      <c r="K58" s="68">
        <v>0</v>
      </c>
      <c r="L58" s="105">
        <f t="shared" si="8"/>
        <v>0</v>
      </c>
      <c r="M58" s="106">
        <f t="shared" si="9"/>
        <v>0</v>
      </c>
      <c r="N58" s="106">
        <f t="shared" si="10"/>
        <v>0</v>
      </c>
      <c r="O58" s="103">
        <f t="shared" si="11"/>
        <v>0</v>
      </c>
      <c r="P58" s="103">
        <f t="shared" si="12"/>
        <v>0</v>
      </c>
      <c r="Q58" s="62" t="s">
        <v>3622</v>
      </c>
      <c r="R58" s="62" t="s">
        <v>3618</v>
      </c>
      <c r="S58" s="62" t="s">
        <v>3620</v>
      </c>
      <c r="T58" s="108">
        <f>IF($E$50="ADHOC",$E$45,H58)</f>
        <v>0</v>
      </c>
      <c r="U58" s="109">
        <f t="shared" si="13"/>
        <v>0</v>
      </c>
      <c r="V58" s="108">
        <f>IF($E$50="ADHOC",$E$45,L58)</f>
        <v>0</v>
      </c>
      <c r="W58" s="109">
        <f t="shared" si="14"/>
        <v>0</v>
      </c>
    </row>
    <row r="59" spans="1:31" ht="13.15" x14ac:dyDescent="0.4">
      <c r="D59" s="56" t="s">
        <v>1378</v>
      </c>
      <c r="E59" s="68">
        <v>0</v>
      </c>
      <c r="F59" s="165">
        <v>122</v>
      </c>
      <c r="G59" s="68">
        <v>0</v>
      </c>
      <c r="H59" s="105">
        <f t="shared" si="7"/>
        <v>0</v>
      </c>
      <c r="I59" s="68">
        <v>1</v>
      </c>
      <c r="J59" s="165">
        <v>122</v>
      </c>
      <c r="K59" s="68">
        <v>0.6179</v>
      </c>
      <c r="L59" s="105">
        <f t="shared" si="8"/>
        <v>7.8858436436826454E-3</v>
      </c>
      <c r="M59" s="106">
        <f t="shared" si="9"/>
        <v>0</v>
      </c>
      <c r="N59" s="106">
        <f t="shared" si="10"/>
        <v>7.8858436436826454E-3</v>
      </c>
      <c r="O59" s="103">
        <f t="shared" si="11"/>
        <v>0</v>
      </c>
      <c r="P59" s="103">
        <f t="shared" si="12"/>
        <v>0.14590843577047419</v>
      </c>
      <c r="Q59" s="62" t="s">
        <v>3623</v>
      </c>
      <c r="R59" s="62" t="s">
        <v>3645</v>
      </c>
      <c r="S59" s="62" t="s">
        <v>3619</v>
      </c>
      <c r="T59" s="108">
        <f>IF($E$50="ADHOC",$E$46,H59)</f>
        <v>0</v>
      </c>
      <c r="U59" s="109">
        <f t="shared" si="13"/>
        <v>0</v>
      </c>
      <c r="V59" s="108">
        <f>IF($E$50="ADHOC",$E$46,L59)</f>
        <v>7.8858436436826454E-3</v>
      </c>
      <c r="W59" s="109">
        <f t="shared" si="14"/>
        <v>1</v>
      </c>
    </row>
    <row r="60" spans="1:31" ht="13.15" x14ac:dyDescent="0.4">
      <c r="D60" s="56" t="s">
        <v>1383</v>
      </c>
      <c r="E60" s="68">
        <v>1</v>
      </c>
      <c r="F60" s="165">
        <v>122</v>
      </c>
      <c r="G60" s="68">
        <v>0.21640000000000001</v>
      </c>
      <c r="H60" s="105">
        <f t="shared" si="7"/>
        <v>1.9988245320635362E-3</v>
      </c>
      <c r="I60" s="68">
        <v>1</v>
      </c>
      <c r="J60" s="165">
        <v>122</v>
      </c>
      <c r="K60" s="68">
        <v>0.21640000000000001</v>
      </c>
      <c r="L60" s="105">
        <f t="shared" si="8"/>
        <v>1.9988245320635362E-3</v>
      </c>
      <c r="M60" s="106">
        <f t="shared" si="9"/>
        <v>1.9988245320635362E-3</v>
      </c>
      <c r="N60" s="106">
        <f t="shared" si="10"/>
        <v>1.9988245320635362E-3</v>
      </c>
      <c r="O60" s="103">
        <f t="shared" si="11"/>
        <v>3.9187973038577018E-2</v>
      </c>
      <c r="P60" s="103">
        <f t="shared" si="12"/>
        <v>3.9187973038577018E-2</v>
      </c>
      <c r="Q60" s="62" t="s">
        <v>3646</v>
      </c>
      <c r="R60" s="62" t="s">
        <v>3647</v>
      </c>
      <c r="S60" s="62" t="s">
        <v>3620</v>
      </c>
      <c r="T60" s="108">
        <f>IF($E$50="ADHOC",$E$47,H60)</f>
        <v>1.9988245320635362E-3</v>
      </c>
      <c r="U60" s="109">
        <f t="shared" si="13"/>
        <v>1</v>
      </c>
      <c r="V60" s="108">
        <f>IF($E$50="ADHOC",$E$47,L60)</f>
        <v>1.9988245320635362E-3</v>
      </c>
      <c r="W60" s="109">
        <f t="shared" si="14"/>
        <v>1</v>
      </c>
    </row>
    <row r="62" spans="1:31" ht="13.15" x14ac:dyDescent="0.4">
      <c r="A62" s="56"/>
      <c r="B62" s="56" t="s">
        <v>1969</v>
      </c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</row>
    <row r="63" spans="1:31" x14ac:dyDescent="0.35">
      <c r="D63" s="53" t="s">
        <v>1970</v>
      </c>
      <c r="E63" s="93" t="s">
        <v>1971</v>
      </c>
      <c r="F63" s="53" t="s">
        <v>1972</v>
      </c>
    </row>
    <row r="64" spans="1:31" x14ac:dyDescent="0.35">
      <c r="D64" s="53" t="s">
        <v>1973</v>
      </c>
    </row>
    <row r="65" spans="1:31" ht="13.15" x14ac:dyDescent="0.4">
      <c r="D65" s="58" t="s">
        <v>1323</v>
      </c>
      <c r="E65" s="58" t="s">
        <v>1974</v>
      </c>
      <c r="F65" s="102" t="s">
        <v>1975</v>
      </c>
      <c r="G65" s="102" t="s">
        <v>1947</v>
      </c>
      <c r="H65" s="102"/>
      <c r="I65" s="102"/>
      <c r="J65" s="102"/>
      <c r="K65" s="107" t="s">
        <v>1976</v>
      </c>
    </row>
    <row r="66" spans="1:31" ht="13.15" x14ac:dyDescent="0.4">
      <c r="D66" s="56" t="s">
        <v>1350</v>
      </c>
      <c r="E66" s="110">
        <v>-0.5</v>
      </c>
      <c r="F66" s="103" t="s">
        <v>1977</v>
      </c>
      <c r="G66" s="53" t="s">
        <v>1952</v>
      </c>
      <c r="K66" s="111">
        <f>IF(AND($E$63="ON",Settings!$B$10&lt;&gt;"LEGACY"),E66,0)</f>
        <v>0</v>
      </c>
    </row>
    <row r="67" spans="1:31" ht="13.15" x14ac:dyDescent="0.4">
      <c r="D67" s="56" t="s">
        <v>1355</v>
      </c>
      <c r="E67" s="110">
        <v>-0.5</v>
      </c>
      <c r="F67" s="103" t="s">
        <v>1977</v>
      </c>
      <c r="G67" s="53" t="s">
        <v>1952</v>
      </c>
      <c r="K67" s="111">
        <f>IF(AND($E$63="ON",Settings!$B$10&lt;&gt;"LEGACY"),E67,0)</f>
        <v>0</v>
      </c>
    </row>
    <row r="68" spans="1:31" ht="13.15" x14ac:dyDescent="0.4">
      <c r="D68" s="56" t="s">
        <v>1359</v>
      </c>
      <c r="E68" s="110">
        <v>-0.5</v>
      </c>
      <c r="F68" s="103" t="s">
        <v>1977</v>
      </c>
      <c r="G68" s="53" t="s">
        <v>1952</v>
      </c>
      <c r="K68" s="111">
        <f>IF(AND($E$63="ON",Settings!$B$10&lt;&gt;"LEGACY"),E68,0)</f>
        <v>0</v>
      </c>
    </row>
    <row r="69" spans="1:31" ht="13.15" x14ac:dyDescent="0.4">
      <c r="D69" s="56" t="s">
        <v>1363</v>
      </c>
      <c r="E69" s="110">
        <v>-0.5</v>
      </c>
      <c r="F69" s="103" t="s">
        <v>1977</v>
      </c>
      <c r="G69" s="53" t="s">
        <v>1952</v>
      </c>
      <c r="K69" s="111">
        <f>IF(AND($E$63="ON",Settings!$B$10&lt;&gt;"LEGACY"),E69,0)</f>
        <v>0</v>
      </c>
    </row>
    <row r="70" spans="1:31" ht="13.15" x14ac:dyDescent="0.4">
      <c r="D70" s="56" t="s">
        <v>1368</v>
      </c>
      <c r="E70" s="110">
        <v>-0.5</v>
      </c>
      <c r="F70" s="103" t="s">
        <v>1977</v>
      </c>
      <c r="G70" s="53" t="s">
        <v>1952</v>
      </c>
      <c r="K70" s="111">
        <f>IF(AND($E$63="ON",Settings!$B$10&lt;&gt;"LEGACY"),E70,0)</f>
        <v>0</v>
      </c>
    </row>
    <row r="71" spans="1:31" ht="13.15" x14ac:dyDescent="0.4">
      <c r="D71" s="56" t="s">
        <v>1373</v>
      </c>
      <c r="E71" s="110">
        <v>-0.5</v>
      </c>
      <c r="F71" s="103" t="s">
        <v>1977</v>
      </c>
      <c r="G71" s="53" t="s">
        <v>1952</v>
      </c>
      <c r="K71" s="111">
        <f>IF(AND($E$63="ON",Settings!$B$10&lt;&gt;"LEGACY"),E71,0)</f>
        <v>0</v>
      </c>
    </row>
    <row r="72" spans="1:31" ht="13.15" x14ac:dyDescent="0.4">
      <c r="D72" s="56" t="s">
        <v>1378</v>
      </c>
      <c r="E72" s="110">
        <v>-0.5</v>
      </c>
      <c r="F72" s="103" t="s">
        <v>1977</v>
      </c>
      <c r="G72" s="53" t="s">
        <v>1952</v>
      </c>
      <c r="K72" s="111">
        <f>IF(AND($E$63="ON",Settings!$B$10&lt;&gt;"LEGACY"),E72,0)</f>
        <v>0</v>
      </c>
    </row>
    <row r="73" spans="1:31" ht="13.15" x14ac:dyDescent="0.4">
      <c r="D73" s="56" t="s">
        <v>1383</v>
      </c>
      <c r="E73" s="110">
        <v>-0.5</v>
      </c>
      <c r="F73" s="103" t="s">
        <v>1977</v>
      </c>
      <c r="G73" s="53" t="s">
        <v>1952</v>
      </c>
      <c r="K73" s="111">
        <f>IF(AND($E$63="ON",Settings!$B$10&lt;&gt;"LEGACY"),E73,0)</f>
        <v>0</v>
      </c>
    </row>
    <row r="75" spans="1:31" ht="13.15" x14ac:dyDescent="0.4">
      <c r="A75" s="56"/>
      <c r="B75" s="56" t="s">
        <v>1998</v>
      </c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</row>
    <row r="76" spans="1:31" x14ac:dyDescent="0.35">
      <c r="D76" s="53" t="s">
        <v>1999</v>
      </c>
      <c r="E76" s="93" t="s">
        <v>2000</v>
      </c>
      <c r="F76" s="53" t="s">
        <v>2001</v>
      </c>
    </row>
    <row r="77" spans="1:31" x14ac:dyDescent="0.35">
      <c r="D77" s="53" t="s">
        <v>2002</v>
      </c>
    </row>
    <row r="78" spans="1:31" ht="13.15" x14ac:dyDescent="0.4">
      <c r="D78" s="58" t="s">
        <v>1156</v>
      </c>
      <c r="E78" s="58" t="s">
        <v>35</v>
      </c>
      <c r="F78" s="102" t="s">
        <v>36</v>
      </c>
      <c r="G78" s="102"/>
      <c r="H78" s="102"/>
      <c r="I78" s="102"/>
      <c r="J78" s="102"/>
      <c r="K78" s="107"/>
      <c r="L78" s="53">
        <v>2022</v>
      </c>
      <c r="M78" s="53">
        <v>2023</v>
      </c>
      <c r="N78" s="53">
        <v>2024</v>
      </c>
      <c r="O78" s="53">
        <v>2025</v>
      </c>
      <c r="P78" s="53">
        <v>2026</v>
      </c>
      <c r="Q78" s="53">
        <v>2027</v>
      </c>
      <c r="R78" s="53">
        <v>2028</v>
      </c>
      <c r="S78" s="53">
        <v>2029</v>
      </c>
      <c r="T78" s="53">
        <v>2030</v>
      </c>
      <c r="U78" s="53">
        <v>2031</v>
      </c>
      <c r="V78" s="53">
        <v>2032</v>
      </c>
      <c r="W78" s="53">
        <v>2033</v>
      </c>
      <c r="X78" s="53">
        <v>2034</v>
      </c>
      <c r="Y78" s="53">
        <v>2035</v>
      </c>
      <c r="Z78" s="53">
        <v>2036</v>
      </c>
      <c r="AA78" s="53">
        <v>2037</v>
      </c>
      <c r="AB78" s="53">
        <v>2038</v>
      </c>
      <c r="AC78" s="53">
        <v>2039</v>
      </c>
      <c r="AD78" s="53">
        <v>2040</v>
      </c>
      <c r="AE78" s="53">
        <v>2041</v>
      </c>
    </row>
    <row r="79" spans="1:31" ht="13.15" x14ac:dyDescent="0.4">
      <c r="D79" s="56" t="s">
        <v>2003</v>
      </c>
      <c r="E79" s="113" t="s">
        <v>2004</v>
      </c>
      <c r="F79" s="103" t="s">
        <v>2005</v>
      </c>
      <c r="K79" s="113"/>
      <c r="L79" s="104">
        <v>100</v>
      </c>
      <c r="M79" s="104">
        <v>100</v>
      </c>
      <c r="N79" s="104">
        <v>100</v>
      </c>
      <c r="O79" s="104">
        <v>100</v>
      </c>
      <c r="P79" s="104">
        <v>100</v>
      </c>
      <c r="Q79" s="104">
        <v>100</v>
      </c>
      <c r="R79" s="104">
        <v>100</v>
      </c>
      <c r="S79" s="104">
        <v>100</v>
      </c>
      <c r="T79" s="104">
        <v>100</v>
      </c>
      <c r="U79" s="104">
        <v>100</v>
      </c>
      <c r="V79" s="104">
        <v>100</v>
      </c>
      <c r="W79" s="104">
        <v>100</v>
      </c>
      <c r="X79" s="104">
        <v>100</v>
      </c>
      <c r="Y79" s="104">
        <v>100</v>
      </c>
      <c r="Z79" s="104">
        <v>100</v>
      </c>
      <c r="AA79" s="104">
        <v>100</v>
      </c>
      <c r="AB79" s="104">
        <v>100</v>
      </c>
      <c r="AC79" s="104">
        <v>100</v>
      </c>
      <c r="AD79" s="104">
        <v>100</v>
      </c>
      <c r="AE79" s="104">
        <v>100</v>
      </c>
    </row>
    <row r="80" spans="1:31" ht="13.15" x14ac:dyDescent="0.4">
      <c r="D80" s="56" t="s">
        <v>2006</v>
      </c>
      <c r="E80" s="113" t="s">
        <v>79</v>
      </c>
      <c r="F80" s="103" t="s">
        <v>2007</v>
      </c>
      <c r="K80" s="113"/>
      <c r="L80" s="114">
        <v>0</v>
      </c>
      <c r="M80" s="114">
        <v>0</v>
      </c>
      <c r="N80" s="114">
        <v>0</v>
      </c>
      <c r="O80" s="114">
        <v>0</v>
      </c>
      <c r="P80" s="114">
        <v>2.5000000000000001E-2</v>
      </c>
      <c r="Q80" s="114">
        <v>0.05</v>
      </c>
      <c r="R80" s="114">
        <v>0.1</v>
      </c>
      <c r="S80" s="114">
        <v>0.22500000000000001</v>
      </c>
      <c r="T80" s="114">
        <v>0.48499999999999999</v>
      </c>
      <c r="U80" s="114">
        <v>0.61</v>
      </c>
      <c r="V80" s="114">
        <v>0.73499999999999999</v>
      </c>
      <c r="W80" s="114">
        <v>0.86</v>
      </c>
      <c r="X80" s="114">
        <v>1</v>
      </c>
      <c r="Y80" s="114">
        <v>1</v>
      </c>
      <c r="Z80" s="114">
        <v>1</v>
      </c>
      <c r="AA80" s="114">
        <v>1</v>
      </c>
      <c r="AB80" s="114">
        <v>1</v>
      </c>
      <c r="AC80" s="114">
        <v>1</v>
      </c>
      <c r="AD80" s="114">
        <v>1</v>
      </c>
      <c r="AE80" s="114">
        <v>1</v>
      </c>
    </row>
    <row r="81" spans="1:31" ht="13.15" x14ac:dyDescent="0.4">
      <c r="D81" s="56" t="s">
        <v>2008</v>
      </c>
      <c r="E81" s="113" t="s">
        <v>79</v>
      </c>
      <c r="F81" s="103" t="s">
        <v>2009</v>
      </c>
      <c r="K81" s="113"/>
      <c r="L81" s="114">
        <f t="shared" ref="L81:AE81" si="15">IF($E$76="NOPHASE",1,L80)</f>
        <v>0</v>
      </c>
      <c r="M81" s="114">
        <f t="shared" si="15"/>
        <v>0</v>
      </c>
      <c r="N81" s="114">
        <f t="shared" si="15"/>
        <v>0</v>
      </c>
      <c r="O81" s="114">
        <f t="shared" si="15"/>
        <v>0</v>
      </c>
      <c r="P81" s="114">
        <f t="shared" si="15"/>
        <v>2.5000000000000001E-2</v>
      </c>
      <c r="Q81" s="114">
        <f t="shared" si="15"/>
        <v>0.05</v>
      </c>
      <c r="R81" s="114">
        <f t="shared" si="15"/>
        <v>0.1</v>
      </c>
      <c r="S81" s="114">
        <f t="shared" si="15"/>
        <v>0.22500000000000001</v>
      </c>
      <c r="T81" s="114">
        <f t="shared" si="15"/>
        <v>0.48499999999999999</v>
      </c>
      <c r="U81" s="114">
        <f t="shared" si="15"/>
        <v>0.61</v>
      </c>
      <c r="V81" s="114">
        <f t="shared" si="15"/>
        <v>0.73499999999999999</v>
      </c>
      <c r="W81" s="114">
        <f t="shared" si="15"/>
        <v>0.86</v>
      </c>
      <c r="X81" s="114">
        <f t="shared" si="15"/>
        <v>1</v>
      </c>
      <c r="Y81" s="114">
        <f t="shared" si="15"/>
        <v>1</v>
      </c>
      <c r="Z81" s="114">
        <f t="shared" si="15"/>
        <v>1</v>
      </c>
      <c r="AA81" s="114">
        <f t="shared" si="15"/>
        <v>1</v>
      </c>
      <c r="AB81" s="114">
        <f t="shared" si="15"/>
        <v>1</v>
      </c>
      <c r="AC81" s="114">
        <f t="shared" si="15"/>
        <v>1</v>
      </c>
      <c r="AD81" s="114">
        <f t="shared" si="15"/>
        <v>1</v>
      </c>
      <c r="AE81" s="114">
        <f t="shared" si="15"/>
        <v>1</v>
      </c>
    </row>
    <row r="82" spans="1:31" ht="13.15" x14ac:dyDescent="0.4">
      <c r="D82" s="56" t="s">
        <v>2010</v>
      </c>
      <c r="E82" s="113" t="s">
        <v>79</v>
      </c>
      <c r="F82" s="103" t="s">
        <v>2011</v>
      </c>
      <c r="K82" s="113"/>
      <c r="L82" s="114">
        <f t="shared" ref="L82:AE82" si="16">IF($E$76="SCALED",L81,1)</f>
        <v>1</v>
      </c>
      <c r="M82" s="114">
        <f t="shared" si="16"/>
        <v>1</v>
      </c>
      <c r="N82" s="114">
        <f t="shared" si="16"/>
        <v>1</v>
      </c>
      <c r="O82" s="114">
        <f t="shared" si="16"/>
        <v>1</v>
      </c>
      <c r="P82" s="114">
        <f t="shared" si="16"/>
        <v>1</v>
      </c>
      <c r="Q82" s="114">
        <f t="shared" si="16"/>
        <v>1</v>
      </c>
      <c r="R82" s="114">
        <f t="shared" si="16"/>
        <v>1</v>
      </c>
      <c r="S82" s="114">
        <f t="shared" si="16"/>
        <v>1</v>
      </c>
      <c r="T82" s="114">
        <f t="shared" si="16"/>
        <v>1</v>
      </c>
      <c r="U82" s="114">
        <f t="shared" si="16"/>
        <v>1</v>
      </c>
      <c r="V82" s="114">
        <f t="shared" si="16"/>
        <v>1</v>
      </c>
      <c r="W82" s="114">
        <f t="shared" si="16"/>
        <v>1</v>
      </c>
      <c r="X82" s="114">
        <f t="shared" si="16"/>
        <v>1</v>
      </c>
      <c r="Y82" s="114">
        <f t="shared" si="16"/>
        <v>1</v>
      </c>
      <c r="Z82" s="114">
        <f t="shared" si="16"/>
        <v>1</v>
      </c>
      <c r="AA82" s="114">
        <f t="shared" si="16"/>
        <v>1</v>
      </c>
      <c r="AB82" s="114">
        <f t="shared" si="16"/>
        <v>1</v>
      </c>
      <c r="AC82" s="114">
        <f t="shared" si="16"/>
        <v>1</v>
      </c>
      <c r="AD82" s="114">
        <f t="shared" si="16"/>
        <v>1</v>
      </c>
      <c r="AE82" s="114">
        <f t="shared" si="16"/>
        <v>1</v>
      </c>
    </row>
    <row r="84" spans="1:31" ht="13.15" x14ac:dyDescent="0.4">
      <c r="A84" s="56"/>
      <c r="B84" s="56" t="s">
        <v>3108</v>
      </c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</row>
    <row r="85" spans="1:31" x14ac:dyDescent="0.35">
      <c r="D85" s="53" t="s">
        <v>3109</v>
      </c>
      <c r="E85" s="93" t="s">
        <v>3110</v>
      </c>
      <c r="F85" s="53" t="s">
        <v>3111</v>
      </c>
    </row>
    <row r="86" spans="1:31" x14ac:dyDescent="0.35">
      <c r="D86" s="53" t="s">
        <v>3112</v>
      </c>
    </row>
    <row r="87" spans="1:31" ht="13.15" x14ac:dyDescent="0.4">
      <c r="D87" s="58" t="s">
        <v>1323</v>
      </c>
      <c r="E87" s="58" t="s">
        <v>3113</v>
      </c>
      <c r="F87" s="102" t="s">
        <v>1975</v>
      </c>
      <c r="G87" s="102" t="s">
        <v>1947</v>
      </c>
      <c r="H87" s="102" t="s">
        <v>929</v>
      </c>
      <c r="I87" s="102"/>
      <c r="J87" s="102"/>
      <c r="K87" s="107"/>
    </row>
    <row r="88" spans="1:31" ht="13.15" x14ac:dyDescent="0.4">
      <c r="D88" s="56" t="s">
        <v>1350</v>
      </c>
      <c r="E88" s="111">
        <v>0</v>
      </c>
      <c r="F88" s="103" t="s">
        <v>3114</v>
      </c>
      <c r="G88" s="53" t="s">
        <v>3115</v>
      </c>
      <c r="H88" s="94" t="s">
        <v>3116</v>
      </c>
      <c r="K88" s="111"/>
    </row>
    <row r="89" spans="1:31" ht="13.15" x14ac:dyDescent="0.4">
      <c r="D89" s="56" t="s">
        <v>1355</v>
      </c>
      <c r="E89" s="111">
        <v>0</v>
      </c>
      <c r="F89" s="103" t="s">
        <v>3117</v>
      </c>
      <c r="G89" s="53" t="s">
        <v>3115</v>
      </c>
      <c r="H89" s="94" t="s">
        <v>3118</v>
      </c>
      <c r="K89" s="111"/>
    </row>
    <row r="90" spans="1:31" ht="13.15" x14ac:dyDescent="0.4">
      <c r="D90" s="56" t="s">
        <v>1359</v>
      </c>
      <c r="E90" s="111">
        <v>0</v>
      </c>
      <c r="F90" s="103" t="s">
        <v>3119</v>
      </c>
      <c r="G90" s="53" t="s">
        <v>3115</v>
      </c>
      <c r="H90" s="94" t="s">
        <v>3120</v>
      </c>
      <c r="K90" s="111"/>
    </row>
    <row r="91" spans="1:31" ht="13.15" x14ac:dyDescent="0.4">
      <c r="D91" s="56" t="s">
        <v>1363</v>
      </c>
      <c r="E91" s="111">
        <v>0</v>
      </c>
      <c r="F91" s="103" t="s">
        <v>3117</v>
      </c>
      <c r="G91" s="53" t="s">
        <v>3115</v>
      </c>
      <c r="H91" s="94" t="s">
        <v>3121</v>
      </c>
      <c r="K91" s="111"/>
    </row>
    <row r="92" spans="1:31" ht="13.15" x14ac:dyDescent="0.4">
      <c r="D92" s="56" t="s">
        <v>1368</v>
      </c>
      <c r="E92" s="111">
        <v>1</v>
      </c>
      <c r="F92" s="103" t="s">
        <v>3122</v>
      </c>
      <c r="G92" s="53" t="s">
        <v>3115</v>
      </c>
      <c r="H92" s="94" t="s">
        <v>3123</v>
      </c>
      <c r="K92" s="111"/>
    </row>
    <row r="93" spans="1:31" ht="13.15" x14ac:dyDescent="0.4">
      <c r="D93" s="56" t="s">
        <v>1373</v>
      </c>
      <c r="E93" s="111">
        <v>0</v>
      </c>
      <c r="F93" s="103" t="s">
        <v>3117</v>
      </c>
      <c r="G93" s="53" t="s">
        <v>3115</v>
      </c>
      <c r="H93" s="94" t="s">
        <v>3124</v>
      </c>
      <c r="K93" s="111"/>
    </row>
    <row r="94" spans="1:31" ht="13.15" x14ac:dyDescent="0.4">
      <c r="D94" s="56" t="s">
        <v>1378</v>
      </c>
      <c r="E94" s="111">
        <v>0</v>
      </c>
      <c r="F94" s="103" t="s">
        <v>3117</v>
      </c>
      <c r="G94" s="53" t="s">
        <v>3115</v>
      </c>
      <c r="H94" s="94" t="s">
        <v>3125</v>
      </c>
      <c r="K94" s="111"/>
    </row>
    <row r="95" spans="1:31" ht="13.15" x14ac:dyDescent="0.4">
      <c r="D95" s="56" t="s">
        <v>1383</v>
      </c>
      <c r="E95" s="111">
        <v>0</v>
      </c>
      <c r="F95" s="103" t="s">
        <v>3117</v>
      </c>
      <c r="G95" s="53" t="s">
        <v>3115</v>
      </c>
      <c r="H95" s="94" t="s">
        <v>3126</v>
      </c>
      <c r="K95" s="111"/>
    </row>
  </sheetData>
  <dataValidations count="4">
    <dataValidation type="list" allowBlank="1" showInputMessage="1" showErrorMessage="1" sqref="E50" xr:uid="{BBAB76E4-3BBB-44C1-91D2-FEA44B1050B1}">
      <formula1>"IPCC,ADHOC"</formula1>
    </dataValidation>
    <dataValidation type="list" allowBlank="1" showInputMessage="1" showErrorMessage="1" sqref="E63" xr:uid="{1B5759DC-FF50-414F-9C7C-20A0D9D4B8D2}">
      <formula1>"ON,OFF"</formula1>
    </dataValidation>
    <dataValidation type="list" allowBlank="1" showInputMessage="1" showErrorMessage="1" sqref="E76" xr:uid="{63031629-6D43-460C-A856-E79D5FD4BCBA}">
      <formula1>"FULL,SCALED,NOPHASE"</formula1>
    </dataValidation>
    <dataValidation type="list" allowBlank="1" showInputMessage="1" showErrorMessage="1" sqref="E85" xr:uid="{11FDC578-1976-4885-8C9D-ECFCFC66740E}">
      <formula1>"NONE,CPAT"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82"/>
  <sheetViews>
    <sheetView topLeftCell="H1" workbookViewId="0">
      <selection activeCell="M27" sqref="M27:P27"/>
    </sheetView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1701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1702</v>
      </c>
    </row>
    <row r="3" spans="1:35" x14ac:dyDescent="0.35">
      <c r="B3" s="53" t="s">
        <v>1703</v>
      </c>
    </row>
    <row r="5" spans="1:35" ht="13.15" x14ac:dyDescent="0.4">
      <c r="A5" s="63">
        <v>1</v>
      </c>
      <c r="B5" s="63" t="s">
        <v>1704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1705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1706</v>
      </c>
      <c r="C7" s="53" t="s">
        <v>1707</v>
      </c>
      <c r="D7" s="53" t="s">
        <v>1708</v>
      </c>
      <c r="I7" s="53" t="s">
        <v>1398</v>
      </c>
      <c r="J7" s="53" t="s">
        <v>1709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1710</v>
      </c>
      <c r="C8" s="53" t="s">
        <v>1711</v>
      </c>
      <c r="D8" s="53" t="s">
        <v>1712</v>
      </c>
      <c r="I8" s="53" t="s">
        <v>1398</v>
      </c>
      <c r="J8" s="53" t="s">
        <v>1709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1713</v>
      </c>
      <c r="C9" s="53" t="s">
        <v>1714</v>
      </c>
      <c r="D9" s="53" t="s">
        <v>77</v>
      </c>
      <c r="I9" s="53" t="s">
        <v>1398</v>
      </c>
      <c r="J9" s="53" t="s">
        <v>1709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1715</v>
      </c>
      <c r="C10" s="53" t="s">
        <v>1716</v>
      </c>
      <c r="D10" s="53" t="s">
        <v>1717</v>
      </c>
      <c r="I10" s="53" t="s">
        <v>1398</v>
      </c>
      <c r="J10" s="53" t="s">
        <v>1709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1718</v>
      </c>
      <c r="C11" s="53" t="s">
        <v>1719</v>
      </c>
      <c r="D11" s="53" t="s">
        <v>1720</v>
      </c>
      <c r="I11" s="53" t="s">
        <v>1398</v>
      </c>
      <c r="J11" s="53" t="s">
        <v>1709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1721</v>
      </c>
      <c r="C12" s="53" t="s">
        <v>1722</v>
      </c>
      <c r="D12" s="53" t="s">
        <v>1723</v>
      </c>
      <c r="I12" s="53" t="s">
        <v>1398</v>
      </c>
      <c r="J12" s="53" t="s">
        <v>1709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1724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1725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1726</v>
      </c>
      <c r="C16" s="58" t="s">
        <v>1727</v>
      </c>
      <c r="D16" s="58" t="s">
        <v>1728</v>
      </c>
      <c r="E16" s="58" t="s">
        <v>1729</v>
      </c>
      <c r="F16" s="58" t="s">
        <v>1730</v>
      </c>
      <c r="G16" s="58" t="s">
        <v>1731</v>
      </c>
      <c r="H16" s="58" t="s">
        <v>1732</v>
      </c>
      <c r="I16" s="58" t="s">
        <v>1733</v>
      </c>
      <c r="J16" s="58" t="s">
        <v>1734</v>
      </c>
      <c r="K16" s="58" t="s">
        <v>1735</v>
      </c>
      <c r="L16" s="58" t="s">
        <v>1736</v>
      </c>
      <c r="M16" s="58" t="s">
        <v>1868</v>
      </c>
      <c r="N16" s="58" t="s">
        <v>1869</v>
      </c>
      <c r="O16" s="58" t="s">
        <v>1870</v>
      </c>
      <c r="P16" s="58" t="s">
        <v>1871</v>
      </c>
    </row>
    <row r="17" spans="1:35" ht="13.15" x14ac:dyDescent="0.4">
      <c r="A17" s="56"/>
      <c r="B17" s="53" t="s">
        <v>1737</v>
      </c>
      <c r="C17" s="62" t="s">
        <v>1738</v>
      </c>
      <c r="D17" s="62" t="s">
        <v>1706</v>
      </c>
      <c r="E17" s="62" t="s">
        <v>1710</v>
      </c>
      <c r="F17" s="62">
        <v>1</v>
      </c>
      <c r="G17" s="62">
        <v>0</v>
      </c>
      <c r="H17" s="62" t="s">
        <v>1706</v>
      </c>
      <c r="I17" s="62">
        <v>0</v>
      </c>
      <c r="J17" s="62">
        <v>0</v>
      </c>
      <c r="K17" s="62" t="s">
        <v>1739</v>
      </c>
      <c r="L17" s="62" t="s">
        <v>1740</v>
      </c>
      <c r="M17" s="62">
        <v>1</v>
      </c>
      <c r="N17" s="62">
        <v>1</v>
      </c>
      <c r="O17" s="62">
        <v>1</v>
      </c>
      <c r="P17" s="62">
        <v>1</v>
      </c>
    </row>
    <row r="18" spans="1:35" ht="13.15" x14ac:dyDescent="0.4">
      <c r="A18" s="56"/>
      <c r="B18" s="53" t="s">
        <v>1741</v>
      </c>
      <c r="C18" s="62" t="s">
        <v>1742</v>
      </c>
      <c r="D18" s="62" t="s">
        <v>1715</v>
      </c>
      <c r="E18" s="62" t="s">
        <v>1713</v>
      </c>
      <c r="F18" s="62">
        <v>1</v>
      </c>
      <c r="G18" s="62">
        <v>1</v>
      </c>
      <c r="H18" s="62" t="s">
        <v>1715</v>
      </c>
      <c r="I18" s="62">
        <v>0</v>
      </c>
      <c r="J18" s="62">
        <v>0</v>
      </c>
      <c r="K18" s="62" t="s">
        <v>1743</v>
      </c>
      <c r="L18" s="62" t="s">
        <v>1740</v>
      </c>
      <c r="M18" s="62">
        <v>1</v>
      </c>
      <c r="N18" s="62">
        <v>1</v>
      </c>
      <c r="O18" s="62">
        <v>1</v>
      </c>
      <c r="P18" s="62">
        <v>1</v>
      </c>
    </row>
    <row r="19" spans="1:35" ht="13.15" x14ac:dyDescent="0.4">
      <c r="A19" s="56"/>
      <c r="B19" s="53" t="s">
        <v>1744</v>
      </c>
      <c r="C19" s="62" t="s">
        <v>1745</v>
      </c>
      <c r="D19" s="62" t="s">
        <v>1715</v>
      </c>
      <c r="E19" s="62" t="s">
        <v>1713</v>
      </c>
      <c r="F19" s="62">
        <v>1</v>
      </c>
      <c r="G19" s="62">
        <v>0</v>
      </c>
      <c r="H19" s="62" t="s">
        <v>1715</v>
      </c>
      <c r="I19" s="62">
        <v>0</v>
      </c>
      <c r="J19" s="62">
        <v>0</v>
      </c>
      <c r="K19" s="62" t="s">
        <v>1743</v>
      </c>
      <c r="L19" s="62" t="s">
        <v>1740</v>
      </c>
      <c r="M19" s="62">
        <v>1</v>
      </c>
      <c r="N19" s="62">
        <v>1</v>
      </c>
      <c r="O19" s="62">
        <v>1</v>
      </c>
      <c r="P19" s="62">
        <v>1</v>
      </c>
    </row>
    <row r="20" spans="1:35" ht="13.15" x14ac:dyDescent="0.4">
      <c r="A20" s="56"/>
      <c r="B20" s="53" t="s">
        <v>1746</v>
      </c>
      <c r="C20" s="62" t="s">
        <v>1747</v>
      </c>
      <c r="D20" s="62" t="s">
        <v>1715</v>
      </c>
      <c r="E20" s="62" t="s">
        <v>1713</v>
      </c>
      <c r="F20" s="62">
        <v>1</v>
      </c>
      <c r="G20" s="62">
        <v>0</v>
      </c>
      <c r="H20" s="62" t="s">
        <v>1715</v>
      </c>
      <c r="I20" s="62">
        <v>0</v>
      </c>
      <c r="J20" s="62">
        <v>0</v>
      </c>
      <c r="K20" s="62" t="s">
        <v>1748</v>
      </c>
      <c r="L20" s="62" t="s">
        <v>1740</v>
      </c>
      <c r="M20" s="62">
        <v>1</v>
      </c>
      <c r="N20" s="62">
        <v>1</v>
      </c>
      <c r="O20" s="62">
        <v>1</v>
      </c>
      <c r="P20" s="62">
        <v>1</v>
      </c>
    </row>
    <row r="21" spans="1:35" ht="13.15" x14ac:dyDescent="0.4">
      <c r="A21" s="56"/>
      <c r="B21" s="53" t="s">
        <v>1749</v>
      </c>
      <c r="C21" s="62" t="s">
        <v>1750</v>
      </c>
      <c r="D21" s="62" t="s">
        <v>1718</v>
      </c>
      <c r="E21" s="62" t="s">
        <v>1713</v>
      </c>
      <c r="F21" s="62">
        <v>1</v>
      </c>
      <c r="G21" s="62">
        <v>1</v>
      </c>
      <c r="H21" s="62" t="s">
        <v>1718</v>
      </c>
      <c r="I21" s="62">
        <v>0</v>
      </c>
      <c r="J21" s="62">
        <v>0</v>
      </c>
      <c r="K21" s="62" t="s">
        <v>1748</v>
      </c>
      <c r="L21" s="62" t="s">
        <v>1751</v>
      </c>
      <c r="M21" s="62">
        <v>1</v>
      </c>
      <c r="N21" s="62">
        <v>1</v>
      </c>
      <c r="O21" s="62">
        <v>1</v>
      </c>
      <c r="P21" s="62">
        <v>1</v>
      </c>
    </row>
    <row r="22" spans="1:35" ht="13.15" x14ac:dyDescent="0.4">
      <c r="A22" s="56"/>
      <c r="B22" s="53" t="s">
        <v>1752</v>
      </c>
      <c r="C22" s="62" t="s">
        <v>1753</v>
      </c>
      <c r="D22" s="62" t="s">
        <v>1718</v>
      </c>
      <c r="E22" s="62" t="s">
        <v>1713</v>
      </c>
      <c r="F22" s="62">
        <v>1</v>
      </c>
      <c r="G22" s="62">
        <v>1</v>
      </c>
      <c r="H22" s="62" t="s">
        <v>1718</v>
      </c>
      <c r="I22" s="62">
        <v>1</v>
      </c>
      <c r="J22" s="62">
        <v>0</v>
      </c>
      <c r="K22" s="62" t="s">
        <v>1754</v>
      </c>
      <c r="L22" s="62" t="s">
        <v>1751</v>
      </c>
      <c r="M22" s="62">
        <v>1</v>
      </c>
      <c r="N22" s="62">
        <v>1</v>
      </c>
      <c r="O22" s="62">
        <v>1</v>
      </c>
      <c r="P22" s="62">
        <v>1</v>
      </c>
    </row>
    <row r="23" spans="1:35" ht="13.15" x14ac:dyDescent="0.4">
      <c r="A23" s="56"/>
      <c r="B23" s="53" t="s">
        <v>1755</v>
      </c>
      <c r="C23" s="62" t="s">
        <v>1756</v>
      </c>
      <c r="D23" s="62" t="s">
        <v>1718</v>
      </c>
      <c r="E23" s="62" t="s">
        <v>1713</v>
      </c>
      <c r="F23" s="62">
        <v>1</v>
      </c>
      <c r="G23" s="62">
        <v>1</v>
      </c>
      <c r="H23" s="62" t="s">
        <v>1718</v>
      </c>
      <c r="I23" s="62">
        <v>0</v>
      </c>
      <c r="J23" s="62">
        <v>1</v>
      </c>
      <c r="K23" s="62" t="s">
        <v>1757</v>
      </c>
      <c r="L23" s="62" t="s">
        <v>1751</v>
      </c>
      <c r="M23" s="62">
        <v>1</v>
      </c>
      <c r="N23" s="62">
        <v>1</v>
      </c>
      <c r="O23" s="62">
        <v>1</v>
      </c>
      <c r="P23" s="62">
        <v>1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1758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1726</v>
      </c>
      <c r="C26" s="56" t="s">
        <v>1727</v>
      </c>
      <c r="D26" s="56" t="s">
        <v>1728</v>
      </c>
      <c r="E26" s="56" t="s">
        <v>1729</v>
      </c>
      <c r="F26" s="56" t="s">
        <v>1730</v>
      </c>
      <c r="G26" s="56" t="s">
        <v>1731</v>
      </c>
      <c r="H26" s="56" t="s">
        <v>1732</v>
      </c>
      <c r="I26" s="56" t="s">
        <v>1733</v>
      </c>
      <c r="J26" s="56" t="s">
        <v>1734</v>
      </c>
      <c r="K26" s="56" t="s">
        <v>1735</v>
      </c>
      <c r="L26" s="56" t="s">
        <v>1736</v>
      </c>
      <c r="M26" s="56" t="s">
        <v>1868</v>
      </c>
      <c r="N26" s="56" t="s">
        <v>1869</v>
      </c>
      <c r="O26" s="56" t="s">
        <v>1870</v>
      </c>
      <c r="P26" s="56" t="s">
        <v>1871</v>
      </c>
    </row>
    <row r="27" spans="1:35" ht="13.15" x14ac:dyDescent="0.4">
      <c r="A27" s="56"/>
      <c r="B27" s="93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  <c r="M27" s="53">
        <f>INDEX(M$17:M$23,MATCH($B$27,$B$17:$B$23,0))</f>
        <v>1</v>
      </c>
      <c r="N27" s="53">
        <f>INDEX(N$17:N$23,MATCH($B$27,$B$17:$B$23,0))</f>
        <v>1</v>
      </c>
      <c r="O27" s="53">
        <f>INDEX(O$17:O$23,MATCH($B$27,$B$17:$B$23,0))</f>
        <v>1</v>
      </c>
      <c r="P27" s="53">
        <f>INDEX(P$17:P$23,MATCH($B$27,$B$17:$B$23,0))</f>
        <v>1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1759</v>
      </c>
      <c r="D29" s="56"/>
      <c r="E29" s="56" t="s">
        <v>1760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1761</v>
      </c>
      <c r="E30" s="62">
        <v>0.1</v>
      </c>
      <c r="I30" s="53" t="s">
        <v>1762</v>
      </c>
      <c r="J30" s="53" t="s">
        <v>1763</v>
      </c>
    </row>
    <row r="31" spans="1:35" ht="13.15" x14ac:dyDescent="0.4">
      <c r="A31" s="56"/>
      <c r="B31" s="53" t="s">
        <v>53</v>
      </c>
      <c r="C31" s="53" t="s">
        <v>1761</v>
      </c>
      <c r="E31" s="62">
        <v>5.5800000000000002E-2</v>
      </c>
      <c r="I31" s="53" t="s">
        <v>1762</v>
      </c>
      <c r="J31" s="53" t="s">
        <v>1763</v>
      </c>
    </row>
    <row r="32" spans="1:35" ht="13.15" x14ac:dyDescent="0.4">
      <c r="A32" s="56"/>
      <c r="B32" s="53" t="s">
        <v>55</v>
      </c>
      <c r="C32" s="53" t="s">
        <v>1761</v>
      </c>
      <c r="E32" s="62">
        <v>2.3142274537200002E-3</v>
      </c>
      <c r="I32" s="53" t="s">
        <v>1764</v>
      </c>
      <c r="J32" s="53" t="s">
        <v>1763</v>
      </c>
    </row>
    <row r="33" spans="1:35" ht="13.15" x14ac:dyDescent="0.4">
      <c r="A33" s="56"/>
      <c r="B33" s="53" t="s">
        <v>58</v>
      </c>
      <c r="C33" s="53" t="s">
        <v>1761</v>
      </c>
      <c r="E33" s="62">
        <v>2.64083510871E-3</v>
      </c>
      <c r="I33" s="53" t="s">
        <v>1764</v>
      </c>
      <c r="J33" s="53" t="s">
        <v>1763</v>
      </c>
    </row>
    <row r="34" spans="1:35" ht="13.15" x14ac:dyDescent="0.4">
      <c r="A34" s="56"/>
      <c r="B34" s="53" t="s">
        <v>60</v>
      </c>
      <c r="C34" s="53" t="s">
        <v>1761</v>
      </c>
      <c r="E34" s="62">
        <v>1.7684866341836534E-3</v>
      </c>
      <c r="I34" s="53" t="s">
        <v>1764</v>
      </c>
      <c r="J34" s="53" t="s">
        <v>1763</v>
      </c>
    </row>
    <row r="35" spans="1:35" ht="13.15" x14ac:dyDescent="0.4">
      <c r="A35" s="56"/>
      <c r="B35" s="53" t="s">
        <v>62</v>
      </c>
      <c r="C35" s="53" t="s">
        <v>1761</v>
      </c>
      <c r="E35" s="62">
        <v>2.5591064088086772E-3</v>
      </c>
      <c r="I35" s="53" t="s">
        <v>1764</v>
      </c>
      <c r="J35" s="53" t="s">
        <v>1763</v>
      </c>
    </row>
    <row r="36" spans="1:35" ht="13.15" x14ac:dyDescent="0.4">
      <c r="A36" s="56"/>
      <c r="B36" s="53" t="s">
        <v>64</v>
      </c>
      <c r="C36" s="53" t="s">
        <v>1761</v>
      </c>
      <c r="E36" s="62">
        <v>0.46940399999999999</v>
      </c>
      <c r="I36" s="53" t="s">
        <v>1765</v>
      </c>
      <c r="J36" s="53" t="s">
        <v>1763</v>
      </c>
    </row>
    <row r="37" spans="1:35" ht="13.15" x14ac:dyDescent="0.4">
      <c r="A37" s="56"/>
      <c r="B37" s="53" t="s">
        <v>67</v>
      </c>
      <c r="C37" s="53" t="s">
        <v>1761</v>
      </c>
      <c r="E37" s="62">
        <v>0</v>
      </c>
      <c r="I37" s="53" t="s">
        <v>1762</v>
      </c>
      <c r="J37" s="53" t="s">
        <v>1763</v>
      </c>
    </row>
    <row r="38" spans="1:35" ht="13.15" x14ac:dyDescent="0.4">
      <c r="A38" s="56"/>
      <c r="B38" s="53" t="s">
        <v>69</v>
      </c>
      <c r="C38" s="53" t="s">
        <v>1761</v>
      </c>
      <c r="E38" s="62">
        <v>0</v>
      </c>
      <c r="I38" s="53" t="s">
        <v>1766</v>
      </c>
      <c r="J38" s="53" t="s">
        <v>1763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1767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1768</v>
      </c>
      <c r="E41" s="56" t="s">
        <v>35</v>
      </c>
      <c r="F41" s="56" t="s">
        <v>36</v>
      </c>
      <c r="G41" s="56" t="s">
        <v>37</v>
      </c>
      <c r="H41" s="56" t="s">
        <v>1769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1397</v>
      </c>
      <c r="C42" s="53" t="s">
        <v>1770</v>
      </c>
      <c r="D42" s="53" t="s">
        <v>1771</v>
      </c>
      <c r="E42" s="53" t="s">
        <v>1398</v>
      </c>
      <c r="F42" s="53" t="s">
        <v>1772</v>
      </c>
      <c r="G42" s="94" t="s">
        <v>1403</v>
      </c>
      <c r="H42" s="53" t="s">
        <v>1897</v>
      </c>
      <c r="J42" s="53" t="s">
        <v>1709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ht="13.15" x14ac:dyDescent="0.4">
      <c r="A43" s="56"/>
      <c r="B43" s="53" t="s">
        <v>1401</v>
      </c>
      <c r="C43" s="53" t="s">
        <v>1773</v>
      </c>
      <c r="D43" s="53" t="s">
        <v>1771</v>
      </c>
      <c r="E43" s="53" t="s">
        <v>1398</v>
      </c>
      <c r="F43" s="53" t="s">
        <v>1772</v>
      </c>
      <c r="G43" s="94" t="s">
        <v>1404</v>
      </c>
      <c r="H43" s="53" t="s">
        <v>1774</v>
      </c>
      <c r="J43" s="53" t="s">
        <v>1709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ht="13.15" x14ac:dyDescent="0.4">
      <c r="A44" s="56"/>
      <c r="B44" s="53" t="s">
        <v>1775</v>
      </c>
      <c r="C44" s="53" t="s">
        <v>1776</v>
      </c>
      <c r="D44" s="53" t="s">
        <v>1771</v>
      </c>
      <c r="E44" s="53" t="s">
        <v>1398</v>
      </c>
      <c r="F44" s="53" t="s">
        <v>1772</v>
      </c>
      <c r="G44" s="94" t="s">
        <v>1777</v>
      </c>
      <c r="H44" s="53" t="s">
        <v>1898</v>
      </c>
      <c r="J44" s="53" t="s">
        <v>1709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ht="13.15" x14ac:dyDescent="0.4">
      <c r="A45" s="56"/>
      <c r="B45" s="53" t="s">
        <v>1778</v>
      </c>
      <c r="C45" s="53" t="s">
        <v>1779</v>
      </c>
      <c r="D45" s="53" t="s">
        <v>1771</v>
      </c>
      <c r="E45" s="53" t="s">
        <v>79</v>
      </c>
      <c r="F45" s="53" t="s">
        <v>1772</v>
      </c>
      <c r="G45" s="94" t="s">
        <v>1780</v>
      </c>
      <c r="H45" s="53" t="s">
        <v>1781</v>
      </c>
      <c r="J45" s="53" t="s">
        <v>1709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ht="13.15" x14ac:dyDescent="0.4">
      <c r="A46" s="56"/>
      <c r="B46" s="53" t="s">
        <v>1782</v>
      </c>
      <c r="C46" s="53" t="s">
        <v>1783</v>
      </c>
      <c r="D46" s="53" t="s">
        <v>1784</v>
      </c>
      <c r="E46" s="53" t="s">
        <v>79</v>
      </c>
      <c r="F46" s="53" t="s">
        <v>1772</v>
      </c>
      <c r="G46" s="94" t="s">
        <v>1785</v>
      </c>
      <c r="H46" s="53" t="s">
        <v>2427</v>
      </c>
      <c r="J46" s="53" t="s">
        <v>1709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ht="13.15" x14ac:dyDescent="0.4">
      <c r="A47" s="56"/>
      <c r="B47" s="53" t="s">
        <v>1786</v>
      </c>
      <c r="C47" s="53" t="s">
        <v>1787</v>
      </c>
      <c r="D47" s="53" t="s">
        <v>1784</v>
      </c>
      <c r="E47" s="53" t="s">
        <v>1398</v>
      </c>
      <c r="F47" s="53" t="s">
        <v>1772</v>
      </c>
      <c r="G47" s="94" t="s">
        <v>1788</v>
      </c>
      <c r="H47" s="53" t="s">
        <v>2428</v>
      </c>
      <c r="J47" s="53" t="s">
        <v>1709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ht="13.15" x14ac:dyDescent="0.4">
      <c r="A48" s="56"/>
      <c r="B48" s="53" t="s">
        <v>1789</v>
      </c>
      <c r="C48" s="53" t="s">
        <v>1790</v>
      </c>
      <c r="D48" s="53" t="s">
        <v>1791</v>
      </c>
      <c r="E48" s="53" t="s">
        <v>79</v>
      </c>
      <c r="F48" s="53" t="s">
        <v>1772</v>
      </c>
      <c r="G48" s="94" t="s">
        <v>1792</v>
      </c>
      <c r="H48" s="53" t="s">
        <v>2881</v>
      </c>
      <c r="J48" s="53" t="s">
        <v>1709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ht="13.15" x14ac:dyDescent="0.4">
      <c r="A49" s="56"/>
      <c r="B49" s="53" t="s">
        <v>1793</v>
      </c>
      <c r="C49" s="53" t="s">
        <v>2879</v>
      </c>
      <c r="D49" s="53" t="s">
        <v>1795</v>
      </c>
      <c r="E49" s="53" t="s">
        <v>1398</v>
      </c>
      <c r="F49" s="53" t="s">
        <v>1772</v>
      </c>
      <c r="G49" s="94" t="s">
        <v>1796</v>
      </c>
      <c r="H49" s="53" t="s">
        <v>2880</v>
      </c>
      <c r="J49" s="53" t="s">
        <v>1709</v>
      </c>
      <c r="K49" s="59">
        <v>0</v>
      </c>
      <c r="L49" s="59">
        <f>Fund_Industry!L$397</f>
        <v>0</v>
      </c>
      <c r="M49" s="59">
        <f>Fund_Industry!M$397</f>
        <v>0</v>
      </c>
      <c r="N49" s="59">
        <f>Fund_Industry!N$397</f>
        <v>0</v>
      </c>
      <c r="O49" s="59">
        <f>Fund_Industry!O$397</f>
        <v>0</v>
      </c>
      <c r="P49" s="59">
        <f>Fund_Industry!P$397</f>
        <v>0</v>
      </c>
      <c r="Q49" s="59">
        <f>Fund_Industry!Q$397</f>
        <v>0</v>
      </c>
      <c r="R49" s="59">
        <f>Fund_Industry!R$397</f>
        <v>0</v>
      </c>
      <c r="S49" s="59">
        <f>Fund_Industry!S$397</f>
        <v>0</v>
      </c>
      <c r="T49" s="59">
        <f>Fund_Industry!T$397</f>
        <v>0</v>
      </c>
      <c r="U49" s="59">
        <f>Fund_Industry!U$397</f>
        <v>0</v>
      </c>
      <c r="V49" s="59">
        <f>Fund_Industry!V$397</f>
        <v>0</v>
      </c>
      <c r="W49" s="59">
        <f>Fund_Industry!W$397</f>
        <v>0</v>
      </c>
      <c r="X49" s="59">
        <f>Fund_Industry!X$397</f>
        <v>0</v>
      </c>
      <c r="Y49" s="59">
        <f>Fund_Industry!Y$397</f>
        <v>0</v>
      </c>
      <c r="Z49" s="59">
        <f>Fund_Industry!Z$397</f>
        <v>0</v>
      </c>
      <c r="AA49" s="59">
        <f>Fund_Industry!AA$397</f>
        <v>0</v>
      </c>
      <c r="AB49" s="59">
        <f>Fund_Industry!AB$397</f>
        <v>0</v>
      </c>
      <c r="AC49" s="59">
        <f>Fund_Industry!AC$397</f>
        <v>0</v>
      </c>
      <c r="AD49" s="59">
        <f>Fund_Industry!AD$397</f>
        <v>0</v>
      </c>
      <c r="AE49" s="59">
        <f>Fund_Industry!AE$397</f>
        <v>0</v>
      </c>
      <c r="AF49" s="59">
        <v>0</v>
      </c>
      <c r="AG49" s="59">
        <v>0</v>
      </c>
      <c r="AH49" s="59">
        <v>0</v>
      </c>
      <c r="AI49" s="59">
        <v>0</v>
      </c>
    </row>
    <row r="50" spans="1:35" ht="13.15" x14ac:dyDescent="0.4">
      <c r="A50" s="56"/>
      <c r="B50" s="53" t="s">
        <v>938</v>
      </c>
      <c r="C50" s="53" t="s">
        <v>1797</v>
      </c>
      <c r="D50" s="53" t="s">
        <v>1771</v>
      </c>
      <c r="E50" s="53" t="s">
        <v>51</v>
      </c>
      <c r="F50" s="53" t="s">
        <v>1772</v>
      </c>
      <c r="G50" s="94" t="s">
        <v>1023</v>
      </c>
      <c r="H50" s="53" t="s">
        <v>1798</v>
      </c>
      <c r="J50" s="53" t="s">
        <v>1709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ht="13.15" x14ac:dyDescent="0.4">
      <c r="A51" s="56"/>
      <c r="B51" s="53" t="s">
        <v>938</v>
      </c>
      <c r="C51" s="53" t="s">
        <v>1799</v>
      </c>
      <c r="D51" s="53" t="s">
        <v>1771</v>
      </c>
      <c r="E51" s="53" t="s">
        <v>51</v>
      </c>
      <c r="F51" s="53" t="s">
        <v>1772</v>
      </c>
      <c r="G51" s="94" t="s">
        <v>1025</v>
      </c>
      <c r="H51" s="53" t="s">
        <v>1798</v>
      </c>
      <c r="J51" s="53" t="s">
        <v>1709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ht="13.15" x14ac:dyDescent="0.4">
      <c r="A52" s="56"/>
      <c r="B52" s="53" t="s">
        <v>938</v>
      </c>
      <c r="C52" s="53" t="s">
        <v>1800</v>
      </c>
      <c r="D52" s="53" t="s">
        <v>1771</v>
      </c>
      <c r="E52" s="53" t="s">
        <v>57</v>
      </c>
      <c r="F52" s="53" t="s">
        <v>1772</v>
      </c>
      <c r="G52" s="94" t="s">
        <v>1028</v>
      </c>
      <c r="H52" s="53" t="s">
        <v>1798</v>
      </c>
      <c r="J52" s="53" t="s">
        <v>1709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ht="13.15" x14ac:dyDescent="0.4">
      <c r="A53" s="56"/>
      <c r="B53" s="53" t="s">
        <v>938</v>
      </c>
      <c r="C53" s="53" t="s">
        <v>1801</v>
      </c>
      <c r="D53" s="53" t="s">
        <v>1771</v>
      </c>
      <c r="E53" s="53" t="s">
        <v>57</v>
      </c>
      <c r="F53" s="53" t="s">
        <v>1772</v>
      </c>
      <c r="G53" s="94" t="s">
        <v>1032</v>
      </c>
      <c r="H53" s="53" t="s">
        <v>1798</v>
      </c>
      <c r="J53" s="53" t="s">
        <v>1709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ht="13.15" x14ac:dyDescent="0.4">
      <c r="A54" s="56"/>
      <c r="B54" s="53" t="s">
        <v>938</v>
      </c>
      <c r="C54" s="53" t="s">
        <v>1802</v>
      </c>
      <c r="D54" s="53" t="s">
        <v>1771</v>
      </c>
      <c r="E54" s="53" t="s">
        <v>57</v>
      </c>
      <c r="F54" s="53" t="s">
        <v>1772</v>
      </c>
      <c r="G54" s="94" t="s">
        <v>1036</v>
      </c>
      <c r="H54" s="53" t="s">
        <v>1798</v>
      </c>
      <c r="J54" s="53" t="s">
        <v>1709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ht="13.15" x14ac:dyDescent="0.4">
      <c r="A55" s="56"/>
      <c r="B55" s="53" t="s">
        <v>938</v>
      </c>
      <c r="C55" s="53" t="s">
        <v>1803</v>
      </c>
      <c r="D55" s="53" t="s">
        <v>1771</v>
      </c>
      <c r="E55" s="53" t="s">
        <v>57</v>
      </c>
      <c r="F55" s="53" t="s">
        <v>1772</v>
      </c>
      <c r="G55" s="94" t="s">
        <v>1040</v>
      </c>
      <c r="H55" s="53" t="s">
        <v>1798</v>
      </c>
      <c r="J55" s="53" t="s">
        <v>1709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ht="13.15" x14ac:dyDescent="0.4">
      <c r="A56" s="56"/>
      <c r="B56" s="53" t="s">
        <v>938</v>
      </c>
      <c r="C56" s="53" t="s">
        <v>1804</v>
      </c>
      <c r="D56" s="53" t="s">
        <v>1771</v>
      </c>
      <c r="E56" s="53" t="s">
        <v>66</v>
      </c>
      <c r="F56" s="53" t="s">
        <v>1772</v>
      </c>
      <c r="G56" s="94" t="s">
        <v>1044</v>
      </c>
      <c r="H56" s="53" t="s">
        <v>1798</v>
      </c>
      <c r="J56" s="53" t="s">
        <v>1709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ht="13.15" x14ac:dyDescent="0.4">
      <c r="A57" s="56"/>
      <c r="B57" s="53" t="s">
        <v>938</v>
      </c>
      <c r="C57" s="53" t="s">
        <v>1805</v>
      </c>
      <c r="D57" s="53" t="s">
        <v>1771</v>
      </c>
      <c r="E57" s="53" t="s">
        <v>51</v>
      </c>
      <c r="F57" s="53" t="s">
        <v>1772</v>
      </c>
      <c r="G57" s="94" t="s">
        <v>1048</v>
      </c>
      <c r="H57" s="53" t="s">
        <v>1798</v>
      </c>
      <c r="J57" s="53" t="s">
        <v>1709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ht="13.15" x14ac:dyDescent="0.4">
      <c r="A58" s="56"/>
      <c r="B58" s="53" t="s">
        <v>938</v>
      </c>
      <c r="C58" s="53" t="s">
        <v>1806</v>
      </c>
      <c r="D58" s="53" t="s">
        <v>1771</v>
      </c>
      <c r="E58" s="53" t="s">
        <v>71</v>
      </c>
      <c r="F58" s="53" t="s">
        <v>1772</v>
      </c>
      <c r="G58" s="94" t="s">
        <v>1052</v>
      </c>
      <c r="H58" s="53" t="s">
        <v>1798</v>
      </c>
      <c r="J58" s="53" t="s">
        <v>1709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1807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1808</v>
      </c>
    </row>
    <row r="62" spans="1:35" ht="13.15" x14ac:dyDescent="0.4">
      <c r="A62" s="56"/>
      <c r="B62" s="53" t="s">
        <v>1809</v>
      </c>
    </row>
    <row r="63" spans="1:35" ht="13.15" x14ac:dyDescent="0.4">
      <c r="A63" s="56"/>
      <c r="B63" s="53" t="s">
        <v>1810</v>
      </c>
    </row>
    <row r="64" spans="1:35" ht="13.15" x14ac:dyDescent="0.4">
      <c r="A64" s="56"/>
      <c r="B64" s="53" t="s">
        <v>1811</v>
      </c>
    </row>
    <row r="65" spans="1:2" ht="13.15" x14ac:dyDescent="0.4">
      <c r="A65" s="56"/>
      <c r="B65" s="53" t="s">
        <v>1812</v>
      </c>
    </row>
    <row r="66" spans="1:2" ht="13.15" x14ac:dyDescent="0.4">
      <c r="A66" s="56"/>
      <c r="B66" s="53" t="s">
        <v>1813</v>
      </c>
    </row>
    <row r="67" spans="1:2" ht="13.15" x14ac:dyDescent="0.4">
      <c r="A67" s="56"/>
      <c r="B67" s="53" t="s">
        <v>1814</v>
      </c>
    </row>
    <row r="68" spans="1:2" ht="13.15" x14ac:dyDescent="0.4">
      <c r="A68" s="56"/>
      <c r="B68" s="53" t="s">
        <v>1815</v>
      </c>
    </row>
    <row r="69" spans="1:2" x14ac:dyDescent="0.35">
      <c r="B69" s="53" t="s">
        <v>1857</v>
      </c>
    </row>
    <row r="70" spans="1:2" x14ac:dyDescent="0.35">
      <c r="B70" s="53" t="s">
        <v>1872</v>
      </c>
    </row>
    <row r="71" spans="1:2" x14ac:dyDescent="0.35">
      <c r="B71" s="53" t="s">
        <v>1899</v>
      </c>
    </row>
    <row r="72" spans="1:2" x14ac:dyDescent="0.35">
      <c r="B72" s="53" t="s">
        <v>1910</v>
      </c>
    </row>
    <row r="73" spans="1:2" x14ac:dyDescent="0.35">
      <c r="B73" s="53" t="s">
        <v>1966</v>
      </c>
    </row>
    <row r="74" spans="1:2" x14ac:dyDescent="0.35">
      <c r="B74" s="53" t="s">
        <v>1995</v>
      </c>
    </row>
    <row r="75" spans="1:2" x14ac:dyDescent="0.35">
      <c r="B75" s="53" t="s">
        <v>2025</v>
      </c>
    </row>
    <row r="76" spans="1:2" x14ac:dyDescent="0.35">
      <c r="B76" s="53" t="s">
        <v>2143</v>
      </c>
    </row>
    <row r="77" spans="1:2" x14ac:dyDescent="0.35">
      <c r="B77" s="53" t="s">
        <v>2429</v>
      </c>
    </row>
    <row r="78" spans="1:2" x14ac:dyDescent="0.35">
      <c r="B78" s="53" t="s">
        <v>2882</v>
      </c>
    </row>
    <row r="79" spans="1:2" x14ac:dyDescent="0.35">
      <c r="B79" s="53" t="s">
        <v>3252</v>
      </c>
    </row>
    <row r="80" spans="1:2" x14ac:dyDescent="0.35">
      <c r="B80" s="53" t="s">
        <v>3598</v>
      </c>
    </row>
    <row r="81" spans="2:2" x14ac:dyDescent="0.35">
      <c r="B81" s="53" t="s">
        <v>3638</v>
      </c>
    </row>
    <row r="82" spans="2:2" x14ac:dyDescent="0.35">
      <c r="B82" s="53" t="s">
        <v>3685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744" activePane="bottomRight" state="frozen"/>
      <selection pane="topRight" activeCell="E1" sqref="E1"/>
      <selection pane="bottomLeft" activeCell="A2" sqref="A2"/>
      <selection pane="bottomRight" activeCell="A771" sqref="A771:XFD771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I54" t="s">
        <v>2355</v>
      </c>
      <c r="L54" s="47">
        <f>INDEX(Data_Energy!$D$3:$U$22,MATCH($B54,Data_Energy!$C$3:$C$22,0),MATCH($C54,Data_Energy!$D$2:$U$2,0))</f>
        <v>232.65735477013101</v>
      </c>
      <c r="M54" s="24">
        <f>L54*(1+M$39)^($E44*M$40)*(1+M$41)*IF(Rebate_Industry!L$84&lt;=0,1,Rebate_Industry!M$84/Rebate_Industry!L$84)^$F44*(IF(L27&lt;=0,1,M27/L27)^$G44/(1+$H44+$I44))^(1+$F44)</f>
        <v>189.45265610688699</v>
      </c>
      <c r="N54" s="24">
        <f>M54*(1+N$39)^($E44*N$40)*(1+N$41)*IF(Rebate_Industry!M$84&lt;=0,1,Rebate_Industry!N$84/Rebate_Industry!M$84)^$F44*(IF(M27&lt;=0,1,N27/M27)^$G44/(1+$H44+$I44))^(1+$F44)</f>
        <v>217.72883870914094</v>
      </c>
      <c r="O54" s="24">
        <f>N54*(1+O$39)^($E44*O$40)*(1+O$41)*IF(Rebate_Industry!N$84&lt;=0,1,Rebate_Industry!O$84/Rebate_Industry!N$84)^$F44*(IF(N27&lt;=0,1,O27/N27)^$G44/(1+$H44+$I44))^(1+$F44)</f>
        <v>237.89793015048883</v>
      </c>
      <c r="P54" s="24">
        <f>O54*(1+P$39)^($E44*P$40)*(1+P$41)*IF(Rebate_Industry!O$84&lt;=0,1,Rebate_Industry!P$84/Rebate_Industry!O$84)^$F44*(IF(O27&lt;=0,1,P27/O27)^$G44/(1+$H44+$I44))^(1+$F44)</f>
        <v>232.65006903124424</v>
      </c>
      <c r="Q54" s="24">
        <f>P54*(1+Q$39)^($E44*Q$40)*(1+Q$41)*IF(Rebate_Industry!P$84&lt;=0,1,Rebate_Industry!Q$84/Rebate_Industry!P$84)^$F44*(IF(P27&lt;=0,1,Q27/P27)^$G44/(1+$H44+$I44))^(1+$F44)</f>
        <v>235.34294021003569</v>
      </c>
      <c r="R54" s="24">
        <f>Q54*(1+R$39)^($E44*R$40)*(1+R$41)*IF(Rebate_Industry!Q$84&lt;=0,1,Rebate_Industry!R$84/Rebate_Industry!Q$84)^$F44*(IF(Q27&lt;=0,1,R27/Q27)^$G44/(1+$H44+$I44))^(1+$F44)</f>
        <v>241.85374047418856</v>
      </c>
      <c r="S54" s="24">
        <f>R54*(1+S$39)^($E44*S$40)*(1+S$41)*IF(Rebate_Industry!R$84&lt;=0,1,Rebate_Industry!S$84/Rebate_Industry!R$84)^$F44*(IF(R27&lt;=0,1,S27/R27)^$G44/(1+$H44+$I44))^(1+$F44)</f>
        <v>248.19368529175608</v>
      </c>
      <c r="T54" s="24">
        <f>S54*(1+T$39)^($E44*T$40)*(1+T$41)*IF(Rebate_Industry!S$84&lt;=0,1,Rebate_Industry!T$84/Rebate_Industry!S$84)^$F44*(IF(S27&lt;=0,1,T27/S27)^$G44/(1+$H44+$I44))^(1+$F44)</f>
        <v>254.26779674013815</v>
      </c>
      <c r="U54" s="24">
        <f>T54*(1+U$39)^($E44*U$40)*(1+U$41)*IF(Rebate_Industry!T$84&lt;=0,1,Rebate_Industry!U$84/Rebate_Industry!T$84)^$F44*(IF(T27&lt;=0,1,U27/T27)^$G44/(1+$H44+$I44))^(1+$F44)</f>
        <v>260.35638985714291</v>
      </c>
      <c r="V54" s="24">
        <f>U54*(1+V$39)^($E44*V$40)*(1+V$41)*IF(Rebate_Industry!U$84&lt;=0,1,Rebate_Industry!V$84/Rebate_Industry!U$84)^$F44*(IF(U27&lt;=0,1,V27/U27)^$G44/(1+$H44+$I44))^(1+$F44)</f>
        <v>265.28547286301517</v>
      </c>
      <c r="W54" s="24">
        <f>V54*(1+W$39)^($E44*W$40)*(1+W$41)*IF(Rebate_Industry!V$84&lt;=0,1,Rebate_Industry!W$84/Rebate_Industry!V$84)^$F44*(IF(V27&lt;=0,1,W27/V27)^$G44/(1+$H44+$I44))^(1+$F44)</f>
        <v>270.22699380634242</v>
      </c>
      <c r="X54" s="24">
        <f>W54*(1+X$39)^($E44*X$40)*(1+X$41)*IF(Rebate_Industry!W$84&lt;=0,1,Rebate_Industry!X$84/Rebate_Industry!W$84)^$F44*(IF(W27&lt;=0,1,X27/W27)^$G44/(1+$H44+$I44))^(1+$F44)</f>
        <v>275.17954419785963</v>
      </c>
      <c r="Y54" s="24">
        <f>X54*(1+Y$39)^($E44*Y$40)*(1+Y$41)*IF(Rebate_Industry!X$84&lt;=0,1,Rebate_Industry!Y$84/Rebate_Industry!X$84)^$F44*(IF(X27&lt;=0,1,Y27/X27)^$G44/(1+$H44+$I44))^(1+$F44)</f>
        <v>280.1417279609912</v>
      </c>
      <c r="Z54" s="24">
        <f>Y54*(1+Z$39)^($E44*Z$40)*(1+Z$41)*IF(Rebate_Industry!Y$84&lt;=0,1,Rebate_Industry!Z$84/Rebate_Industry!Y$84)^$F44*(IF(Y27&lt;=0,1,Z27/Y27)^$G44/(1+$H44+$I44))^(1+$F44)</f>
        <v>285.11216024955354</v>
      </c>
      <c r="AA54" s="24">
        <f>Z54*(1+AA$39)^($E44*AA$40)*(1+AA$41)*IF(Rebate_Industry!Z$84&lt;=0,1,Rebate_Industry!AA$84/Rebate_Industry!Z$84)^$F44*(IF(Z27&lt;=0,1,AA27/Z27)^$G44/(1+$H44+$I44))^(1+$F44)</f>
        <v>290.08946613853749</v>
      </c>
      <c r="AB54" s="24">
        <f>AA54*(1+AB$39)^($E44*AB$40)*(1+AB$41)*IF(Rebate_Industry!AA$84&lt;=0,1,Rebate_Industry!AB$84/Rebate_Industry!AA$84)^$F44*(IF(AA27&lt;=0,1,AB27/AA27)^$G44/(1+$H44+$I44))^(1+$F44)</f>
        <v>295.07227919448746</v>
      </c>
      <c r="AC54" s="24">
        <f>AB54*(1+AC$39)^($E44*AC$40)*(1+AC$41)*IF(Rebate_Industry!AB$84&lt;=0,1,Rebate_Industry!AC$84/Rebate_Industry!AB$84)^$F44*(IF(AB27&lt;=0,1,AC27/AB27)^$G44/(1+$H44+$I44))^(1+$F44)</f>
        <v>300.0592399315745</v>
      </c>
      <c r="AD54" s="24">
        <f>AC54*(1+AD$39)^($E44*AD$40)*(1+AD$41)*IF(Rebate_Industry!AC$84&lt;=0,1,Rebate_Industry!AD$84/Rebate_Industry!AC$84)^$F44*(IF(AC27&lt;=0,1,AD27/AC27)^$G44/(1+$H44+$I44))^(1+$F44)</f>
        <v>305.04899415904566</v>
      </c>
      <c r="AE54" s="24">
        <f>AD54*(1+AE$39)^($E44*AE$40)*(1+AE$41)*IF(Rebate_Industry!AD$84&lt;=0,1,Rebate_Industry!AE$84/Rebate_Industry!AD$84)^$F44*(IF(AD27&lt;=0,1,AE27/AD27)^$G44/(1+$H44+$I44))^(1+$F44)</f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I55" t="s">
        <v>2356</v>
      </c>
      <c r="L55" s="47">
        <f>INDEX(Data_Energy!$D$3:$U$22,MATCH($B55,Data_Energy!$C$3:$C$22,0),MATCH($C55,Data_Energy!$D$2:$U$2,0))</f>
        <v>1669.05671904213</v>
      </c>
      <c r="M55" s="24">
        <f>L55*(1+M$39)^($E45*M$40)*(1+M$41)*IF(Rebate_Industry!L$85&lt;=0,1,Rebate_Industry!M$85/Rebate_Industry!L$85)^$F45*(IF(L28&lt;=0,1,M28/L28)^$G45/(1+$H45+$I45))^(1+$F45)</f>
        <v>1431.7775208824874</v>
      </c>
      <c r="N55" s="24">
        <f>M55*(1+N$39)^($E45*N$40)*(1+N$41)*IF(Rebate_Industry!M$85&lt;=0,1,Rebate_Industry!N$85/Rebate_Industry!M$85)^$F45*(IF(M28&lt;=0,1,N28/M28)^$G45/(1+$H45+$I45))^(1+$F45)</f>
        <v>1603.1180815212331</v>
      </c>
      <c r="O55" s="24">
        <f>N55*(1+O$39)^($E45*O$40)*(1+O$41)*IF(Rebate_Industry!N$85&lt;=0,1,Rebate_Industry!O$85/Rebate_Industry!N$85)^$F45*(IF(N28&lt;=0,1,O28/N28)^$G45/(1+$H45+$I45))^(1+$F45)</f>
        <v>1666.4691074748598</v>
      </c>
      <c r="P55" s="24">
        <f>O55*(1+P$39)^($E45*P$40)*(1+P$41)*IF(Rebate_Industry!O$85&lt;=0,1,Rebate_Industry!P$85/Rebate_Industry!O$85)^$F45*(IF(O28&lt;=0,1,P28/O28)^$G45/(1+$H45+$I45))^(1+$F45)</f>
        <v>1729.0519522219979</v>
      </c>
      <c r="Q55" s="24">
        <f>P55*(1+Q$39)^($E45*Q$40)*(1+Q$41)*IF(Rebate_Industry!P$85&lt;=0,1,Rebate_Industry!Q$85/Rebate_Industry!P$85)^$F45*(IF(P28&lt;=0,1,Q28/P28)^$G45/(1+$H45+$I45))^(1+$F45)</f>
        <v>1803.6196014388593</v>
      </c>
      <c r="R55" s="24">
        <f>Q55*(1+R$39)^($E45*R$40)*(1+R$41)*IF(Rebate_Industry!Q$85&lt;=0,1,Rebate_Industry!R$85/Rebate_Industry!Q$85)^$F45*(IF(Q28&lt;=0,1,R28/Q28)^$G45/(1+$H45+$I45))^(1+$F45)</f>
        <v>1893.1814307796642</v>
      </c>
      <c r="S55" s="24">
        <f>R55*(1+S$39)^($E45*S$40)*(1+S$41)*IF(Rebate_Industry!R$85&lt;=0,1,Rebate_Industry!S$85/Rebate_Industry!R$85)^$F45*(IF(R28&lt;=0,1,S28/R28)^$G45/(1+$H45+$I45))^(1+$F45)</f>
        <v>1980.291402052703</v>
      </c>
      <c r="T55" s="24">
        <f>S55*(1+T$39)^($E45*T$40)*(1+T$41)*IF(Rebate_Industry!S$85&lt;=0,1,Rebate_Industry!T$85/Rebate_Industry!S$85)^$F45*(IF(S28&lt;=0,1,T28/S28)^$G45/(1+$H45+$I45))^(1+$F45)</f>
        <v>2062.9630959218939</v>
      </c>
      <c r="U55" s="24">
        <f>T55*(1+U$39)^($E45*U$40)*(1+U$41)*IF(Rebate_Industry!T$85&lt;=0,1,Rebate_Industry!U$85/Rebate_Industry!T$85)^$F45*(IF(T28&lt;=0,1,U28/T28)^$G45/(1+$H45+$I45))^(1+$F45)</f>
        <v>2147.4247884614956</v>
      </c>
      <c r="V55" s="24">
        <f>U55*(1+V$39)^($E45*V$40)*(1+V$41)*IF(Rebate_Industry!U$85&lt;=0,1,Rebate_Industry!V$85/Rebate_Industry!U$85)^$F45*(IF(U28&lt;=0,1,V28/U28)^$G45/(1+$H45+$I45))^(1+$F45)</f>
        <v>2233.9848148462875</v>
      </c>
      <c r="W55" s="24">
        <f>V55*(1+W$39)^($E45*W$40)*(1+W$41)*IF(Rebate_Industry!V$85&lt;=0,1,Rebate_Industry!W$85/Rebate_Industry!V$85)^$F45*(IF(V28&lt;=0,1,W28/V28)^$G45/(1+$H45+$I45))^(1+$F45)</f>
        <v>2322.6434118442621</v>
      </c>
      <c r="X55" s="24">
        <f>W55*(1+X$39)^($E45*X$40)*(1+X$41)*IF(Rebate_Industry!W$85&lt;=0,1,Rebate_Industry!X$85/Rebate_Industry!W$85)^$F45*(IF(W28&lt;=0,1,X28/W28)^$G45/(1+$H45+$I45))^(1+$F45)</f>
        <v>2413.3992465193619</v>
      </c>
      <c r="Y55" s="24">
        <f>X55*(1+Y$39)^($E45*Y$40)*(1+Y$41)*IF(Rebate_Industry!X$85&lt;=0,1,Rebate_Industry!Y$85/Rebate_Industry!X$85)^$F45*(IF(X28&lt;=0,1,Y28/X28)^$G45/(1+$H45+$I45))^(1+$F45)</f>
        <v>2506.2493925354538</v>
      </c>
      <c r="Z55" s="24">
        <f>Y55*(1+Z$39)^($E45*Z$40)*(1+Z$41)*IF(Rebate_Industry!Y$85&lt;=0,1,Rebate_Industry!Z$85/Rebate_Industry!Y$85)^$F45*(IF(Y28&lt;=0,1,Z28/Y28)^$G45/(1+$H45+$I45))^(1+$F45)</f>
        <v>2601.1893032264006</v>
      </c>
      <c r="AA55" s="24">
        <f>Z55*(1+AA$39)^($E45*AA$40)*(1+AA$41)*IF(Rebate_Industry!Z$85&lt;=0,1,Rebate_Industry!AA$85/Rebate_Industry!Z$85)^$F45*(IF(Z28&lt;=0,1,AA28/Z28)^$G45/(1+$H45+$I45))^(1+$F45)</f>
        <v>2698.2127811658702</v>
      </c>
      <c r="AB55" s="24">
        <f>AA55*(1+AB$39)^($E45*AB$40)*(1+AB$41)*IF(Rebate_Industry!AA$85&lt;=0,1,Rebate_Industry!AB$85/Rebate_Industry!AA$85)^$F45*(IF(AA28&lt;=0,1,AB28/AA28)^$G45/(1+$H45+$I45))^(1+$F45)</f>
        <v>2797.3119439811508</v>
      </c>
      <c r="AC55" s="24">
        <f>AB55*(1+AC$39)^($E45*AC$40)*(1+AC$41)*IF(Rebate_Industry!AB$85&lt;=0,1,Rebate_Industry!AC$85/Rebate_Industry!AB$85)^$F45*(IF(AB28&lt;=0,1,AC28/AB28)^$G45/(1+$H45+$I45))^(1+$F45)</f>
        <v>2898.4771861653253</v>
      </c>
      <c r="AD55" s="24">
        <f>AC55*(1+AD$39)^($E45*AD$40)*(1+AD$41)*IF(Rebate_Industry!AC$85&lt;=0,1,Rebate_Industry!AD$85/Rebate_Industry!AC$85)^$F45*(IF(AC28&lt;=0,1,AD28/AC28)^$G45/(1+$H45+$I45))^(1+$F45)</f>
        <v>3001.6971366522166</v>
      </c>
      <c r="AE55" s="24">
        <f>AD55*(1+AE$39)^($E45*AE$40)*(1+AE$41)*IF(Rebate_Industry!AD$85&lt;=0,1,Rebate_Industry!AE$85/Rebate_Industry!AD$85)^$F45*(IF(AD28&lt;=0,1,AE28/AD28)^$G45/(1+$H45+$I45))^(1+$F45)</f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I56" t="s">
        <v>2357</v>
      </c>
      <c r="L56" s="47">
        <f>INDEX(Data_Energy!$D$3:$U$22,MATCH($B56,Data_Energy!$C$3:$C$22,0),MATCH($C56,Data_Energy!$D$2:$U$2,0))</f>
        <v>0</v>
      </c>
      <c r="M56" s="24">
        <f>L56*(1+M$39)^($E46*M$40)*(1+M$41)*IF(Rebate_Industry!L$86&lt;=0,1,Rebate_Industry!M$86/Rebate_Industry!L$86)^$F46*(IF(L29&lt;=0,1,M29/L29)^$G46/(1+$H46+$I46))^(1+$F46)</f>
        <v>0</v>
      </c>
      <c r="N56" s="24">
        <f>M56*(1+N$39)^($E46*N$40)*(1+N$41)*IF(Rebate_Industry!M$86&lt;=0,1,Rebate_Industry!N$86/Rebate_Industry!M$86)^$F46*(IF(M29&lt;=0,1,N29/M29)^$G46/(1+$H46+$I46))^(1+$F46)</f>
        <v>0</v>
      </c>
      <c r="O56" s="24">
        <f>N56*(1+O$39)^($E46*O$40)*(1+O$41)*IF(Rebate_Industry!N$86&lt;=0,1,Rebate_Industry!O$86/Rebate_Industry!N$86)^$F46*(IF(N29&lt;=0,1,O29/N29)^$G46/(1+$H46+$I46))^(1+$F46)</f>
        <v>0</v>
      </c>
      <c r="P56" s="24">
        <f>O56*(1+P$39)^($E46*P$40)*(1+P$41)*IF(Rebate_Industry!O$86&lt;=0,1,Rebate_Industry!P$86/Rebate_Industry!O$86)^$F46*(IF(O29&lt;=0,1,P29/O29)^$G46/(1+$H46+$I46))^(1+$F46)</f>
        <v>0</v>
      </c>
      <c r="Q56" s="24">
        <f>P56*(1+Q$39)^($E46*Q$40)*(1+Q$41)*IF(Rebate_Industry!P$86&lt;=0,1,Rebate_Industry!Q$86/Rebate_Industry!P$86)^$F46*(IF(P29&lt;=0,1,Q29/P29)^$G46/(1+$H46+$I46))^(1+$F46)</f>
        <v>0</v>
      </c>
      <c r="R56" s="24">
        <f>Q56*(1+R$39)^($E46*R$40)*(1+R$41)*IF(Rebate_Industry!Q$86&lt;=0,1,Rebate_Industry!R$86/Rebate_Industry!Q$86)^$F46*(IF(Q29&lt;=0,1,R29/Q29)^$G46/(1+$H46+$I46))^(1+$F46)</f>
        <v>0</v>
      </c>
      <c r="S56" s="24">
        <f>R56*(1+S$39)^($E46*S$40)*(1+S$41)*IF(Rebate_Industry!R$86&lt;=0,1,Rebate_Industry!S$86/Rebate_Industry!R$86)^$F46*(IF(R29&lt;=0,1,S29/R29)^$G46/(1+$H46+$I46))^(1+$F46)</f>
        <v>0</v>
      </c>
      <c r="T56" s="24">
        <f>S56*(1+T$39)^($E46*T$40)*(1+T$41)*IF(Rebate_Industry!S$86&lt;=0,1,Rebate_Industry!T$86/Rebate_Industry!S$86)^$F46*(IF(S29&lt;=0,1,T29/S29)^$G46/(1+$H46+$I46))^(1+$F46)</f>
        <v>0</v>
      </c>
      <c r="U56" s="24">
        <f>T56*(1+U$39)^($E46*U$40)*(1+U$41)*IF(Rebate_Industry!T$86&lt;=0,1,Rebate_Industry!U$86/Rebate_Industry!T$86)^$F46*(IF(T29&lt;=0,1,U29/T29)^$G46/(1+$H46+$I46))^(1+$F46)</f>
        <v>0</v>
      </c>
      <c r="V56" s="24">
        <f>U56*(1+V$39)^($E46*V$40)*(1+V$41)*IF(Rebate_Industry!U$86&lt;=0,1,Rebate_Industry!V$86/Rebate_Industry!U$86)^$F46*(IF(U29&lt;=0,1,V29/U29)^$G46/(1+$H46+$I46))^(1+$F46)</f>
        <v>0</v>
      </c>
      <c r="W56" s="24">
        <f>V56*(1+W$39)^($E46*W$40)*(1+W$41)*IF(Rebate_Industry!V$86&lt;=0,1,Rebate_Industry!W$86/Rebate_Industry!V$86)^$F46*(IF(V29&lt;=0,1,W29/V29)^$G46/(1+$H46+$I46))^(1+$F46)</f>
        <v>0</v>
      </c>
      <c r="X56" s="24">
        <f>W56*(1+X$39)^($E46*X$40)*(1+X$41)*IF(Rebate_Industry!W$86&lt;=0,1,Rebate_Industry!X$86/Rebate_Industry!W$86)^$F46*(IF(W29&lt;=0,1,X29/W29)^$G46/(1+$H46+$I46))^(1+$F46)</f>
        <v>0</v>
      </c>
      <c r="Y56" s="24">
        <f>X56*(1+Y$39)^($E46*Y$40)*(1+Y$41)*IF(Rebate_Industry!X$86&lt;=0,1,Rebate_Industry!Y$86/Rebate_Industry!X$86)^$F46*(IF(X29&lt;=0,1,Y29/X29)^$G46/(1+$H46+$I46))^(1+$F46)</f>
        <v>0</v>
      </c>
      <c r="Z56" s="24">
        <f>Y56*(1+Z$39)^($E46*Z$40)*(1+Z$41)*IF(Rebate_Industry!Y$86&lt;=0,1,Rebate_Industry!Z$86/Rebate_Industry!Y$86)^$F46*(IF(Y29&lt;=0,1,Z29/Y29)^$G46/(1+$H46+$I46))^(1+$F46)</f>
        <v>0</v>
      </c>
      <c r="AA56" s="24">
        <f>Z56*(1+AA$39)^($E46*AA$40)*(1+AA$41)*IF(Rebate_Industry!Z$86&lt;=0,1,Rebate_Industry!AA$86/Rebate_Industry!Z$86)^$F46*(IF(Z29&lt;=0,1,AA29/Z29)^$G46/(1+$H46+$I46))^(1+$F46)</f>
        <v>0</v>
      </c>
      <c r="AB56" s="24">
        <f>AA56*(1+AB$39)^($E46*AB$40)*(1+AB$41)*IF(Rebate_Industry!AA$86&lt;=0,1,Rebate_Industry!AB$86/Rebate_Industry!AA$86)^$F46*(IF(AA29&lt;=0,1,AB29/AA29)^$G46/(1+$H46+$I46))^(1+$F46)</f>
        <v>0</v>
      </c>
      <c r="AC56" s="24">
        <f>AB56*(1+AC$39)^($E46*AC$40)*(1+AC$41)*IF(Rebate_Industry!AB$86&lt;=0,1,Rebate_Industry!AC$86/Rebate_Industry!AB$86)^$F46*(IF(AB29&lt;=0,1,AC29/AB29)^$G46/(1+$H46+$I46))^(1+$F46)</f>
        <v>0</v>
      </c>
      <c r="AD56" s="24">
        <f>AC56*(1+AD$39)^($E46*AD$40)*(1+AD$41)*IF(Rebate_Industry!AC$86&lt;=0,1,Rebate_Industry!AD$86/Rebate_Industry!AC$86)^$F46*(IF(AC29&lt;=0,1,AD29/AC29)^$G46/(1+$H46+$I46))^(1+$F46)</f>
        <v>0</v>
      </c>
      <c r="AE56" s="24">
        <f>AD56*(1+AE$39)^($E46*AE$40)*(1+AE$41)*IF(Rebate_Industry!AD$86&lt;=0,1,Rebate_Industry!AE$86/Rebate_Industry!AD$86)^$F46*(IF(AD29&lt;=0,1,AE29/AD29)^$G46/(1+$H46+$I46))^(1+$F46)</f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I57" t="s">
        <v>2358</v>
      </c>
      <c r="L57" s="47">
        <f>INDEX(Data_Energy!$D$3:$U$22,MATCH($B57,Data_Energy!$C$3:$C$22,0),MATCH($C57,Data_Energy!$D$2:$U$2,0))</f>
        <v>0</v>
      </c>
      <c r="M57" s="24">
        <f>L57*(1+M$39)^($E47*M$40)*(1+M$41)*IF(Rebate_Industry!L$87&lt;=0,1,Rebate_Industry!M$87/Rebate_Industry!L$87)^$F47*(IF(L30&lt;=0,1,M30/L30)^$G47/(1+$H47+$I47))^(1+$F47)</f>
        <v>0</v>
      </c>
      <c r="N57" s="24">
        <f>M57*(1+N$39)^($E47*N$40)*(1+N$41)*IF(Rebate_Industry!M$87&lt;=0,1,Rebate_Industry!N$87/Rebate_Industry!M$87)^$F47*(IF(M30&lt;=0,1,N30/M30)^$G47/(1+$H47+$I47))^(1+$F47)</f>
        <v>0</v>
      </c>
      <c r="O57" s="24">
        <f>N57*(1+O$39)^($E47*O$40)*(1+O$41)*IF(Rebate_Industry!N$87&lt;=0,1,Rebate_Industry!O$87/Rebate_Industry!N$87)^$F47*(IF(N30&lt;=0,1,O30/N30)^$G47/(1+$H47+$I47))^(1+$F47)</f>
        <v>0</v>
      </c>
      <c r="P57" s="24">
        <f>O57*(1+P$39)^($E47*P$40)*(1+P$41)*IF(Rebate_Industry!O$87&lt;=0,1,Rebate_Industry!P$87/Rebate_Industry!O$87)^$F47*(IF(O30&lt;=0,1,P30/O30)^$G47/(1+$H47+$I47))^(1+$F47)</f>
        <v>0</v>
      </c>
      <c r="Q57" s="24">
        <f>P57*(1+Q$39)^($E47*Q$40)*(1+Q$41)*IF(Rebate_Industry!P$87&lt;=0,1,Rebate_Industry!Q$87/Rebate_Industry!P$87)^$F47*(IF(P30&lt;=0,1,Q30/P30)^$G47/(1+$H47+$I47))^(1+$F47)</f>
        <v>0</v>
      </c>
      <c r="R57" s="24">
        <f>Q57*(1+R$39)^($E47*R$40)*(1+R$41)*IF(Rebate_Industry!Q$87&lt;=0,1,Rebate_Industry!R$87/Rebate_Industry!Q$87)^$F47*(IF(Q30&lt;=0,1,R30/Q30)^$G47/(1+$H47+$I47))^(1+$F47)</f>
        <v>0</v>
      </c>
      <c r="S57" s="24">
        <f>R57*(1+S$39)^($E47*S$40)*(1+S$41)*IF(Rebate_Industry!R$87&lt;=0,1,Rebate_Industry!S$87/Rebate_Industry!R$87)^$F47*(IF(R30&lt;=0,1,S30/R30)^$G47/(1+$H47+$I47))^(1+$F47)</f>
        <v>0</v>
      </c>
      <c r="T57" s="24">
        <f>S57*(1+T$39)^($E47*T$40)*(1+T$41)*IF(Rebate_Industry!S$87&lt;=0,1,Rebate_Industry!T$87/Rebate_Industry!S$87)^$F47*(IF(S30&lt;=0,1,T30/S30)^$G47/(1+$H47+$I47))^(1+$F47)</f>
        <v>0</v>
      </c>
      <c r="U57" s="24">
        <f>T57*(1+U$39)^($E47*U$40)*(1+U$41)*IF(Rebate_Industry!T$87&lt;=0,1,Rebate_Industry!U$87/Rebate_Industry!T$87)^$F47*(IF(T30&lt;=0,1,U30/T30)^$G47/(1+$H47+$I47))^(1+$F47)</f>
        <v>0</v>
      </c>
      <c r="V57" s="24">
        <f>U57*(1+V$39)^($E47*V$40)*(1+V$41)*IF(Rebate_Industry!U$87&lt;=0,1,Rebate_Industry!V$87/Rebate_Industry!U$87)^$F47*(IF(U30&lt;=0,1,V30/U30)^$G47/(1+$H47+$I47))^(1+$F47)</f>
        <v>0</v>
      </c>
      <c r="W57" s="24">
        <f>V57*(1+W$39)^($E47*W$40)*(1+W$41)*IF(Rebate_Industry!V$87&lt;=0,1,Rebate_Industry!W$87/Rebate_Industry!V$87)^$F47*(IF(V30&lt;=0,1,W30/V30)^$G47/(1+$H47+$I47))^(1+$F47)</f>
        <v>0</v>
      </c>
      <c r="X57" s="24">
        <f>W57*(1+X$39)^($E47*X$40)*(1+X$41)*IF(Rebate_Industry!W$87&lt;=0,1,Rebate_Industry!X$87/Rebate_Industry!W$87)^$F47*(IF(W30&lt;=0,1,X30/W30)^$G47/(1+$H47+$I47))^(1+$F47)</f>
        <v>0</v>
      </c>
      <c r="Y57" s="24">
        <f>X57*(1+Y$39)^($E47*Y$40)*(1+Y$41)*IF(Rebate_Industry!X$87&lt;=0,1,Rebate_Industry!Y$87/Rebate_Industry!X$87)^$F47*(IF(X30&lt;=0,1,Y30/X30)^$G47/(1+$H47+$I47))^(1+$F47)</f>
        <v>0</v>
      </c>
      <c r="Z57" s="24">
        <f>Y57*(1+Z$39)^($E47*Z$40)*(1+Z$41)*IF(Rebate_Industry!Y$87&lt;=0,1,Rebate_Industry!Z$87/Rebate_Industry!Y$87)^$F47*(IF(Y30&lt;=0,1,Z30/Y30)^$G47/(1+$H47+$I47))^(1+$F47)</f>
        <v>0</v>
      </c>
      <c r="AA57" s="24">
        <f>Z57*(1+AA$39)^($E47*AA$40)*(1+AA$41)*IF(Rebate_Industry!Z$87&lt;=0,1,Rebate_Industry!AA$87/Rebate_Industry!Z$87)^$F47*(IF(Z30&lt;=0,1,AA30/Z30)^$G47/(1+$H47+$I47))^(1+$F47)</f>
        <v>0</v>
      </c>
      <c r="AB57" s="24">
        <f>AA57*(1+AB$39)^($E47*AB$40)*(1+AB$41)*IF(Rebate_Industry!AA$87&lt;=0,1,Rebate_Industry!AB$87/Rebate_Industry!AA$87)^$F47*(IF(AA30&lt;=0,1,AB30/AA30)^$G47/(1+$H47+$I47))^(1+$F47)</f>
        <v>0</v>
      </c>
      <c r="AC57" s="24">
        <f>AB57*(1+AC$39)^($E47*AC$40)*(1+AC$41)*IF(Rebate_Industry!AB$87&lt;=0,1,Rebate_Industry!AC$87/Rebate_Industry!AB$87)^$F47*(IF(AB30&lt;=0,1,AC30/AB30)^$G47/(1+$H47+$I47))^(1+$F47)</f>
        <v>0</v>
      </c>
      <c r="AD57" s="24">
        <f>AC57*(1+AD$39)^($E47*AD$40)*(1+AD$41)*IF(Rebate_Industry!AC$87&lt;=0,1,Rebate_Industry!AD$87/Rebate_Industry!AC$87)^$F47*(IF(AC30&lt;=0,1,AD30/AC30)^$G47/(1+$H47+$I47))^(1+$F47)</f>
        <v>0</v>
      </c>
      <c r="AE57" s="24">
        <f>AD57*(1+AE$39)^($E47*AE$40)*(1+AE$41)*IF(Rebate_Industry!AD$87&lt;=0,1,Rebate_Industry!AE$87/Rebate_Industry!AD$87)^$F47*(IF(AD30&lt;=0,1,AE30/AD30)^$G47/(1+$H47+$I47))^(1+$F47)</f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I58" t="s">
        <v>2359</v>
      </c>
      <c r="L58" s="47">
        <f>INDEX(Data_Energy!$D$3:$U$22,MATCH($B58,Data_Energy!$C$3:$C$22,0),MATCH($C58,Data_Energy!$D$2:$U$2,0))</f>
        <v>0</v>
      </c>
      <c r="M58" s="24">
        <f>L58*(1+M$39)^($E48*M$40)*(1+M$41)*IF(Rebate_Industry!L$88&lt;=0,1,Rebate_Industry!M$88/Rebate_Industry!L$88)^$F48*(IF(L31&lt;=0,1,M31/L31)^$G48/(1+$H48+$I48))^(1+$F48)</f>
        <v>0</v>
      </c>
      <c r="N58" s="24">
        <f>M58*(1+N$39)^($E48*N$40)*(1+N$41)*IF(Rebate_Industry!M$88&lt;=0,1,Rebate_Industry!N$88/Rebate_Industry!M$88)^$F48*(IF(M31&lt;=0,1,N31/M31)^$G48/(1+$H48+$I48))^(1+$F48)</f>
        <v>0</v>
      </c>
      <c r="O58" s="24">
        <f>N58*(1+O$39)^($E48*O$40)*(1+O$41)*IF(Rebate_Industry!N$88&lt;=0,1,Rebate_Industry!O$88/Rebate_Industry!N$88)^$F48*(IF(N31&lt;=0,1,O31/N31)^$G48/(1+$H48+$I48))^(1+$F48)</f>
        <v>0</v>
      </c>
      <c r="P58" s="24">
        <f>O58*(1+P$39)^($E48*P$40)*(1+P$41)*IF(Rebate_Industry!O$88&lt;=0,1,Rebate_Industry!P$88/Rebate_Industry!O$88)^$F48*(IF(O31&lt;=0,1,P31/O31)^$G48/(1+$H48+$I48))^(1+$F48)</f>
        <v>0</v>
      </c>
      <c r="Q58" s="24">
        <f>P58*(1+Q$39)^($E48*Q$40)*(1+Q$41)*IF(Rebate_Industry!P$88&lt;=0,1,Rebate_Industry!Q$88/Rebate_Industry!P$88)^$F48*(IF(P31&lt;=0,1,Q31/P31)^$G48/(1+$H48+$I48))^(1+$F48)</f>
        <v>0</v>
      </c>
      <c r="R58" s="24">
        <f>Q58*(1+R$39)^($E48*R$40)*(1+R$41)*IF(Rebate_Industry!Q$88&lt;=0,1,Rebate_Industry!R$88/Rebate_Industry!Q$88)^$F48*(IF(Q31&lt;=0,1,R31/Q31)^$G48/(1+$H48+$I48))^(1+$F48)</f>
        <v>0</v>
      </c>
      <c r="S58" s="24">
        <f>R58*(1+S$39)^($E48*S$40)*(1+S$41)*IF(Rebate_Industry!R$88&lt;=0,1,Rebate_Industry!S$88/Rebate_Industry!R$88)^$F48*(IF(R31&lt;=0,1,S31/R31)^$G48/(1+$H48+$I48))^(1+$F48)</f>
        <v>0</v>
      </c>
      <c r="T58" s="24">
        <f>S58*(1+T$39)^($E48*T$40)*(1+T$41)*IF(Rebate_Industry!S$88&lt;=0,1,Rebate_Industry!T$88/Rebate_Industry!S$88)^$F48*(IF(S31&lt;=0,1,T31/S31)^$G48/(1+$H48+$I48))^(1+$F48)</f>
        <v>0</v>
      </c>
      <c r="U58" s="24">
        <f>T58*(1+U$39)^($E48*U$40)*(1+U$41)*IF(Rebate_Industry!T$88&lt;=0,1,Rebate_Industry!U$88/Rebate_Industry!T$88)^$F48*(IF(T31&lt;=0,1,U31/T31)^$G48/(1+$H48+$I48))^(1+$F48)</f>
        <v>0</v>
      </c>
      <c r="V58" s="24">
        <f>U58*(1+V$39)^($E48*V$40)*(1+V$41)*IF(Rebate_Industry!U$88&lt;=0,1,Rebate_Industry!V$88/Rebate_Industry!U$88)^$F48*(IF(U31&lt;=0,1,V31/U31)^$G48/(1+$H48+$I48))^(1+$F48)</f>
        <v>0</v>
      </c>
      <c r="W58" s="24">
        <f>V58*(1+W$39)^($E48*W$40)*(1+W$41)*IF(Rebate_Industry!V$88&lt;=0,1,Rebate_Industry!W$88/Rebate_Industry!V$88)^$F48*(IF(V31&lt;=0,1,W31/V31)^$G48/(1+$H48+$I48))^(1+$F48)</f>
        <v>0</v>
      </c>
      <c r="X58" s="24">
        <f>W58*(1+X$39)^($E48*X$40)*(1+X$41)*IF(Rebate_Industry!W$88&lt;=0,1,Rebate_Industry!X$88/Rebate_Industry!W$88)^$F48*(IF(W31&lt;=0,1,X31/W31)^$G48/(1+$H48+$I48))^(1+$F48)</f>
        <v>0</v>
      </c>
      <c r="Y58" s="24">
        <f>X58*(1+Y$39)^($E48*Y$40)*(1+Y$41)*IF(Rebate_Industry!X$88&lt;=0,1,Rebate_Industry!Y$88/Rebate_Industry!X$88)^$F48*(IF(X31&lt;=0,1,Y31/X31)^$G48/(1+$H48+$I48))^(1+$F48)</f>
        <v>0</v>
      </c>
      <c r="Z58" s="24">
        <f>Y58*(1+Z$39)^($E48*Z$40)*(1+Z$41)*IF(Rebate_Industry!Y$88&lt;=0,1,Rebate_Industry!Z$88/Rebate_Industry!Y$88)^$F48*(IF(Y31&lt;=0,1,Z31/Y31)^$G48/(1+$H48+$I48))^(1+$F48)</f>
        <v>0</v>
      </c>
      <c r="AA58" s="24">
        <f>Z58*(1+AA$39)^($E48*AA$40)*(1+AA$41)*IF(Rebate_Industry!Z$88&lt;=0,1,Rebate_Industry!AA$88/Rebate_Industry!Z$88)^$F48*(IF(Z31&lt;=0,1,AA31/Z31)^$G48/(1+$H48+$I48))^(1+$F48)</f>
        <v>0</v>
      </c>
      <c r="AB58" s="24">
        <f>AA58*(1+AB$39)^($E48*AB$40)*(1+AB$41)*IF(Rebate_Industry!AA$88&lt;=0,1,Rebate_Industry!AB$88/Rebate_Industry!AA$88)^$F48*(IF(AA31&lt;=0,1,AB31/AA31)^$G48/(1+$H48+$I48))^(1+$F48)</f>
        <v>0</v>
      </c>
      <c r="AC58" s="24">
        <f>AB58*(1+AC$39)^($E48*AC$40)*(1+AC$41)*IF(Rebate_Industry!AB$88&lt;=0,1,Rebate_Industry!AC$88/Rebate_Industry!AB$88)^$F48*(IF(AB31&lt;=0,1,AC31/AB31)^$G48/(1+$H48+$I48))^(1+$F48)</f>
        <v>0</v>
      </c>
      <c r="AD58" s="24">
        <f>AC58*(1+AD$39)^($E48*AD$40)*(1+AD$41)*IF(Rebate_Industry!AC$88&lt;=0,1,Rebate_Industry!AD$88/Rebate_Industry!AC$88)^$F48*(IF(AC31&lt;=0,1,AD31/AC31)^$G48/(1+$H48+$I48))^(1+$F48)</f>
        <v>0</v>
      </c>
      <c r="AE58" s="24">
        <f>AD58*(1+AE$39)^($E48*AE$40)*(1+AE$41)*IF(Rebate_Industry!AD$88&lt;=0,1,Rebate_Industry!AE$88/Rebate_Industry!AD$88)^$F48*(IF(AD31&lt;=0,1,AE31/AD31)^$G48/(1+$H48+$I48))^(1+$F48)</f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I59" t="s">
        <v>2360</v>
      </c>
      <c r="L59" s="47">
        <f>INDEX(Data_Energy!$D$3:$U$22,MATCH($B59,Data_Energy!$C$3:$C$22,0),MATCH($C59,Data_Energy!$D$2:$U$2,0))</f>
        <v>0</v>
      </c>
      <c r="M59" s="24">
        <f>L59*(1+M$39)^($E49*M$40)*(1+M$41)*IF(Rebate_Industry!L$89&lt;=0,1,Rebate_Industry!M$89/Rebate_Industry!L$89)^$F49*(IF(L32&lt;=0,1,M32/L32)^$G49/(1+$H49+$I49))^(1+$F49)</f>
        <v>0</v>
      </c>
      <c r="N59" s="24">
        <f>M59*(1+N$39)^($E49*N$40)*(1+N$41)*IF(Rebate_Industry!M$89&lt;=0,1,Rebate_Industry!N$89/Rebate_Industry!M$89)^$F49*(IF(M32&lt;=0,1,N32/M32)^$G49/(1+$H49+$I49))^(1+$F49)</f>
        <v>0</v>
      </c>
      <c r="O59" s="24">
        <f>N59*(1+O$39)^($E49*O$40)*(1+O$41)*IF(Rebate_Industry!N$89&lt;=0,1,Rebate_Industry!O$89/Rebate_Industry!N$89)^$F49*(IF(N32&lt;=0,1,O32/N32)^$G49/(1+$H49+$I49))^(1+$F49)</f>
        <v>0</v>
      </c>
      <c r="P59" s="24">
        <f>O59*(1+P$39)^($E49*P$40)*(1+P$41)*IF(Rebate_Industry!O$89&lt;=0,1,Rebate_Industry!P$89/Rebate_Industry!O$89)^$F49*(IF(O32&lt;=0,1,P32/O32)^$G49/(1+$H49+$I49))^(1+$F49)</f>
        <v>0</v>
      </c>
      <c r="Q59" s="24">
        <f>P59*(1+Q$39)^($E49*Q$40)*(1+Q$41)*IF(Rebate_Industry!P$89&lt;=0,1,Rebate_Industry!Q$89/Rebate_Industry!P$89)^$F49*(IF(P32&lt;=0,1,Q32/P32)^$G49/(1+$H49+$I49))^(1+$F49)</f>
        <v>0</v>
      </c>
      <c r="R59" s="24">
        <f>Q59*(1+R$39)^($E49*R$40)*(1+R$41)*IF(Rebate_Industry!Q$89&lt;=0,1,Rebate_Industry!R$89/Rebate_Industry!Q$89)^$F49*(IF(Q32&lt;=0,1,R32/Q32)^$G49/(1+$H49+$I49))^(1+$F49)</f>
        <v>0</v>
      </c>
      <c r="S59" s="24">
        <f>R59*(1+S$39)^($E49*S$40)*(1+S$41)*IF(Rebate_Industry!R$89&lt;=0,1,Rebate_Industry!S$89/Rebate_Industry!R$89)^$F49*(IF(R32&lt;=0,1,S32/R32)^$G49/(1+$H49+$I49))^(1+$F49)</f>
        <v>0</v>
      </c>
      <c r="T59" s="24">
        <f>S59*(1+T$39)^($E49*T$40)*(1+T$41)*IF(Rebate_Industry!S$89&lt;=0,1,Rebate_Industry!T$89/Rebate_Industry!S$89)^$F49*(IF(S32&lt;=0,1,T32/S32)^$G49/(1+$H49+$I49))^(1+$F49)</f>
        <v>0</v>
      </c>
      <c r="U59" s="24">
        <f>T59*(1+U$39)^($E49*U$40)*(1+U$41)*IF(Rebate_Industry!T$89&lt;=0,1,Rebate_Industry!U$89/Rebate_Industry!T$89)^$F49*(IF(T32&lt;=0,1,U32/T32)^$G49/(1+$H49+$I49))^(1+$F49)</f>
        <v>0</v>
      </c>
      <c r="V59" s="24">
        <f>U59*(1+V$39)^($E49*V$40)*(1+V$41)*IF(Rebate_Industry!U$89&lt;=0,1,Rebate_Industry!V$89/Rebate_Industry!U$89)^$F49*(IF(U32&lt;=0,1,V32/U32)^$G49/(1+$H49+$I49))^(1+$F49)</f>
        <v>0</v>
      </c>
      <c r="W59" s="24">
        <f>V59*(1+W$39)^($E49*W$40)*(1+W$41)*IF(Rebate_Industry!V$89&lt;=0,1,Rebate_Industry!W$89/Rebate_Industry!V$89)^$F49*(IF(V32&lt;=0,1,W32/V32)^$G49/(1+$H49+$I49))^(1+$F49)</f>
        <v>0</v>
      </c>
      <c r="X59" s="24">
        <f>W59*(1+X$39)^($E49*X$40)*(1+X$41)*IF(Rebate_Industry!W$89&lt;=0,1,Rebate_Industry!X$89/Rebate_Industry!W$89)^$F49*(IF(W32&lt;=0,1,X32/W32)^$G49/(1+$H49+$I49))^(1+$F49)</f>
        <v>0</v>
      </c>
      <c r="Y59" s="24">
        <f>X59*(1+Y$39)^($E49*Y$40)*(1+Y$41)*IF(Rebate_Industry!X$89&lt;=0,1,Rebate_Industry!Y$89/Rebate_Industry!X$89)^$F49*(IF(X32&lt;=0,1,Y32/X32)^$G49/(1+$H49+$I49))^(1+$F49)</f>
        <v>0</v>
      </c>
      <c r="Z59" s="24">
        <f>Y59*(1+Z$39)^($E49*Z$40)*(1+Z$41)*IF(Rebate_Industry!Y$89&lt;=0,1,Rebate_Industry!Z$89/Rebate_Industry!Y$89)^$F49*(IF(Y32&lt;=0,1,Z32/Y32)^$G49/(1+$H49+$I49))^(1+$F49)</f>
        <v>0</v>
      </c>
      <c r="AA59" s="24">
        <f>Z59*(1+AA$39)^($E49*AA$40)*(1+AA$41)*IF(Rebate_Industry!Z$89&lt;=0,1,Rebate_Industry!AA$89/Rebate_Industry!Z$89)^$F49*(IF(Z32&lt;=0,1,AA32/Z32)^$G49/(1+$H49+$I49))^(1+$F49)</f>
        <v>0</v>
      </c>
      <c r="AB59" s="24">
        <f>AA59*(1+AB$39)^($E49*AB$40)*(1+AB$41)*IF(Rebate_Industry!AA$89&lt;=0,1,Rebate_Industry!AB$89/Rebate_Industry!AA$89)^$F49*(IF(AA32&lt;=0,1,AB32/AA32)^$G49/(1+$H49+$I49))^(1+$F49)</f>
        <v>0</v>
      </c>
      <c r="AC59" s="24">
        <f>AB59*(1+AC$39)^($E49*AC$40)*(1+AC$41)*IF(Rebate_Industry!AB$89&lt;=0,1,Rebate_Industry!AC$89/Rebate_Industry!AB$89)^$F49*(IF(AB32&lt;=0,1,AC32/AB32)^$G49/(1+$H49+$I49))^(1+$F49)</f>
        <v>0</v>
      </c>
      <c r="AD59" s="24">
        <f>AC59*(1+AD$39)^($E49*AD$40)*(1+AD$41)*IF(Rebate_Industry!AC$89&lt;=0,1,Rebate_Industry!AD$89/Rebate_Industry!AC$89)^$F49*(IF(AC32&lt;=0,1,AD32/AC32)^$G49/(1+$H49+$I49))^(1+$F49)</f>
        <v>0</v>
      </c>
      <c r="AE59" s="24">
        <f>AD59*(1+AE$39)^($E49*AE$40)*(1+AE$41)*IF(Rebate_Industry!AD$89&lt;=0,1,Rebate_Industry!AE$89/Rebate_Industry!AD$89)^$F49*(IF(AD32&lt;=0,1,AE32/AD32)^$G49/(1+$H49+$I49))^(1+$F49)</f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I60" t="s">
        <v>2361</v>
      </c>
      <c r="L60" s="47">
        <f>INDEX(Data_Energy!$D$3:$U$22,MATCH($B60,Data_Energy!$C$3:$C$22,0),MATCH($C60,Data_Energy!$D$2:$U$2,0))</f>
        <v>0</v>
      </c>
      <c r="M60" s="24">
        <f>L60*(1+M$39)^($E50*M$40)*(1+M$41)*IF(Rebate_Industry!L$90&lt;=0,1,Rebate_Industry!M$90/Rebate_Industry!L$90)^$F50*(IF(L33&lt;=0,1,M33/L33)^$G50/(1+$H50+$I50))^(1+$F50)</f>
        <v>0</v>
      </c>
      <c r="N60" s="24">
        <f>M60*(1+N$39)^($E50*N$40)*(1+N$41)*IF(Rebate_Industry!M$90&lt;=0,1,Rebate_Industry!N$90/Rebate_Industry!M$90)^$F50*(IF(M33&lt;=0,1,N33/M33)^$G50/(1+$H50+$I50))^(1+$F50)</f>
        <v>0</v>
      </c>
      <c r="O60" s="24">
        <f>N60*(1+O$39)^($E50*O$40)*(1+O$41)*IF(Rebate_Industry!N$90&lt;=0,1,Rebate_Industry!O$90/Rebate_Industry!N$90)^$F50*(IF(N33&lt;=0,1,O33/N33)^$G50/(1+$H50+$I50))^(1+$F50)</f>
        <v>0</v>
      </c>
      <c r="P60" s="24">
        <f>O60*(1+P$39)^($E50*P$40)*(1+P$41)*IF(Rebate_Industry!O$90&lt;=0,1,Rebate_Industry!P$90/Rebate_Industry!O$90)^$F50*(IF(O33&lt;=0,1,P33/O33)^$G50/(1+$H50+$I50))^(1+$F50)</f>
        <v>0</v>
      </c>
      <c r="Q60" s="24">
        <f>P60*(1+Q$39)^($E50*Q$40)*(1+Q$41)*IF(Rebate_Industry!P$90&lt;=0,1,Rebate_Industry!Q$90/Rebate_Industry!P$90)^$F50*(IF(P33&lt;=0,1,Q33/P33)^$G50/(1+$H50+$I50))^(1+$F50)</f>
        <v>0</v>
      </c>
      <c r="R60" s="24">
        <f>Q60*(1+R$39)^($E50*R$40)*(1+R$41)*IF(Rebate_Industry!Q$90&lt;=0,1,Rebate_Industry!R$90/Rebate_Industry!Q$90)^$F50*(IF(Q33&lt;=0,1,R33/Q33)^$G50/(1+$H50+$I50))^(1+$F50)</f>
        <v>0</v>
      </c>
      <c r="S60" s="24">
        <f>R60*(1+S$39)^($E50*S$40)*(1+S$41)*IF(Rebate_Industry!R$90&lt;=0,1,Rebate_Industry!S$90/Rebate_Industry!R$90)^$F50*(IF(R33&lt;=0,1,S33/R33)^$G50/(1+$H50+$I50))^(1+$F50)</f>
        <v>0</v>
      </c>
      <c r="T60" s="24">
        <f>S60*(1+T$39)^($E50*T$40)*(1+T$41)*IF(Rebate_Industry!S$90&lt;=0,1,Rebate_Industry!T$90/Rebate_Industry!S$90)^$F50*(IF(S33&lt;=0,1,T33/S33)^$G50/(1+$H50+$I50))^(1+$F50)</f>
        <v>0</v>
      </c>
      <c r="U60" s="24">
        <f>T60*(1+U$39)^($E50*U$40)*(1+U$41)*IF(Rebate_Industry!T$90&lt;=0,1,Rebate_Industry!U$90/Rebate_Industry!T$90)^$F50*(IF(T33&lt;=0,1,U33/T33)^$G50/(1+$H50+$I50))^(1+$F50)</f>
        <v>0</v>
      </c>
      <c r="V60" s="24">
        <f>U60*(1+V$39)^($E50*V$40)*(1+V$41)*IF(Rebate_Industry!U$90&lt;=0,1,Rebate_Industry!V$90/Rebate_Industry!U$90)^$F50*(IF(U33&lt;=0,1,V33/U33)^$G50/(1+$H50+$I50))^(1+$F50)</f>
        <v>0</v>
      </c>
      <c r="W60" s="24">
        <f>V60*(1+W$39)^($E50*W$40)*(1+W$41)*IF(Rebate_Industry!V$90&lt;=0,1,Rebate_Industry!W$90/Rebate_Industry!V$90)^$F50*(IF(V33&lt;=0,1,W33/V33)^$G50/(1+$H50+$I50))^(1+$F50)</f>
        <v>0</v>
      </c>
      <c r="X60" s="24">
        <f>W60*(1+X$39)^($E50*X$40)*(1+X$41)*IF(Rebate_Industry!W$90&lt;=0,1,Rebate_Industry!X$90/Rebate_Industry!W$90)^$F50*(IF(W33&lt;=0,1,X33/W33)^$G50/(1+$H50+$I50))^(1+$F50)</f>
        <v>0</v>
      </c>
      <c r="Y60" s="24">
        <f>X60*(1+Y$39)^($E50*Y$40)*(1+Y$41)*IF(Rebate_Industry!X$90&lt;=0,1,Rebate_Industry!Y$90/Rebate_Industry!X$90)^$F50*(IF(X33&lt;=0,1,Y33/X33)^$G50/(1+$H50+$I50))^(1+$F50)</f>
        <v>0</v>
      </c>
      <c r="Z60" s="24">
        <f>Y60*(1+Z$39)^($E50*Z$40)*(1+Z$41)*IF(Rebate_Industry!Y$90&lt;=0,1,Rebate_Industry!Z$90/Rebate_Industry!Y$90)^$F50*(IF(Y33&lt;=0,1,Z33/Y33)^$G50/(1+$H50+$I50))^(1+$F50)</f>
        <v>0</v>
      </c>
      <c r="AA60" s="24">
        <f>Z60*(1+AA$39)^($E50*AA$40)*(1+AA$41)*IF(Rebate_Industry!Z$90&lt;=0,1,Rebate_Industry!AA$90/Rebate_Industry!Z$90)^$F50*(IF(Z33&lt;=0,1,AA33/Z33)^$G50/(1+$H50+$I50))^(1+$F50)</f>
        <v>0</v>
      </c>
      <c r="AB60" s="24">
        <f>AA60*(1+AB$39)^($E50*AB$40)*(1+AB$41)*IF(Rebate_Industry!AA$90&lt;=0,1,Rebate_Industry!AB$90/Rebate_Industry!AA$90)^$F50*(IF(AA33&lt;=0,1,AB33/AA33)^$G50/(1+$H50+$I50))^(1+$F50)</f>
        <v>0</v>
      </c>
      <c r="AC60" s="24">
        <f>AB60*(1+AC$39)^($E50*AC$40)*(1+AC$41)*IF(Rebate_Industry!AB$90&lt;=0,1,Rebate_Industry!AC$90/Rebate_Industry!AB$90)^$F50*(IF(AB33&lt;=0,1,AC33/AB33)^$G50/(1+$H50+$I50))^(1+$F50)</f>
        <v>0</v>
      </c>
      <c r="AD60" s="24">
        <f>AC60*(1+AD$39)^($E50*AD$40)*(1+AD$41)*IF(Rebate_Industry!AC$90&lt;=0,1,Rebate_Industry!AD$90/Rebate_Industry!AC$90)^$F50*(IF(AC33&lt;=0,1,AD33/AC33)^$G50/(1+$H50+$I50))^(1+$F50)</f>
        <v>0</v>
      </c>
      <c r="AE60" s="24">
        <f>AD60*(1+AE$39)^($E50*AE$40)*(1+AE$41)*IF(Rebate_Industry!AD$90&lt;=0,1,Rebate_Industry!AE$90/Rebate_Industry!AD$90)^$F50*(IF(AD33&lt;=0,1,AE33/AD33)^$G50/(1+$H50+$I50))^(1+$F50)</f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I61" t="s">
        <v>2362</v>
      </c>
      <c r="L61" s="47">
        <f>INDEX(Data_Energy!$D$3:$U$22,MATCH($B61,Data_Energy!$C$3:$C$22,0),MATCH($C61,Data_Energy!$D$2:$U$2,0))</f>
        <v>0</v>
      </c>
      <c r="M61" s="24">
        <f>L61*(1+M$39)^($E51*M$40)*(1+M$41)*IF(Rebate_Industry!L$91&lt;=0,1,Rebate_Industry!M$91/Rebate_Industry!L$91)^$F51*(IF(L34&lt;=0,1,M34/L34)^$G51/(1+$H51+$I51))^(1+$F51)</f>
        <v>0</v>
      </c>
      <c r="N61" s="24">
        <f>M61*(1+N$39)^($E51*N$40)*(1+N$41)*IF(Rebate_Industry!M$91&lt;=0,1,Rebate_Industry!N$91/Rebate_Industry!M$91)^$F51*(IF(M34&lt;=0,1,N34/M34)^$G51/(1+$H51+$I51))^(1+$F51)</f>
        <v>0</v>
      </c>
      <c r="O61" s="24">
        <f>N61*(1+O$39)^($E51*O$40)*(1+O$41)*IF(Rebate_Industry!N$91&lt;=0,1,Rebate_Industry!O$91/Rebate_Industry!N$91)^$F51*(IF(N34&lt;=0,1,O34/N34)^$G51/(1+$H51+$I51))^(1+$F51)</f>
        <v>0</v>
      </c>
      <c r="P61" s="24">
        <f>O61*(1+P$39)^($E51*P$40)*(1+P$41)*IF(Rebate_Industry!O$91&lt;=0,1,Rebate_Industry!P$91/Rebate_Industry!O$91)^$F51*(IF(O34&lt;=0,1,P34/O34)^$G51/(1+$H51+$I51))^(1+$F51)</f>
        <v>0</v>
      </c>
      <c r="Q61" s="24">
        <f>P61*(1+Q$39)^($E51*Q$40)*(1+Q$41)*IF(Rebate_Industry!P$91&lt;=0,1,Rebate_Industry!Q$91/Rebate_Industry!P$91)^$F51*(IF(P34&lt;=0,1,Q34/P34)^$G51/(1+$H51+$I51))^(1+$F51)</f>
        <v>0</v>
      </c>
      <c r="R61" s="24">
        <f>Q61*(1+R$39)^($E51*R$40)*(1+R$41)*IF(Rebate_Industry!Q$91&lt;=0,1,Rebate_Industry!R$91/Rebate_Industry!Q$91)^$F51*(IF(Q34&lt;=0,1,R34/Q34)^$G51/(1+$H51+$I51))^(1+$F51)</f>
        <v>0</v>
      </c>
      <c r="S61" s="24">
        <f>R61*(1+S$39)^($E51*S$40)*(1+S$41)*IF(Rebate_Industry!R$91&lt;=0,1,Rebate_Industry!S$91/Rebate_Industry!R$91)^$F51*(IF(R34&lt;=0,1,S34/R34)^$G51/(1+$H51+$I51))^(1+$F51)</f>
        <v>0</v>
      </c>
      <c r="T61" s="24">
        <f>S61*(1+T$39)^($E51*T$40)*(1+T$41)*IF(Rebate_Industry!S$91&lt;=0,1,Rebate_Industry!T$91/Rebate_Industry!S$91)^$F51*(IF(S34&lt;=0,1,T34/S34)^$G51/(1+$H51+$I51))^(1+$F51)</f>
        <v>0</v>
      </c>
      <c r="U61" s="24">
        <f>T61*(1+U$39)^($E51*U$40)*(1+U$41)*IF(Rebate_Industry!T$91&lt;=0,1,Rebate_Industry!U$91/Rebate_Industry!T$91)^$F51*(IF(T34&lt;=0,1,U34/T34)^$G51/(1+$H51+$I51))^(1+$F51)</f>
        <v>0</v>
      </c>
      <c r="V61" s="24">
        <f>U61*(1+V$39)^($E51*V$40)*(1+V$41)*IF(Rebate_Industry!U$91&lt;=0,1,Rebate_Industry!V$91/Rebate_Industry!U$91)^$F51*(IF(U34&lt;=0,1,V34/U34)^$G51/(1+$H51+$I51))^(1+$F51)</f>
        <v>0</v>
      </c>
      <c r="W61" s="24">
        <f>V61*(1+W$39)^($E51*W$40)*(1+W$41)*IF(Rebate_Industry!V$91&lt;=0,1,Rebate_Industry!W$91/Rebate_Industry!V$91)^$F51*(IF(V34&lt;=0,1,W34/V34)^$G51/(1+$H51+$I51))^(1+$F51)</f>
        <v>0</v>
      </c>
      <c r="X61" s="24">
        <f>W61*(1+X$39)^($E51*X$40)*(1+X$41)*IF(Rebate_Industry!W$91&lt;=0,1,Rebate_Industry!X$91/Rebate_Industry!W$91)^$F51*(IF(W34&lt;=0,1,X34/W34)^$G51/(1+$H51+$I51))^(1+$F51)</f>
        <v>0</v>
      </c>
      <c r="Y61" s="24">
        <f>X61*(1+Y$39)^($E51*Y$40)*(1+Y$41)*IF(Rebate_Industry!X$91&lt;=0,1,Rebate_Industry!Y$91/Rebate_Industry!X$91)^$F51*(IF(X34&lt;=0,1,Y34/X34)^$G51/(1+$H51+$I51))^(1+$F51)</f>
        <v>0</v>
      </c>
      <c r="Z61" s="24">
        <f>Y61*(1+Z$39)^($E51*Z$40)*(1+Z$41)*IF(Rebate_Industry!Y$91&lt;=0,1,Rebate_Industry!Z$91/Rebate_Industry!Y$91)^$F51*(IF(Y34&lt;=0,1,Z34/Y34)^$G51/(1+$H51+$I51))^(1+$F51)</f>
        <v>0</v>
      </c>
      <c r="AA61" s="24">
        <f>Z61*(1+AA$39)^($E51*AA$40)*(1+AA$41)*IF(Rebate_Industry!Z$91&lt;=0,1,Rebate_Industry!AA$91/Rebate_Industry!Z$91)^$F51*(IF(Z34&lt;=0,1,AA34/Z34)^$G51/(1+$H51+$I51))^(1+$F51)</f>
        <v>0</v>
      </c>
      <c r="AB61" s="24">
        <f>AA61*(1+AB$39)^($E51*AB$40)*(1+AB$41)*IF(Rebate_Industry!AA$91&lt;=0,1,Rebate_Industry!AB$91/Rebate_Industry!AA$91)^$F51*(IF(AA34&lt;=0,1,AB34/AA34)^$G51/(1+$H51+$I51))^(1+$F51)</f>
        <v>0</v>
      </c>
      <c r="AC61" s="24">
        <f>AB61*(1+AC$39)^($E51*AC$40)*(1+AC$41)*IF(Rebate_Industry!AB$91&lt;=0,1,Rebate_Industry!AC$91/Rebate_Industry!AB$91)^$F51*(IF(AB34&lt;=0,1,AC34/AB34)^$G51/(1+$H51+$I51))^(1+$F51)</f>
        <v>0</v>
      </c>
      <c r="AD61" s="24">
        <f>AC61*(1+AD$39)^($E51*AD$40)*(1+AD$41)*IF(Rebate_Industry!AC$91&lt;=0,1,Rebate_Industry!AD$91/Rebate_Industry!AC$91)^$F51*(IF(AC34&lt;=0,1,AD34/AC34)^$G51/(1+$H51+$I51))^(1+$F51)</f>
        <v>0</v>
      </c>
      <c r="AE61" s="24">
        <f>AD61*(1+AE$39)^($E51*AE$40)*(1+AE$41)*IF(Rebate_Industry!AD$91&lt;=0,1,Rebate_Industry!AE$91/Rebate_Industry!AD$91)^$F51*(IF(AD34&lt;=0,1,AE34/AD34)^$G51/(1+$H51+$I51))^(1+$F51)</f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I62" t="s">
        <v>2363</v>
      </c>
      <c r="L62" s="47">
        <f>INDEX(Data_Energy!$D$3:$U$22,MATCH($B62,Data_Energy!$C$3:$C$22,0),MATCH($C62,Data_Energy!$D$2:$U$2,0))</f>
        <v>0</v>
      </c>
      <c r="M62" s="24">
        <f>L62*(1+M$39)^($E52*M$40)*(1+M$41)*IF(Rebate_Industry!L$92&lt;=0,1,Rebate_Industry!M$92/Rebate_Industry!L$92)^$F52*(IF(L35&lt;=0,1,M35/L35)^$G52/(1+$H52+$I52))^(1+$F52)</f>
        <v>0</v>
      </c>
      <c r="N62" s="24">
        <f>M62*(1+N$39)^($E52*N$40)*(1+N$41)*IF(Rebate_Industry!M$92&lt;=0,1,Rebate_Industry!N$92/Rebate_Industry!M$92)^$F52*(IF(M35&lt;=0,1,N35/M35)^$G52/(1+$H52+$I52))^(1+$F52)</f>
        <v>0</v>
      </c>
      <c r="O62" s="24">
        <f>N62*(1+O$39)^($E52*O$40)*(1+O$41)*IF(Rebate_Industry!N$92&lt;=0,1,Rebate_Industry!O$92/Rebate_Industry!N$92)^$F52*(IF(N35&lt;=0,1,O35/N35)^$G52/(1+$H52+$I52))^(1+$F52)</f>
        <v>0</v>
      </c>
      <c r="P62" s="24">
        <f>O62*(1+P$39)^($E52*P$40)*(1+P$41)*IF(Rebate_Industry!O$92&lt;=0,1,Rebate_Industry!P$92/Rebate_Industry!O$92)^$F52*(IF(O35&lt;=0,1,P35/O35)^$G52/(1+$H52+$I52))^(1+$F52)</f>
        <v>0</v>
      </c>
      <c r="Q62" s="24">
        <f>P62*(1+Q$39)^($E52*Q$40)*(1+Q$41)*IF(Rebate_Industry!P$92&lt;=0,1,Rebate_Industry!Q$92/Rebate_Industry!P$92)^$F52*(IF(P35&lt;=0,1,Q35/P35)^$G52/(1+$H52+$I52))^(1+$F52)</f>
        <v>0</v>
      </c>
      <c r="R62" s="24">
        <f>Q62*(1+R$39)^($E52*R$40)*(1+R$41)*IF(Rebate_Industry!Q$92&lt;=0,1,Rebate_Industry!R$92/Rebate_Industry!Q$92)^$F52*(IF(Q35&lt;=0,1,R35/Q35)^$G52/(1+$H52+$I52))^(1+$F52)</f>
        <v>0</v>
      </c>
      <c r="S62" s="24">
        <f>R62*(1+S$39)^($E52*S$40)*(1+S$41)*IF(Rebate_Industry!R$92&lt;=0,1,Rebate_Industry!S$92/Rebate_Industry!R$92)^$F52*(IF(R35&lt;=0,1,S35/R35)^$G52/(1+$H52+$I52))^(1+$F52)</f>
        <v>0</v>
      </c>
      <c r="T62" s="24">
        <f>S62*(1+T$39)^($E52*T$40)*(1+T$41)*IF(Rebate_Industry!S$92&lt;=0,1,Rebate_Industry!T$92/Rebate_Industry!S$92)^$F52*(IF(S35&lt;=0,1,T35/S35)^$G52/(1+$H52+$I52))^(1+$F52)</f>
        <v>0</v>
      </c>
      <c r="U62" s="24">
        <f>T62*(1+U$39)^($E52*U$40)*(1+U$41)*IF(Rebate_Industry!T$92&lt;=0,1,Rebate_Industry!U$92/Rebate_Industry!T$92)^$F52*(IF(T35&lt;=0,1,U35/T35)^$G52/(1+$H52+$I52))^(1+$F52)</f>
        <v>0</v>
      </c>
      <c r="V62" s="24">
        <f>U62*(1+V$39)^($E52*V$40)*(1+V$41)*IF(Rebate_Industry!U$92&lt;=0,1,Rebate_Industry!V$92/Rebate_Industry!U$92)^$F52*(IF(U35&lt;=0,1,V35/U35)^$G52/(1+$H52+$I52))^(1+$F52)</f>
        <v>0</v>
      </c>
      <c r="W62" s="24">
        <f>V62*(1+W$39)^($E52*W$40)*(1+W$41)*IF(Rebate_Industry!V$92&lt;=0,1,Rebate_Industry!W$92/Rebate_Industry!V$92)^$F52*(IF(V35&lt;=0,1,W35/V35)^$G52/(1+$H52+$I52))^(1+$F52)</f>
        <v>0</v>
      </c>
      <c r="X62" s="24">
        <f>W62*(1+X$39)^($E52*X$40)*(1+X$41)*IF(Rebate_Industry!W$92&lt;=0,1,Rebate_Industry!X$92/Rebate_Industry!W$92)^$F52*(IF(W35&lt;=0,1,X35/W35)^$G52/(1+$H52+$I52))^(1+$F52)</f>
        <v>0</v>
      </c>
      <c r="Y62" s="24">
        <f>X62*(1+Y$39)^($E52*Y$40)*(1+Y$41)*IF(Rebate_Industry!X$92&lt;=0,1,Rebate_Industry!Y$92/Rebate_Industry!X$92)^$F52*(IF(X35&lt;=0,1,Y35/X35)^$G52/(1+$H52+$I52))^(1+$F52)</f>
        <v>0</v>
      </c>
      <c r="Z62" s="24">
        <f>Y62*(1+Z$39)^($E52*Z$40)*(1+Z$41)*IF(Rebate_Industry!Y$92&lt;=0,1,Rebate_Industry!Z$92/Rebate_Industry!Y$92)^$F52*(IF(Y35&lt;=0,1,Z35/Y35)^$G52/(1+$H52+$I52))^(1+$F52)</f>
        <v>0</v>
      </c>
      <c r="AA62" s="24">
        <f>Z62*(1+AA$39)^($E52*AA$40)*(1+AA$41)*IF(Rebate_Industry!Z$92&lt;=0,1,Rebate_Industry!AA$92/Rebate_Industry!Z$92)^$F52*(IF(Z35&lt;=0,1,AA35/Z35)^$G52/(1+$H52+$I52))^(1+$F52)</f>
        <v>0</v>
      </c>
      <c r="AB62" s="24">
        <f>AA62*(1+AB$39)^($E52*AB$40)*(1+AB$41)*IF(Rebate_Industry!AA$92&lt;=0,1,Rebate_Industry!AB$92/Rebate_Industry!AA$92)^$F52*(IF(AA35&lt;=0,1,AB35/AA35)^$G52/(1+$H52+$I52))^(1+$F52)</f>
        <v>0</v>
      </c>
      <c r="AC62" s="24">
        <f>AB62*(1+AC$39)^($E52*AC$40)*(1+AC$41)*IF(Rebate_Industry!AB$92&lt;=0,1,Rebate_Industry!AC$92/Rebate_Industry!AB$92)^$F52*(IF(AB35&lt;=0,1,AC35/AB35)^$G52/(1+$H52+$I52))^(1+$F52)</f>
        <v>0</v>
      </c>
      <c r="AD62" s="24">
        <f>AC62*(1+AD$39)^($E52*AD$40)*(1+AD$41)*IF(Rebate_Industry!AC$92&lt;=0,1,Rebate_Industry!AD$92/Rebate_Industry!AC$92)^$F52*(IF(AC35&lt;=0,1,AD35/AC35)^$G52/(1+$H52+$I52))^(1+$F52)</f>
        <v>0</v>
      </c>
      <c r="AE62" s="24">
        <f>AD62*(1+AE$39)^($E52*AE$40)*(1+AE$41)*IF(Rebate_Industry!AD$92&lt;=0,1,Rebate_Industry!AE$92/Rebate_Industry!AD$92)^$F52*(IF(AD35&lt;=0,1,AE35/AD35)^$G52/(1+$H52+$I52))^(1+$F52)</f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5">SUM(L54:L62)</f>
        <v>1901.7140738122609</v>
      </c>
      <c r="M63" s="26">
        <f t="shared" si="5"/>
        <v>1621.2301769893743</v>
      </c>
      <c r="N63" s="26">
        <f t="shared" si="5"/>
        <v>1820.8469202303741</v>
      </c>
      <c r="O63" s="26">
        <f t="shared" si="5"/>
        <v>1904.3670376253485</v>
      </c>
      <c r="P63" s="26">
        <f t="shared" si="5"/>
        <v>1961.702021253242</v>
      </c>
      <c r="Q63" s="26">
        <f t="shared" si="5"/>
        <v>2038.962541648895</v>
      </c>
      <c r="R63" s="26">
        <f t="shared" si="5"/>
        <v>2135.0351712538527</v>
      </c>
      <c r="S63" s="26">
        <f t="shared" si="5"/>
        <v>2228.4850873444593</v>
      </c>
      <c r="T63" s="26">
        <f t="shared" si="5"/>
        <v>2317.2308926620321</v>
      </c>
      <c r="U63" s="26">
        <f t="shared" si="5"/>
        <v>2407.7811783186385</v>
      </c>
      <c r="V63" s="26">
        <f t="shared" si="5"/>
        <v>2499.2702877093025</v>
      </c>
      <c r="W63" s="26">
        <f t="shared" si="5"/>
        <v>2592.8704056506044</v>
      </c>
      <c r="X63" s="26">
        <f t="shared" si="5"/>
        <v>2688.5787907172216</v>
      </c>
      <c r="Y63" s="26">
        <f t="shared" si="5"/>
        <v>2786.3911204964452</v>
      </c>
      <c r="Z63" s="26">
        <f t="shared" si="5"/>
        <v>2886.3014634759543</v>
      </c>
      <c r="AA63" s="26">
        <f t="shared" si="5"/>
        <v>2988.3022473044075</v>
      </c>
      <c r="AB63" s="26">
        <f t="shared" si="5"/>
        <v>3092.384223175638</v>
      </c>
      <c r="AC63" s="26">
        <f t="shared" si="5"/>
        <v>3198.5364260969</v>
      </c>
      <c r="AD63" s="26">
        <f t="shared" si="5"/>
        <v>3306.7461308112624</v>
      </c>
      <c r="AE63" s="26">
        <f t="shared" si="5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6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6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6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6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6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6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6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6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6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7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7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7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7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7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7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7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7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7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8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8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8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8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8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8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8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8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8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9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9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9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9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9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9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9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9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9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0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I114" t="s">
        <v>2364</v>
      </c>
      <c r="L114" s="47">
        <f>INDEX(Data_Energy!$D$3:$U$22,MATCH($B114,Data_Energy!$C$3:$C$22,0),MATCH($C114,Data_Energy!$D$2:$U$2,0))</f>
        <v>1463.05522446279</v>
      </c>
      <c r="M114" s="24">
        <f>L114*(1+M$99)^($E104*M$100)*(1+M$101)*IF(Rebate_Industry!L$98&lt;=0,1,Rebate_Industry!M$98/Rebate_Industry!L$98)^$F104*(IF(L87&lt;=0,1,M87/L87)^$G104/(1+$H104+$I104))^(1+$F104)</f>
        <v>1191.3644362517186</v>
      </c>
      <c r="N114" s="24">
        <f>M114*(1+N$99)^($E104*N$100)*(1+N$101)*IF(Rebate_Industry!M$98&lt;=0,1,Rebate_Industry!N$98/Rebate_Industry!M$98)^$F104*(IF(M87&lt;=0,1,N87/M87)^$G104/(1+$H104+$I104))^(1+$F104)</f>
        <v>1369.1779282213379</v>
      </c>
      <c r="O114" s="24">
        <f>N114*(1+O$99)^($E104*O$100)*(1+O$101)*IF(Rebate_Industry!N$98&lt;=0,1,Rebate_Industry!O$98/Rebate_Industry!N$98)^$F104*(IF(N87&lt;=0,1,O87/N87)^$G104/(1+$H104+$I104))^(1+$F104)</f>
        <v>1496.0103450821184</v>
      </c>
      <c r="P114" s="24">
        <f>O114*(1+P$99)^($E104*P$100)*(1+P$101)*IF(Rebate_Industry!O$98&lt;=0,1,Rebate_Industry!P$98/Rebate_Industry!O$98)^$F104*(IF(O87&lt;=0,1,P87/O87)^$G104/(1+$H104+$I104))^(1+$F104)</f>
        <v>1463.0094084242087</v>
      </c>
      <c r="Q114" s="24">
        <f>P114*(1+Q$99)^($E104*Q$100)*(1+Q$101)*IF(Rebate_Industry!P$98&lt;=0,1,Rebate_Industry!Q$98/Rebate_Industry!P$98)^$F104*(IF(P87&lt;=0,1,Q87/P87)^$G104/(1+$H104+$I104))^(1+$F104)</f>
        <v>1479.9434067103523</v>
      </c>
      <c r="R114" s="24">
        <f>Q114*(1+R$99)^($E104*R$100)*(1+R$101)*IF(Rebate_Industry!Q$98&lt;=0,1,Rebate_Industry!R$98/Rebate_Industry!Q$98)^$F104*(IF(Q87&lt;=0,1,R87/Q87)^$G104/(1+$H104+$I104))^(1+$F104)</f>
        <v>1520.8862789067375</v>
      </c>
      <c r="S114" s="24">
        <f>R114*(1+S$99)^($E104*S$100)*(1+S$101)*IF(Rebate_Industry!R$98&lt;=0,1,Rebate_Industry!S$98/Rebate_Industry!R$98)^$F104*(IF(R87&lt;=0,1,S87/R87)^$G104/(1+$H104+$I104))^(1+$F104)</f>
        <v>1560.7547343755641</v>
      </c>
      <c r="T114" s="24">
        <f>S114*(1+T$99)^($E104*T$100)*(1+T$101)*IF(Rebate_Industry!S$98&lt;=0,1,Rebate_Industry!T$98/Rebate_Industry!S$98)^$F104*(IF(S87&lt;=0,1,T87/S87)^$G104/(1+$H104+$I104))^(1+$F104)</f>
        <v>1598.9515087578091</v>
      </c>
      <c r="U114" s="24">
        <f>T114*(1+U$99)^($E104*U$100)*(1+U$101)*IF(Rebate_Industry!T$98&lt;=0,1,Rebate_Industry!U$98/Rebate_Industry!T$98)^$F104*(IF(T87&lt;=0,1,U87/T87)^$G104/(1+$H104+$I104))^(1+$F104)</f>
        <v>1637.2393504564443</v>
      </c>
      <c r="V114" s="24">
        <f>U114*(1+V$99)^($E104*V$100)*(1+V$101)*IF(Rebate_Industry!U$98&lt;=0,1,Rebate_Industry!V$98/Rebate_Industry!U$98)^$F104*(IF(U87&lt;=0,1,V87/U87)^$G104/(1+$H104+$I104))^(1+$F104)</f>
        <v>1668.235665404997</v>
      </c>
      <c r="W114" s="24">
        <f>V114*(1+W$99)^($E104*W$100)*(1+W$101)*IF(Rebate_Industry!V$98&lt;=0,1,Rebate_Industry!W$98/Rebate_Industry!V$98)^$F104*(IF(V87&lt;=0,1,W87/V87)^$G104/(1+$H104+$I104))^(1+$F104)</f>
        <v>1699.3101957591753</v>
      </c>
      <c r="X114" s="24">
        <f>W114*(1+X$99)^($E104*X$100)*(1+X$101)*IF(Rebate_Industry!W$98&lt;=0,1,Rebate_Industry!X$98/Rebate_Industry!W$98)^$F104*(IF(W87&lt;=0,1,X87/W87)^$G104/(1+$H104+$I104))^(1+$F104)</f>
        <v>1730.4540842981107</v>
      </c>
      <c r="Y114" s="24">
        <f>X114*(1+Y$99)^($E104*Y$100)*(1+Y$101)*IF(Rebate_Industry!X$98&lt;=0,1,Rebate_Industry!Y$98/Rebate_Industry!X$98)^$F104*(IF(X87&lt;=0,1,Y87/X87)^$G104/(1+$H104+$I104))^(1+$F104)</f>
        <v>1761.6585518575694</v>
      </c>
      <c r="Z114" s="24">
        <f>Y114*(1+Z$99)^($E104*Z$100)*(1+Z$101)*IF(Rebate_Industry!Y$98&lt;=0,1,Rebate_Industry!Z$98/Rebate_Industry!Y$98)^$F104*(IF(Y87&lt;=0,1,Z87/Y87)^$G104/(1+$H104+$I104))^(1+$F104)</f>
        <v>1792.9148898951291</v>
      </c>
      <c r="AA114" s="24">
        <f>Z114*(1+AA$99)^($E104*AA$100)*(1+AA$101)*IF(Rebate_Industry!Z$98&lt;=0,1,Rebate_Industry!AA$98/Rebate_Industry!Z$98)^$F104*(IF(Z87&lt;=0,1,AA87/Z87)^$G104/(1+$H104+$I104))^(1+$F104)</f>
        <v>1824.2144522572223</v>
      </c>
      <c r="AB114" s="24">
        <f>AA114*(1+AB$99)^($E104*AB$100)*(1+AB$101)*IF(Rebate_Industry!AA$98&lt;=0,1,Rebate_Industry!AB$98/Rebate_Industry!AA$98)^$F104*(IF(AA87&lt;=0,1,AB87/AA87)^$G104/(1+$H104+$I104))^(1+$F104)</f>
        <v>1855.5486461890316</v>
      </c>
      <c r="AC114" s="24">
        <f>AB114*(1+AC$99)^($E104*AC$100)*(1+AC$101)*IF(Rebate_Industry!AB$98&lt;=0,1,Rebate_Industry!AC$98/Rebate_Industry!AB$98)^$F104*(IF(AB87&lt;=0,1,AC87/AB87)^$G104/(1+$H104+$I104))^(1+$F104)</f>
        <v>1886.9089226255737</v>
      </c>
      <c r="AD114" s="24">
        <f>AC114*(1+AD$99)^($E104*AD$100)*(1+AD$101)*IF(Rebate_Industry!AC$98&lt;=0,1,Rebate_Industry!AD$98/Rebate_Industry!AC$98)^$F104*(IF(AC87&lt;=0,1,AD87/AC87)^$G104/(1+$H104+$I104))^(1+$F104)</f>
        <v>1918.2867657997119</v>
      </c>
      <c r="AE114" s="24">
        <f>AD114*(1+AE$99)^($E104*AE$100)*(1+AE$101)*IF(Rebate_Industry!AD$98&lt;=0,1,Rebate_Industry!AE$98/Rebate_Industry!AD$98)^$F104*(IF(AD87&lt;=0,1,AE87/AD87)^$G104/(1+$H104+$I104))^(1+$F104)</f>
        <v>1949.6736822001205</v>
      </c>
    </row>
    <row r="115" spans="1:35" x14ac:dyDescent="0.45">
      <c r="B115" s="14" t="s">
        <v>53</v>
      </c>
      <c r="C115" s="14" t="str">
        <f t="shared" si="10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I115" t="s">
        <v>2365</v>
      </c>
      <c r="L115" s="47">
        <f>INDEX(Data_Energy!$D$3:$U$22,MATCH($B115,Data_Energy!$C$3:$C$22,0),MATCH($C115,Data_Energy!$D$2:$U$2,0))</f>
        <v>1747.39153476208</v>
      </c>
      <c r="M115" s="24">
        <f>L115*(1+M$99)^($E105*M$100)*(1+M$101)*IF(Rebate_Industry!L$99&lt;=0,1,Rebate_Industry!M$99/Rebate_Industry!L$99)^$F105*(IF(L88&lt;=0,1,M88/L88)^$G105/(1+$H105+$I105))^(1+$F105)</f>
        <v>1498.9759731403976</v>
      </c>
      <c r="N115" s="24">
        <f>M115*(1+N$99)^($E105*N$100)*(1+N$101)*IF(Rebate_Industry!M$99&lt;=0,1,Rebate_Industry!N$99/Rebate_Industry!M$99)^$F105*(IF(M88&lt;=0,1,N88/M88)^$G105/(1+$H105+$I105))^(1+$F105)</f>
        <v>1678.358160579395</v>
      </c>
      <c r="O115" s="24">
        <f>N115*(1+O$99)^($E105*O$100)*(1+O$101)*IF(Rebate_Industry!N$99&lt;=0,1,Rebate_Industry!O$99/Rebate_Industry!N$99)^$F105*(IF(N88&lt;=0,1,O88/N88)^$G105/(1+$H105+$I105))^(1+$F105)</f>
        <v>1744.6824773068638</v>
      </c>
      <c r="P115" s="24">
        <f>O115*(1+P$99)^($E105*P$100)*(1+P$101)*IF(Rebate_Industry!O$99&lt;=0,1,Rebate_Industry!P$99/Rebate_Industry!O$99)^$F105*(IF(O88&lt;=0,1,P88/O88)^$G105/(1+$H105+$I105))^(1+$F105)</f>
        <v>1810.2025593297435</v>
      </c>
      <c r="Q115" s="24">
        <f>P115*(1+Q$99)^($E105*Q$100)*(1+Q$101)*IF(Rebate_Industry!P$99&lt;=0,1,Rebate_Industry!Q$99/Rebate_Industry!P$99)^$F105*(IF(P88&lt;=0,1,Q88/P88)^$G105/(1+$H105+$I105))^(1+$F105)</f>
        <v>1888.2699356639823</v>
      </c>
      <c r="R115" s="24">
        <f>Q115*(1+R$99)^($E105*R$100)*(1+R$101)*IF(Rebate_Industry!Q$99&lt;=0,1,Rebate_Industry!R$99/Rebate_Industry!Q$99)^$F105*(IF(Q88&lt;=0,1,R88/Q88)^$G105/(1+$H105+$I105))^(1+$F105)</f>
        <v>1982.0352227524543</v>
      </c>
      <c r="S115" s="24">
        <f>R115*(1+S$99)^($E105*S$100)*(1+S$101)*IF(Rebate_Industry!R$99&lt;=0,1,Rebate_Industry!S$99/Rebate_Industry!R$99)^$F105*(IF(R88&lt;=0,1,S88/R88)^$G105/(1+$H105+$I105))^(1+$F105)</f>
        <v>2073.2335772836482</v>
      </c>
      <c r="T115" s="24">
        <f>S115*(1+T$99)^($E105*T$100)*(1+T$101)*IF(Rebate_Industry!S$99&lt;=0,1,Rebate_Industry!T$99/Rebate_Industry!S$99)^$F105*(IF(S88&lt;=0,1,T88/S88)^$G105/(1+$H105+$I105))^(1+$F105)</f>
        <v>2159.7853501403379</v>
      </c>
      <c r="U115" s="24">
        <f>T115*(1+U$99)^($E105*U$100)*(1+U$101)*IF(Rebate_Industry!T$99&lt;=0,1,Rebate_Industry!U$99/Rebate_Industry!T$99)^$F105*(IF(T88&lt;=0,1,U88/T88)^$G105/(1+$H105+$I105))^(1+$F105)</f>
        <v>2248.2111327225371</v>
      </c>
      <c r="V115" s="24">
        <f>U115*(1+V$99)^($E105*V$100)*(1+V$101)*IF(Rebate_Industry!U$99&lt;=0,1,Rebate_Industry!V$99/Rebate_Industry!U$99)^$F105*(IF(U88&lt;=0,1,V88/U88)^$G105/(1+$H105+$I105))^(1+$F105)</f>
        <v>2338.8337314802193</v>
      </c>
      <c r="W115" s="24">
        <f>V115*(1+W$99)^($E105*W$100)*(1+W$101)*IF(Rebate_Industry!V$99&lt;=0,1,Rebate_Industry!W$99/Rebate_Industry!V$99)^$F105*(IF(V88&lt;=0,1,W88/V88)^$G105/(1+$H105+$I105))^(1+$F105)</f>
        <v>2431.6533942937472</v>
      </c>
      <c r="X115" s="24">
        <f>W115*(1+X$99)^($E105*X$100)*(1+X$101)*IF(Rebate_Industry!W$99&lt;=0,1,Rebate_Industry!X$99/Rebate_Industry!W$99)^$F105*(IF(W88&lt;=0,1,X88/W88)^$G105/(1+$H105+$I105))^(1+$F105)</f>
        <v>2526.6687256675955</v>
      </c>
      <c r="Y115" s="24">
        <f>X115*(1+Y$99)^($E105*Y$100)*(1+Y$101)*IF(Rebate_Industry!X$99&lt;=0,1,Rebate_Industry!Y$99/Rebate_Industry!X$99)^$F105*(IF(X88&lt;=0,1,Y88/X88)^$G105/(1+$H105+$I105))^(1+$F105)</f>
        <v>2623.8766619221847</v>
      </c>
      <c r="Z115" s="24">
        <f>Y115*(1+Z$99)^($E105*Z$100)*(1+Z$101)*IF(Rebate_Industry!Y$99&lt;=0,1,Rebate_Industry!Z$99/Rebate_Industry!Y$99)^$F105*(IF(Y88&lt;=0,1,Z88/Y88)^$G105/(1+$H105+$I105))^(1+$F105)</f>
        <v>2723.2724430000362</v>
      </c>
      <c r="AA115" s="24">
        <f>Z115*(1+AA$99)^($E105*AA$100)*(1+AA$101)*IF(Rebate_Industry!Z$99&lt;=0,1,Rebate_Industry!AA$99/Rebate_Industry!Z$99)^$F105*(IF(Z88&lt;=0,1,AA88/Z88)^$G105/(1+$H105+$I105))^(1+$F105)</f>
        <v>2824.8495806073797</v>
      </c>
      <c r="AB115" s="24">
        <f>AA115*(1+AB$99)^($E105*AB$100)*(1+AB$101)*IF(Rebate_Industry!AA$99&lt;=0,1,Rebate_Industry!AB$99/Rebate_Industry!AA$99)^$F105*(IF(AA88&lt;=0,1,AB88/AA88)^$G105/(1+$H105+$I105))^(1+$F105)</f>
        <v>2928.5998224234936</v>
      </c>
      <c r="AC115" s="24">
        <f>AB115*(1+AC$99)^($E105*AC$100)*(1+AC$101)*IF(Rebate_Industry!AB$99&lt;=0,1,Rebate_Industry!AC$99/Rebate_Industry!AB$99)^$F105*(IF(AB88&lt;=0,1,AC88/AB88)^$G105/(1+$H105+$I105))^(1+$F105)</f>
        <v>3034.5131121205823</v>
      </c>
      <c r="AD115" s="24">
        <f>AC115*(1+AD$99)^($E105*AD$100)*(1+AD$101)*IF(Rebate_Industry!AC$99&lt;=0,1,Rebate_Industry!AD$99/Rebate_Industry!AC$99)^$F105*(IF(AC88&lt;=0,1,AD88/AC88)^$G105/(1+$H105+$I105))^(1+$F105)</f>
        <v>3142.5775449475668</v>
      </c>
      <c r="AE115" s="24">
        <f>AD115*(1+AE$99)^($E105*AE$100)*(1+AE$101)*IF(Rebate_Industry!AD$99&lt;=0,1,Rebate_Industry!AE$99/Rebate_Industry!AD$99)^$F105*(IF(AD88&lt;=0,1,AE88/AD88)^$G105/(1+$H105+$I105))^(1+$F105)</f>
        <v>3252.7793186410991</v>
      </c>
    </row>
    <row r="116" spans="1:35" x14ac:dyDescent="0.45">
      <c r="B116" s="14" t="s">
        <v>55</v>
      </c>
      <c r="C116" s="14" t="str">
        <f t="shared" si="10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I116" t="s">
        <v>2366</v>
      </c>
      <c r="L116" s="47">
        <f>INDEX(Data_Energy!$D$3:$U$22,MATCH($B116,Data_Energy!$C$3:$C$22,0),MATCH($C116,Data_Energy!$D$2:$U$2,0))</f>
        <v>0</v>
      </c>
      <c r="M116" s="24">
        <f>L116*(1+M$99)^($E106*M$100)*(1+M$101)*IF(Rebate_Industry!L$100&lt;=0,1,Rebate_Industry!M$100/Rebate_Industry!L$100)^$F106*(IF(L89&lt;=0,1,M89/L89)^$G106/(1+$H106+$I106))^(1+$F106)</f>
        <v>0</v>
      </c>
      <c r="N116" s="24">
        <f>M116*(1+N$99)^($E106*N$100)*(1+N$101)*IF(Rebate_Industry!M$100&lt;=0,1,Rebate_Industry!N$100/Rebate_Industry!M$100)^$F106*(IF(M89&lt;=0,1,N89/M89)^$G106/(1+$H106+$I106))^(1+$F106)</f>
        <v>0</v>
      </c>
      <c r="O116" s="24">
        <f>N116*(1+O$99)^($E106*O$100)*(1+O$101)*IF(Rebate_Industry!N$100&lt;=0,1,Rebate_Industry!O$100/Rebate_Industry!N$100)^$F106*(IF(N89&lt;=0,1,O89/N89)^$G106/(1+$H106+$I106))^(1+$F106)</f>
        <v>0</v>
      </c>
      <c r="P116" s="24">
        <f>O116*(1+P$99)^($E106*P$100)*(1+P$101)*IF(Rebate_Industry!O$100&lt;=0,1,Rebate_Industry!P$100/Rebate_Industry!O$100)^$F106*(IF(O89&lt;=0,1,P89/O89)^$G106/(1+$H106+$I106))^(1+$F106)</f>
        <v>0</v>
      </c>
      <c r="Q116" s="24">
        <f>P116*(1+Q$99)^($E106*Q$100)*(1+Q$101)*IF(Rebate_Industry!P$100&lt;=0,1,Rebate_Industry!Q$100/Rebate_Industry!P$100)^$F106*(IF(P89&lt;=0,1,Q89/P89)^$G106/(1+$H106+$I106))^(1+$F106)</f>
        <v>0</v>
      </c>
      <c r="R116" s="24">
        <f>Q116*(1+R$99)^($E106*R$100)*(1+R$101)*IF(Rebate_Industry!Q$100&lt;=0,1,Rebate_Industry!R$100/Rebate_Industry!Q$100)^$F106*(IF(Q89&lt;=0,1,R89/Q89)^$G106/(1+$H106+$I106))^(1+$F106)</f>
        <v>0</v>
      </c>
      <c r="S116" s="24">
        <f>R116*(1+S$99)^($E106*S$100)*(1+S$101)*IF(Rebate_Industry!R$100&lt;=0,1,Rebate_Industry!S$100/Rebate_Industry!R$100)^$F106*(IF(R89&lt;=0,1,S89/R89)^$G106/(1+$H106+$I106))^(1+$F106)</f>
        <v>0</v>
      </c>
      <c r="T116" s="24">
        <f>S116*(1+T$99)^($E106*T$100)*(1+T$101)*IF(Rebate_Industry!S$100&lt;=0,1,Rebate_Industry!T$100/Rebate_Industry!S$100)^$F106*(IF(S89&lt;=0,1,T89/S89)^$G106/(1+$H106+$I106))^(1+$F106)</f>
        <v>0</v>
      </c>
      <c r="U116" s="24">
        <f>T116*(1+U$99)^($E106*U$100)*(1+U$101)*IF(Rebate_Industry!T$100&lt;=0,1,Rebate_Industry!U$100/Rebate_Industry!T$100)^$F106*(IF(T89&lt;=0,1,U89/T89)^$G106/(1+$H106+$I106))^(1+$F106)</f>
        <v>0</v>
      </c>
      <c r="V116" s="24">
        <f>U116*(1+V$99)^($E106*V$100)*(1+V$101)*IF(Rebate_Industry!U$100&lt;=0,1,Rebate_Industry!V$100/Rebate_Industry!U$100)^$F106*(IF(U89&lt;=0,1,V89/U89)^$G106/(1+$H106+$I106))^(1+$F106)</f>
        <v>0</v>
      </c>
      <c r="W116" s="24">
        <f>V116*(1+W$99)^($E106*W$100)*(1+W$101)*IF(Rebate_Industry!V$100&lt;=0,1,Rebate_Industry!W$100/Rebate_Industry!V$100)^$F106*(IF(V89&lt;=0,1,W89/V89)^$G106/(1+$H106+$I106))^(1+$F106)</f>
        <v>0</v>
      </c>
      <c r="X116" s="24">
        <f>W116*(1+X$99)^($E106*X$100)*(1+X$101)*IF(Rebate_Industry!W$100&lt;=0,1,Rebate_Industry!X$100/Rebate_Industry!W$100)^$F106*(IF(W89&lt;=0,1,X89/W89)^$G106/(1+$H106+$I106))^(1+$F106)</f>
        <v>0</v>
      </c>
      <c r="Y116" s="24">
        <f>X116*(1+Y$99)^($E106*Y$100)*(1+Y$101)*IF(Rebate_Industry!X$100&lt;=0,1,Rebate_Industry!Y$100/Rebate_Industry!X$100)^$F106*(IF(X89&lt;=0,1,Y89/X89)^$G106/(1+$H106+$I106))^(1+$F106)</f>
        <v>0</v>
      </c>
      <c r="Z116" s="24">
        <f>Y116*(1+Z$99)^($E106*Z$100)*(1+Z$101)*IF(Rebate_Industry!Y$100&lt;=0,1,Rebate_Industry!Z$100/Rebate_Industry!Y$100)^$F106*(IF(Y89&lt;=0,1,Z89/Y89)^$G106/(1+$H106+$I106))^(1+$F106)</f>
        <v>0</v>
      </c>
      <c r="AA116" s="24">
        <f>Z116*(1+AA$99)^($E106*AA$100)*(1+AA$101)*IF(Rebate_Industry!Z$100&lt;=0,1,Rebate_Industry!AA$100/Rebate_Industry!Z$100)^$F106*(IF(Z89&lt;=0,1,AA89/Z89)^$G106/(1+$H106+$I106))^(1+$F106)</f>
        <v>0</v>
      </c>
      <c r="AB116" s="24">
        <f>AA116*(1+AB$99)^($E106*AB$100)*(1+AB$101)*IF(Rebate_Industry!AA$100&lt;=0,1,Rebate_Industry!AB$100/Rebate_Industry!AA$100)^$F106*(IF(AA89&lt;=0,1,AB89/AA89)^$G106/(1+$H106+$I106))^(1+$F106)</f>
        <v>0</v>
      </c>
      <c r="AC116" s="24">
        <f>AB116*(1+AC$99)^($E106*AC$100)*(1+AC$101)*IF(Rebate_Industry!AB$100&lt;=0,1,Rebate_Industry!AC$100/Rebate_Industry!AB$100)^$F106*(IF(AB89&lt;=0,1,AC89/AB89)^$G106/(1+$H106+$I106))^(1+$F106)</f>
        <v>0</v>
      </c>
      <c r="AD116" s="24">
        <f>AC116*(1+AD$99)^($E106*AD$100)*(1+AD$101)*IF(Rebate_Industry!AC$100&lt;=0,1,Rebate_Industry!AD$100/Rebate_Industry!AC$100)^$F106*(IF(AC89&lt;=0,1,AD89/AC89)^$G106/(1+$H106+$I106))^(1+$F106)</f>
        <v>0</v>
      </c>
      <c r="AE116" s="24">
        <f>AD116*(1+AE$99)^($E106*AE$100)*(1+AE$101)*IF(Rebate_Industry!AD$100&lt;=0,1,Rebate_Industry!AE$100/Rebate_Industry!AD$100)^$F106*(IF(AD89&lt;=0,1,AE89/AD89)^$G106/(1+$H106+$I106))^(1+$F106)</f>
        <v>0</v>
      </c>
    </row>
    <row r="117" spans="1:35" x14ac:dyDescent="0.45">
      <c r="B117" s="14" t="s">
        <v>58</v>
      </c>
      <c r="C117" s="14" t="str">
        <f t="shared" si="10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I117" t="s">
        <v>2367</v>
      </c>
      <c r="L117" s="47">
        <f>INDEX(Data_Energy!$D$3:$U$22,MATCH($B117,Data_Energy!$C$3:$C$22,0),MATCH($C117,Data_Energy!$D$2:$U$2,0))</f>
        <v>0</v>
      </c>
      <c r="M117" s="24">
        <f>L117*(1+M$99)^($E107*M$100)*(1+M$101)*IF(Rebate_Industry!L$101&lt;=0,1,Rebate_Industry!M$101/Rebate_Industry!L$101)^$F107*(IF(L90&lt;=0,1,M90/L90)^$G107/(1+$H107+$I107))^(1+$F107)</f>
        <v>0</v>
      </c>
      <c r="N117" s="24">
        <f>M117*(1+N$99)^($E107*N$100)*(1+N$101)*IF(Rebate_Industry!M$101&lt;=0,1,Rebate_Industry!N$101/Rebate_Industry!M$101)^$F107*(IF(M90&lt;=0,1,N90/M90)^$G107/(1+$H107+$I107))^(1+$F107)</f>
        <v>0</v>
      </c>
      <c r="O117" s="24">
        <f>N117*(1+O$99)^($E107*O$100)*(1+O$101)*IF(Rebate_Industry!N$101&lt;=0,1,Rebate_Industry!O$101/Rebate_Industry!N$101)^$F107*(IF(N90&lt;=0,1,O90/N90)^$G107/(1+$H107+$I107))^(1+$F107)</f>
        <v>0</v>
      </c>
      <c r="P117" s="24">
        <f>O117*(1+P$99)^($E107*P$100)*(1+P$101)*IF(Rebate_Industry!O$101&lt;=0,1,Rebate_Industry!P$101/Rebate_Industry!O$101)^$F107*(IF(O90&lt;=0,1,P90/O90)^$G107/(1+$H107+$I107))^(1+$F107)</f>
        <v>0</v>
      </c>
      <c r="Q117" s="24">
        <f>P117*(1+Q$99)^($E107*Q$100)*(1+Q$101)*IF(Rebate_Industry!P$101&lt;=0,1,Rebate_Industry!Q$101/Rebate_Industry!P$101)^$F107*(IF(P90&lt;=0,1,Q90/P90)^$G107/(1+$H107+$I107))^(1+$F107)</f>
        <v>0</v>
      </c>
      <c r="R117" s="24">
        <f>Q117*(1+R$99)^($E107*R$100)*(1+R$101)*IF(Rebate_Industry!Q$101&lt;=0,1,Rebate_Industry!R$101/Rebate_Industry!Q$101)^$F107*(IF(Q90&lt;=0,1,R90/Q90)^$G107/(1+$H107+$I107))^(1+$F107)</f>
        <v>0</v>
      </c>
      <c r="S117" s="24">
        <f>R117*(1+S$99)^($E107*S$100)*(1+S$101)*IF(Rebate_Industry!R$101&lt;=0,1,Rebate_Industry!S$101/Rebate_Industry!R$101)^$F107*(IF(R90&lt;=0,1,S90/R90)^$G107/(1+$H107+$I107))^(1+$F107)</f>
        <v>0</v>
      </c>
      <c r="T117" s="24">
        <f>S117*(1+T$99)^($E107*T$100)*(1+T$101)*IF(Rebate_Industry!S$101&lt;=0,1,Rebate_Industry!T$101/Rebate_Industry!S$101)^$F107*(IF(S90&lt;=0,1,T90/S90)^$G107/(1+$H107+$I107))^(1+$F107)</f>
        <v>0</v>
      </c>
      <c r="U117" s="24">
        <f>T117*(1+U$99)^($E107*U$100)*(1+U$101)*IF(Rebate_Industry!T$101&lt;=0,1,Rebate_Industry!U$101/Rebate_Industry!T$101)^$F107*(IF(T90&lt;=0,1,U90/T90)^$G107/(1+$H107+$I107))^(1+$F107)</f>
        <v>0</v>
      </c>
      <c r="V117" s="24">
        <f>U117*(1+V$99)^($E107*V$100)*(1+V$101)*IF(Rebate_Industry!U$101&lt;=0,1,Rebate_Industry!V$101/Rebate_Industry!U$101)^$F107*(IF(U90&lt;=0,1,V90/U90)^$G107/(1+$H107+$I107))^(1+$F107)</f>
        <v>0</v>
      </c>
      <c r="W117" s="24">
        <f>V117*(1+W$99)^($E107*W$100)*(1+W$101)*IF(Rebate_Industry!V$101&lt;=0,1,Rebate_Industry!W$101/Rebate_Industry!V$101)^$F107*(IF(V90&lt;=0,1,W90/V90)^$G107/(1+$H107+$I107))^(1+$F107)</f>
        <v>0</v>
      </c>
      <c r="X117" s="24">
        <f>W117*(1+X$99)^($E107*X$100)*(1+X$101)*IF(Rebate_Industry!W$101&lt;=0,1,Rebate_Industry!X$101/Rebate_Industry!W$101)^$F107*(IF(W90&lt;=0,1,X90/W90)^$G107/(1+$H107+$I107))^(1+$F107)</f>
        <v>0</v>
      </c>
      <c r="Y117" s="24">
        <f>X117*(1+Y$99)^($E107*Y$100)*(1+Y$101)*IF(Rebate_Industry!X$101&lt;=0,1,Rebate_Industry!Y$101/Rebate_Industry!X$101)^$F107*(IF(X90&lt;=0,1,Y90/X90)^$G107/(1+$H107+$I107))^(1+$F107)</f>
        <v>0</v>
      </c>
      <c r="Z117" s="24">
        <f>Y117*(1+Z$99)^($E107*Z$100)*(1+Z$101)*IF(Rebate_Industry!Y$101&lt;=0,1,Rebate_Industry!Z$101/Rebate_Industry!Y$101)^$F107*(IF(Y90&lt;=0,1,Z90/Y90)^$G107/(1+$H107+$I107))^(1+$F107)</f>
        <v>0</v>
      </c>
      <c r="AA117" s="24">
        <f>Z117*(1+AA$99)^($E107*AA$100)*(1+AA$101)*IF(Rebate_Industry!Z$101&lt;=0,1,Rebate_Industry!AA$101/Rebate_Industry!Z$101)^$F107*(IF(Z90&lt;=0,1,AA90/Z90)^$G107/(1+$H107+$I107))^(1+$F107)</f>
        <v>0</v>
      </c>
      <c r="AB117" s="24">
        <f>AA117*(1+AB$99)^($E107*AB$100)*(1+AB$101)*IF(Rebate_Industry!AA$101&lt;=0,1,Rebate_Industry!AB$101/Rebate_Industry!AA$101)^$F107*(IF(AA90&lt;=0,1,AB90/AA90)^$G107/(1+$H107+$I107))^(1+$F107)</f>
        <v>0</v>
      </c>
      <c r="AC117" s="24">
        <f>AB117*(1+AC$99)^($E107*AC$100)*(1+AC$101)*IF(Rebate_Industry!AB$101&lt;=0,1,Rebate_Industry!AC$101/Rebate_Industry!AB$101)^$F107*(IF(AB90&lt;=0,1,AC90/AB90)^$G107/(1+$H107+$I107))^(1+$F107)</f>
        <v>0</v>
      </c>
      <c r="AD117" s="24">
        <f>AC117*(1+AD$99)^($E107*AD$100)*(1+AD$101)*IF(Rebate_Industry!AC$101&lt;=0,1,Rebate_Industry!AD$101/Rebate_Industry!AC$101)^$F107*(IF(AC90&lt;=0,1,AD90/AC90)^$G107/(1+$H107+$I107))^(1+$F107)</f>
        <v>0</v>
      </c>
      <c r="AE117" s="24">
        <f>AD117*(1+AE$99)^($E107*AE$100)*(1+AE$101)*IF(Rebate_Industry!AD$101&lt;=0,1,Rebate_Industry!AE$101/Rebate_Industry!AD$101)^$F107*(IF(AD90&lt;=0,1,AE90/AD90)^$G107/(1+$H107+$I107))^(1+$F107)</f>
        <v>0</v>
      </c>
    </row>
    <row r="118" spans="1:35" x14ac:dyDescent="0.45">
      <c r="B118" s="14" t="s">
        <v>60</v>
      </c>
      <c r="C118" s="14" t="str">
        <f t="shared" si="10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I118" t="s">
        <v>2368</v>
      </c>
      <c r="L118" s="47">
        <f>INDEX(Data_Energy!$D$3:$U$22,MATCH($B118,Data_Energy!$C$3:$C$22,0),MATCH($C118,Data_Energy!$D$2:$U$2,0))</f>
        <v>0</v>
      </c>
      <c r="M118" s="24">
        <f>L118*(1+M$99)^($E108*M$100)*(1+M$101)*IF(Rebate_Industry!L$102&lt;=0,1,Rebate_Industry!M$102/Rebate_Industry!L$102)^$F108*(IF(L91&lt;=0,1,M91/L91)^$G108/(1+$H108+$I108))^(1+$F108)</f>
        <v>0</v>
      </c>
      <c r="N118" s="24">
        <f>M118*(1+N$99)^($E108*N$100)*(1+N$101)*IF(Rebate_Industry!M$102&lt;=0,1,Rebate_Industry!N$102/Rebate_Industry!M$102)^$F108*(IF(M91&lt;=0,1,N91/M91)^$G108/(1+$H108+$I108))^(1+$F108)</f>
        <v>0</v>
      </c>
      <c r="O118" s="24">
        <f>N118*(1+O$99)^($E108*O$100)*(1+O$101)*IF(Rebate_Industry!N$102&lt;=0,1,Rebate_Industry!O$102/Rebate_Industry!N$102)^$F108*(IF(N91&lt;=0,1,O91/N91)^$G108/(1+$H108+$I108))^(1+$F108)</f>
        <v>0</v>
      </c>
      <c r="P118" s="24">
        <f>O118*(1+P$99)^($E108*P$100)*(1+P$101)*IF(Rebate_Industry!O$102&lt;=0,1,Rebate_Industry!P$102/Rebate_Industry!O$102)^$F108*(IF(O91&lt;=0,1,P91/O91)^$G108/(1+$H108+$I108))^(1+$F108)</f>
        <v>0</v>
      </c>
      <c r="Q118" s="24">
        <f>P118*(1+Q$99)^($E108*Q$100)*(1+Q$101)*IF(Rebate_Industry!P$102&lt;=0,1,Rebate_Industry!Q$102/Rebate_Industry!P$102)^$F108*(IF(P91&lt;=0,1,Q91/P91)^$G108/(1+$H108+$I108))^(1+$F108)</f>
        <v>0</v>
      </c>
      <c r="R118" s="24">
        <f>Q118*(1+R$99)^($E108*R$100)*(1+R$101)*IF(Rebate_Industry!Q$102&lt;=0,1,Rebate_Industry!R$102/Rebate_Industry!Q$102)^$F108*(IF(Q91&lt;=0,1,R91/Q91)^$G108/(1+$H108+$I108))^(1+$F108)</f>
        <v>0</v>
      </c>
      <c r="S118" s="24">
        <f>R118*(1+S$99)^($E108*S$100)*(1+S$101)*IF(Rebate_Industry!R$102&lt;=0,1,Rebate_Industry!S$102/Rebate_Industry!R$102)^$F108*(IF(R91&lt;=0,1,S91/R91)^$G108/(1+$H108+$I108))^(1+$F108)</f>
        <v>0</v>
      </c>
      <c r="T118" s="24">
        <f>S118*(1+T$99)^($E108*T$100)*(1+T$101)*IF(Rebate_Industry!S$102&lt;=0,1,Rebate_Industry!T$102/Rebate_Industry!S$102)^$F108*(IF(S91&lt;=0,1,T91/S91)^$G108/(1+$H108+$I108))^(1+$F108)</f>
        <v>0</v>
      </c>
      <c r="U118" s="24">
        <f>T118*(1+U$99)^($E108*U$100)*(1+U$101)*IF(Rebate_Industry!T$102&lt;=0,1,Rebate_Industry!U$102/Rebate_Industry!T$102)^$F108*(IF(T91&lt;=0,1,U91/T91)^$G108/(1+$H108+$I108))^(1+$F108)</f>
        <v>0</v>
      </c>
      <c r="V118" s="24">
        <f>U118*(1+V$99)^($E108*V$100)*(1+V$101)*IF(Rebate_Industry!U$102&lt;=0,1,Rebate_Industry!V$102/Rebate_Industry!U$102)^$F108*(IF(U91&lt;=0,1,V91/U91)^$G108/(1+$H108+$I108))^(1+$F108)</f>
        <v>0</v>
      </c>
      <c r="W118" s="24">
        <f>V118*(1+W$99)^($E108*W$100)*(1+W$101)*IF(Rebate_Industry!V$102&lt;=0,1,Rebate_Industry!W$102/Rebate_Industry!V$102)^$F108*(IF(V91&lt;=0,1,W91/V91)^$G108/(1+$H108+$I108))^(1+$F108)</f>
        <v>0</v>
      </c>
      <c r="X118" s="24">
        <f>W118*(1+X$99)^($E108*X$100)*(1+X$101)*IF(Rebate_Industry!W$102&lt;=0,1,Rebate_Industry!X$102/Rebate_Industry!W$102)^$F108*(IF(W91&lt;=0,1,X91/W91)^$G108/(1+$H108+$I108))^(1+$F108)</f>
        <v>0</v>
      </c>
      <c r="Y118" s="24">
        <f>X118*(1+Y$99)^($E108*Y$100)*(1+Y$101)*IF(Rebate_Industry!X$102&lt;=0,1,Rebate_Industry!Y$102/Rebate_Industry!X$102)^$F108*(IF(X91&lt;=0,1,Y91/X91)^$G108/(1+$H108+$I108))^(1+$F108)</f>
        <v>0</v>
      </c>
      <c r="Z118" s="24">
        <f>Y118*(1+Z$99)^($E108*Z$100)*(1+Z$101)*IF(Rebate_Industry!Y$102&lt;=0,1,Rebate_Industry!Z$102/Rebate_Industry!Y$102)^$F108*(IF(Y91&lt;=0,1,Z91/Y91)^$G108/(1+$H108+$I108))^(1+$F108)</f>
        <v>0</v>
      </c>
      <c r="AA118" s="24">
        <f>Z118*(1+AA$99)^($E108*AA$100)*(1+AA$101)*IF(Rebate_Industry!Z$102&lt;=0,1,Rebate_Industry!AA$102/Rebate_Industry!Z$102)^$F108*(IF(Z91&lt;=0,1,AA91/Z91)^$G108/(1+$H108+$I108))^(1+$F108)</f>
        <v>0</v>
      </c>
      <c r="AB118" s="24">
        <f>AA118*(1+AB$99)^($E108*AB$100)*(1+AB$101)*IF(Rebate_Industry!AA$102&lt;=0,1,Rebate_Industry!AB$102/Rebate_Industry!AA$102)^$F108*(IF(AA91&lt;=0,1,AB91/AA91)^$G108/(1+$H108+$I108))^(1+$F108)</f>
        <v>0</v>
      </c>
      <c r="AC118" s="24">
        <f>AB118*(1+AC$99)^($E108*AC$100)*(1+AC$101)*IF(Rebate_Industry!AB$102&lt;=0,1,Rebate_Industry!AC$102/Rebate_Industry!AB$102)^$F108*(IF(AB91&lt;=0,1,AC91/AB91)^$G108/(1+$H108+$I108))^(1+$F108)</f>
        <v>0</v>
      </c>
      <c r="AD118" s="24">
        <f>AC118*(1+AD$99)^($E108*AD$100)*(1+AD$101)*IF(Rebate_Industry!AC$102&lt;=0,1,Rebate_Industry!AD$102/Rebate_Industry!AC$102)^$F108*(IF(AC91&lt;=0,1,AD91/AC91)^$G108/(1+$H108+$I108))^(1+$F108)</f>
        <v>0</v>
      </c>
      <c r="AE118" s="24">
        <f>AD118*(1+AE$99)^($E108*AE$100)*(1+AE$101)*IF(Rebate_Industry!AD$102&lt;=0,1,Rebate_Industry!AE$102/Rebate_Industry!AD$102)^$F108*(IF(AD91&lt;=0,1,AE91/AD91)^$G108/(1+$H108+$I108))^(1+$F108)</f>
        <v>0</v>
      </c>
    </row>
    <row r="119" spans="1:35" x14ac:dyDescent="0.45">
      <c r="B119" s="14" t="s">
        <v>62</v>
      </c>
      <c r="C119" s="14" t="str">
        <f t="shared" si="10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I119" t="s">
        <v>2369</v>
      </c>
      <c r="L119" s="47">
        <f>INDEX(Data_Energy!$D$3:$U$22,MATCH($B119,Data_Energy!$C$3:$C$22,0),MATCH($C119,Data_Energy!$D$2:$U$2,0))</f>
        <v>0</v>
      </c>
      <c r="M119" s="24">
        <f>L119*(1+M$99)^($E109*M$100)*(1+M$101)*IF(Rebate_Industry!L$103&lt;=0,1,Rebate_Industry!M$103/Rebate_Industry!L$103)^$F109*(IF(L92&lt;=0,1,M92/L92)^$G109/(1+$H109+$I109))^(1+$F109)</f>
        <v>0</v>
      </c>
      <c r="N119" s="24">
        <f>M119*(1+N$99)^($E109*N$100)*(1+N$101)*IF(Rebate_Industry!M$103&lt;=0,1,Rebate_Industry!N$103/Rebate_Industry!M$103)^$F109*(IF(M92&lt;=0,1,N92/M92)^$G109/(1+$H109+$I109))^(1+$F109)</f>
        <v>0</v>
      </c>
      <c r="O119" s="24">
        <f>N119*(1+O$99)^($E109*O$100)*(1+O$101)*IF(Rebate_Industry!N$103&lt;=0,1,Rebate_Industry!O$103/Rebate_Industry!N$103)^$F109*(IF(N92&lt;=0,1,O92/N92)^$G109/(1+$H109+$I109))^(1+$F109)</f>
        <v>0</v>
      </c>
      <c r="P119" s="24">
        <f>O119*(1+P$99)^($E109*P$100)*(1+P$101)*IF(Rebate_Industry!O$103&lt;=0,1,Rebate_Industry!P$103/Rebate_Industry!O$103)^$F109*(IF(O92&lt;=0,1,P92/O92)^$G109/(1+$H109+$I109))^(1+$F109)</f>
        <v>0</v>
      </c>
      <c r="Q119" s="24">
        <f>P119*(1+Q$99)^($E109*Q$100)*(1+Q$101)*IF(Rebate_Industry!P$103&lt;=0,1,Rebate_Industry!Q$103/Rebate_Industry!P$103)^$F109*(IF(P92&lt;=0,1,Q92/P92)^$G109/(1+$H109+$I109))^(1+$F109)</f>
        <v>0</v>
      </c>
      <c r="R119" s="24">
        <f>Q119*(1+R$99)^($E109*R$100)*(1+R$101)*IF(Rebate_Industry!Q$103&lt;=0,1,Rebate_Industry!R$103/Rebate_Industry!Q$103)^$F109*(IF(Q92&lt;=0,1,R92/Q92)^$G109/(1+$H109+$I109))^(1+$F109)</f>
        <v>0</v>
      </c>
      <c r="S119" s="24">
        <f>R119*(1+S$99)^($E109*S$100)*(1+S$101)*IF(Rebate_Industry!R$103&lt;=0,1,Rebate_Industry!S$103/Rebate_Industry!R$103)^$F109*(IF(R92&lt;=0,1,S92/R92)^$G109/(1+$H109+$I109))^(1+$F109)</f>
        <v>0</v>
      </c>
      <c r="T119" s="24">
        <f>S119*(1+T$99)^($E109*T$100)*(1+T$101)*IF(Rebate_Industry!S$103&lt;=0,1,Rebate_Industry!T$103/Rebate_Industry!S$103)^$F109*(IF(S92&lt;=0,1,T92/S92)^$G109/(1+$H109+$I109))^(1+$F109)</f>
        <v>0</v>
      </c>
      <c r="U119" s="24">
        <f>T119*(1+U$99)^($E109*U$100)*(1+U$101)*IF(Rebate_Industry!T$103&lt;=0,1,Rebate_Industry!U$103/Rebate_Industry!T$103)^$F109*(IF(T92&lt;=0,1,U92/T92)^$G109/(1+$H109+$I109))^(1+$F109)</f>
        <v>0</v>
      </c>
      <c r="V119" s="24">
        <f>U119*(1+V$99)^($E109*V$100)*(1+V$101)*IF(Rebate_Industry!U$103&lt;=0,1,Rebate_Industry!V$103/Rebate_Industry!U$103)^$F109*(IF(U92&lt;=0,1,V92/U92)^$G109/(1+$H109+$I109))^(1+$F109)</f>
        <v>0</v>
      </c>
      <c r="W119" s="24">
        <f>V119*(1+W$99)^($E109*W$100)*(1+W$101)*IF(Rebate_Industry!V$103&lt;=0,1,Rebate_Industry!W$103/Rebate_Industry!V$103)^$F109*(IF(V92&lt;=0,1,W92/V92)^$G109/(1+$H109+$I109))^(1+$F109)</f>
        <v>0</v>
      </c>
      <c r="X119" s="24">
        <f>W119*(1+X$99)^($E109*X$100)*(1+X$101)*IF(Rebate_Industry!W$103&lt;=0,1,Rebate_Industry!X$103/Rebate_Industry!W$103)^$F109*(IF(W92&lt;=0,1,X92/W92)^$G109/(1+$H109+$I109))^(1+$F109)</f>
        <v>0</v>
      </c>
      <c r="Y119" s="24">
        <f>X119*(1+Y$99)^($E109*Y$100)*(1+Y$101)*IF(Rebate_Industry!X$103&lt;=0,1,Rebate_Industry!Y$103/Rebate_Industry!X$103)^$F109*(IF(X92&lt;=0,1,Y92/X92)^$G109/(1+$H109+$I109))^(1+$F109)</f>
        <v>0</v>
      </c>
      <c r="Z119" s="24">
        <f>Y119*(1+Z$99)^($E109*Z$100)*(1+Z$101)*IF(Rebate_Industry!Y$103&lt;=0,1,Rebate_Industry!Z$103/Rebate_Industry!Y$103)^$F109*(IF(Y92&lt;=0,1,Z92/Y92)^$G109/(1+$H109+$I109))^(1+$F109)</f>
        <v>0</v>
      </c>
      <c r="AA119" s="24">
        <f>Z119*(1+AA$99)^($E109*AA$100)*(1+AA$101)*IF(Rebate_Industry!Z$103&lt;=0,1,Rebate_Industry!AA$103/Rebate_Industry!Z$103)^$F109*(IF(Z92&lt;=0,1,AA92/Z92)^$G109/(1+$H109+$I109))^(1+$F109)</f>
        <v>0</v>
      </c>
      <c r="AB119" s="24">
        <f>AA119*(1+AB$99)^($E109*AB$100)*(1+AB$101)*IF(Rebate_Industry!AA$103&lt;=0,1,Rebate_Industry!AB$103/Rebate_Industry!AA$103)^$F109*(IF(AA92&lt;=0,1,AB92/AA92)^$G109/(1+$H109+$I109))^(1+$F109)</f>
        <v>0</v>
      </c>
      <c r="AC119" s="24">
        <f>AB119*(1+AC$99)^($E109*AC$100)*(1+AC$101)*IF(Rebate_Industry!AB$103&lt;=0,1,Rebate_Industry!AC$103/Rebate_Industry!AB$103)^$F109*(IF(AB92&lt;=0,1,AC92/AB92)^$G109/(1+$H109+$I109))^(1+$F109)</f>
        <v>0</v>
      </c>
      <c r="AD119" s="24">
        <f>AC119*(1+AD$99)^($E109*AD$100)*(1+AD$101)*IF(Rebate_Industry!AC$103&lt;=0,1,Rebate_Industry!AD$103/Rebate_Industry!AC$103)^$F109*(IF(AC92&lt;=0,1,AD92/AC92)^$G109/(1+$H109+$I109))^(1+$F109)</f>
        <v>0</v>
      </c>
      <c r="AE119" s="24">
        <f>AD119*(1+AE$99)^($E109*AE$100)*(1+AE$101)*IF(Rebate_Industry!AD$103&lt;=0,1,Rebate_Industry!AE$103/Rebate_Industry!AD$103)^$F109*(IF(AD92&lt;=0,1,AE92/AD92)^$G109/(1+$H109+$I109))^(1+$F109)</f>
        <v>0</v>
      </c>
    </row>
    <row r="120" spans="1:35" x14ac:dyDescent="0.45">
      <c r="B120" s="14" t="s">
        <v>64</v>
      </c>
      <c r="C120" s="14" t="str">
        <f t="shared" si="10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I120" t="s">
        <v>2370</v>
      </c>
      <c r="L120" s="47">
        <f>INDEX(Data_Energy!$D$3:$U$22,MATCH($B120,Data_Energy!$C$3:$C$22,0),MATCH($C120,Data_Energy!$D$2:$U$2,0))</f>
        <v>0</v>
      </c>
      <c r="M120" s="24">
        <f>L120*(1+M$99)^($E110*M$100)*(1+M$101)*IF(Rebate_Industry!L$104&lt;=0,1,Rebate_Industry!M$104/Rebate_Industry!L$104)^$F110*(IF(L93&lt;=0,1,M93/L93)^$G110/(1+$H110+$I110))^(1+$F110)</f>
        <v>0</v>
      </c>
      <c r="N120" s="24">
        <f>M120*(1+N$99)^($E110*N$100)*(1+N$101)*IF(Rebate_Industry!M$104&lt;=0,1,Rebate_Industry!N$104/Rebate_Industry!M$104)^$F110*(IF(M93&lt;=0,1,N93/M93)^$G110/(1+$H110+$I110))^(1+$F110)</f>
        <v>0</v>
      </c>
      <c r="O120" s="24">
        <f>N120*(1+O$99)^($E110*O$100)*(1+O$101)*IF(Rebate_Industry!N$104&lt;=0,1,Rebate_Industry!O$104/Rebate_Industry!N$104)^$F110*(IF(N93&lt;=0,1,O93/N93)^$G110/(1+$H110+$I110))^(1+$F110)</f>
        <v>0</v>
      </c>
      <c r="P120" s="24">
        <f>O120*(1+P$99)^($E110*P$100)*(1+P$101)*IF(Rebate_Industry!O$104&lt;=0,1,Rebate_Industry!P$104/Rebate_Industry!O$104)^$F110*(IF(O93&lt;=0,1,P93/O93)^$G110/(1+$H110+$I110))^(1+$F110)</f>
        <v>0</v>
      </c>
      <c r="Q120" s="24">
        <f>P120*(1+Q$99)^($E110*Q$100)*(1+Q$101)*IF(Rebate_Industry!P$104&lt;=0,1,Rebate_Industry!Q$104/Rebate_Industry!P$104)^$F110*(IF(P93&lt;=0,1,Q93/P93)^$G110/(1+$H110+$I110))^(1+$F110)</f>
        <v>0</v>
      </c>
      <c r="R120" s="24">
        <f>Q120*(1+R$99)^($E110*R$100)*(1+R$101)*IF(Rebate_Industry!Q$104&lt;=0,1,Rebate_Industry!R$104/Rebate_Industry!Q$104)^$F110*(IF(Q93&lt;=0,1,R93/Q93)^$G110/(1+$H110+$I110))^(1+$F110)</f>
        <v>0</v>
      </c>
      <c r="S120" s="24">
        <f>R120*(1+S$99)^($E110*S$100)*(1+S$101)*IF(Rebate_Industry!R$104&lt;=0,1,Rebate_Industry!S$104/Rebate_Industry!R$104)^$F110*(IF(R93&lt;=0,1,S93/R93)^$G110/(1+$H110+$I110))^(1+$F110)</f>
        <v>0</v>
      </c>
      <c r="T120" s="24">
        <f>S120*(1+T$99)^($E110*T$100)*(1+T$101)*IF(Rebate_Industry!S$104&lt;=0,1,Rebate_Industry!T$104/Rebate_Industry!S$104)^$F110*(IF(S93&lt;=0,1,T93/S93)^$G110/(1+$H110+$I110))^(1+$F110)</f>
        <v>0</v>
      </c>
      <c r="U120" s="24">
        <f>T120*(1+U$99)^($E110*U$100)*(1+U$101)*IF(Rebate_Industry!T$104&lt;=0,1,Rebate_Industry!U$104/Rebate_Industry!T$104)^$F110*(IF(T93&lt;=0,1,U93/T93)^$G110/(1+$H110+$I110))^(1+$F110)</f>
        <v>0</v>
      </c>
      <c r="V120" s="24">
        <f>U120*(1+V$99)^($E110*V$100)*(1+V$101)*IF(Rebate_Industry!U$104&lt;=0,1,Rebate_Industry!V$104/Rebate_Industry!U$104)^$F110*(IF(U93&lt;=0,1,V93/U93)^$G110/(1+$H110+$I110))^(1+$F110)</f>
        <v>0</v>
      </c>
      <c r="W120" s="24">
        <f>V120*(1+W$99)^($E110*W$100)*(1+W$101)*IF(Rebate_Industry!V$104&lt;=0,1,Rebate_Industry!W$104/Rebate_Industry!V$104)^$F110*(IF(V93&lt;=0,1,W93/V93)^$G110/(1+$H110+$I110))^(1+$F110)</f>
        <v>0</v>
      </c>
      <c r="X120" s="24">
        <f>W120*(1+X$99)^($E110*X$100)*(1+X$101)*IF(Rebate_Industry!W$104&lt;=0,1,Rebate_Industry!X$104/Rebate_Industry!W$104)^$F110*(IF(W93&lt;=0,1,X93/W93)^$G110/(1+$H110+$I110))^(1+$F110)</f>
        <v>0</v>
      </c>
      <c r="Y120" s="24">
        <f>X120*(1+Y$99)^($E110*Y$100)*(1+Y$101)*IF(Rebate_Industry!X$104&lt;=0,1,Rebate_Industry!Y$104/Rebate_Industry!X$104)^$F110*(IF(X93&lt;=0,1,Y93/X93)^$G110/(1+$H110+$I110))^(1+$F110)</f>
        <v>0</v>
      </c>
      <c r="Z120" s="24">
        <f>Y120*(1+Z$99)^($E110*Z$100)*(1+Z$101)*IF(Rebate_Industry!Y$104&lt;=0,1,Rebate_Industry!Z$104/Rebate_Industry!Y$104)^$F110*(IF(Y93&lt;=0,1,Z93/Y93)^$G110/(1+$H110+$I110))^(1+$F110)</f>
        <v>0</v>
      </c>
      <c r="AA120" s="24">
        <f>Z120*(1+AA$99)^($E110*AA$100)*(1+AA$101)*IF(Rebate_Industry!Z$104&lt;=0,1,Rebate_Industry!AA$104/Rebate_Industry!Z$104)^$F110*(IF(Z93&lt;=0,1,AA93/Z93)^$G110/(1+$H110+$I110))^(1+$F110)</f>
        <v>0</v>
      </c>
      <c r="AB120" s="24">
        <f>AA120*(1+AB$99)^($E110*AB$100)*(1+AB$101)*IF(Rebate_Industry!AA$104&lt;=0,1,Rebate_Industry!AB$104/Rebate_Industry!AA$104)^$F110*(IF(AA93&lt;=0,1,AB93/AA93)^$G110/(1+$H110+$I110))^(1+$F110)</f>
        <v>0</v>
      </c>
      <c r="AC120" s="24">
        <f>AB120*(1+AC$99)^($E110*AC$100)*(1+AC$101)*IF(Rebate_Industry!AB$104&lt;=0,1,Rebate_Industry!AC$104/Rebate_Industry!AB$104)^$F110*(IF(AB93&lt;=0,1,AC93/AB93)^$G110/(1+$H110+$I110))^(1+$F110)</f>
        <v>0</v>
      </c>
      <c r="AD120" s="24">
        <f>AC120*(1+AD$99)^($E110*AD$100)*(1+AD$101)*IF(Rebate_Industry!AC$104&lt;=0,1,Rebate_Industry!AD$104/Rebate_Industry!AC$104)^$F110*(IF(AC93&lt;=0,1,AD93/AC93)^$G110/(1+$H110+$I110))^(1+$F110)</f>
        <v>0</v>
      </c>
      <c r="AE120" s="24">
        <f>AD120*(1+AE$99)^($E110*AE$100)*(1+AE$101)*IF(Rebate_Industry!AD$104&lt;=0,1,Rebate_Industry!AE$104/Rebate_Industry!AD$104)^$F110*(IF(AD93&lt;=0,1,AE93/AD93)^$G110/(1+$H110+$I110))^(1+$F110)</f>
        <v>0</v>
      </c>
    </row>
    <row r="121" spans="1:35" x14ac:dyDescent="0.45">
      <c r="B121" s="14" t="s">
        <v>67</v>
      </c>
      <c r="C121" s="14" t="str">
        <f t="shared" si="10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I121" t="s">
        <v>2371</v>
      </c>
      <c r="L121" s="47">
        <f>INDEX(Data_Energy!$D$3:$U$22,MATCH($B121,Data_Energy!$C$3:$C$22,0),MATCH($C121,Data_Energy!$D$2:$U$2,0))</f>
        <v>0</v>
      </c>
      <c r="M121" s="24">
        <f>L121*(1+M$99)^($E111*M$100)*(1+M$101)*IF(Rebate_Industry!L$105&lt;=0,1,Rebate_Industry!M$105/Rebate_Industry!L$105)^$F111*(IF(L94&lt;=0,1,M94/L94)^$G111/(1+$H111+$I111))^(1+$F111)</f>
        <v>0</v>
      </c>
      <c r="N121" s="24">
        <f>M121*(1+N$99)^($E111*N$100)*(1+N$101)*IF(Rebate_Industry!M$105&lt;=0,1,Rebate_Industry!N$105/Rebate_Industry!M$105)^$F111*(IF(M94&lt;=0,1,N94/M94)^$G111/(1+$H111+$I111))^(1+$F111)</f>
        <v>0</v>
      </c>
      <c r="O121" s="24">
        <f>N121*(1+O$99)^($E111*O$100)*(1+O$101)*IF(Rebate_Industry!N$105&lt;=0,1,Rebate_Industry!O$105/Rebate_Industry!N$105)^$F111*(IF(N94&lt;=0,1,O94/N94)^$G111/(1+$H111+$I111))^(1+$F111)</f>
        <v>0</v>
      </c>
      <c r="P121" s="24">
        <f>O121*(1+P$99)^($E111*P$100)*(1+P$101)*IF(Rebate_Industry!O$105&lt;=0,1,Rebate_Industry!P$105/Rebate_Industry!O$105)^$F111*(IF(O94&lt;=0,1,P94/O94)^$G111/(1+$H111+$I111))^(1+$F111)</f>
        <v>0</v>
      </c>
      <c r="Q121" s="24">
        <f>P121*(1+Q$99)^($E111*Q$100)*(1+Q$101)*IF(Rebate_Industry!P$105&lt;=0,1,Rebate_Industry!Q$105/Rebate_Industry!P$105)^$F111*(IF(P94&lt;=0,1,Q94/P94)^$G111/(1+$H111+$I111))^(1+$F111)</f>
        <v>0</v>
      </c>
      <c r="R121" s="24">
        <f>Q121*(1+R$99)^($E111*R$100)*(1+R$101)*IF(Rebate_Industry!Q$105&lt;=0,1,Rebate_Industry!R$105/Rebate_Industry!Q$105)^$F111*(IF(Q94&lt;=0,1,R94/Q94)^$G111/(1+$H111+$I111))^(1+$F111)</f>
        <v>0</v>
      </c>
      <c r="S121" s="24">
        <f>R121*(1+S$99)^($E111*S$100)*(1+S$101)*IF(Rebate_Industry!R$105&lt;=0,1,Rebate_Industry!S$105/Rebate_Industry!R$105)^$F111*(IF(R94&lt;=0,1,S94/R94)^$G111/(1+$H111+$I111))^(1+$F111)</f>
        <v>0</v>
      </c>
      <c r="T121" s="24">
        <f>S121*(1+T$99)^($E111*T$100)*(1+T$101)*IF(Rebate_Industry!S$105&lt;=0,1,Rebate_Industry!T$105/Rebate_Industry!S$105)^$F111*(IF(S94&lt;=0,1,T94/S94)^$G111/(1+$H111+$I111))^(1+$F111)</f>
        <v>0</v>
      </c>
      <c r="U121" s="24">
        <f>T121*(1+U$99)^($E111*U$100)*(1+U$101)*IF(Rebate_Industry!T$105&lt;=0,1,Rebate_Industry!U$105/Rebate_Industry!T$105)^$F111*(IF(T94&lt;=0,1,U94/T94)^$G111/(1+$H111+$I111))^(1+$F111)</f>
        <v>0</v>
      </c>
      <c r="V121" s="24">
        <f>U121*(1+V$99)^($E111*V$100)*(1+V$101)*IF(Rebate_Industry!U$105&lt;=0,1,Rebate_Industry!V$105/Rebate_Industry!U$105)^$F111*(IF(U94&lt;=0,1,V94/U94)^$G111/(1+$H111+$I111))^(1+$F111)</f>
        <v>0</v>
      </c>
      <c r="W121" s="24">
        <f>V121*(1+W$99)^($E111*W$100)*(1+W$101)*IF(Rebate_Industry!V$105&lt;=0,1,Rebate_Industry!W$105/Rebate_Industry!V$105)^$F111*(IF(V94&lt;=0,1,W94/V94)^$G111/(1+$H111+$I111))^(1+$F111)</f>
        <v>0</v>
      </c>
      <c r="X121" s="24">
        <f>W121*(1+X$99)^($E111*X$100)*(1+X$101)*IF(Rebate_Industry!W$105&lt;=0,1,Rebate_Industry!X$105/Rebate_Industry!W$105)^$F111*(IF(W94&lt;=0,1,X94/W94)^$G111/(1+$H111+$I111))^(1+$F111)</f>
        <v>0</v>
      </c>
      <c r="Y121" s="24">
        <f>X121*(1+Y$99)^($E111*Y$100)*(1+Y$101)*IF(Rebate_Industry!X$105&lt;=0,1,Rebate_Industry!Y$105/Rebate_Industry!X$105)^$F111*(IF(X94&lt;=0,1,Y94/X94)^$G111/(1+$H111+$I111))^(1+$F111)</f>
        <v>0</v>
      </c>
      <c r="Z121" s="24">
        <f>Y121*(1+Z$99)^($E111*Z$100)*(1+Z$101)*IF(Rebate_Industry!Y$105&lt;=0,1,Rebate_Industry!Z$105/Rebate_Industry!Y$105)^$F111*(IF(Y94&lt;=0,1,Z94/Y94)^$G111/(1+$H111+$I111))^(1+$F111)</f>
        <v>0</v>
      </c>
      <c r="AA121" s="24">
        <f>Z121*(1+AA$99)^($E111*AA$100)*(1+AA$101)*IF(Rebate_Industry!Z$105&lt;=0,1,Rebate_Industry!AA$105/Rebate_Industry!Z$105)^$F111*(IF(Z94&lt;=0,1,AA94/Z94)^$G111/(1+$H111+$I111))^(1+$F111)</f>
        <v>0</v>
      </c>
      <c r="AB121" s="24">
        <f>AA121*(1+AB$99)^($E111*AB$100)*(1+AB$101)*IF(Rebate_Industry!AA$105&lt;=0,1,Rebate_Industry!AB$105/Rebate_Industry!AA$105)^$F111*(IF(AA94&lt;=0,1,AB94/AA94)^$G111/(1+$H111+$I111))^(1+$F111)</f>
        <v>0</v>
      </c>
      <c r="AC121" s="24">
        <f>AB121*(1+AC$99)^($E111*AC$100)*(1+AC$101)*IF(Rebate_Industry!AB$105&lt;=0,1,Rebate_Industry!AC$105/Rebate_Industry!AB$105)^$F111*(IF(AB94&lt;=0,1,AC94/AB94)^$G111/(1+$H111+$I111))^(1+$F111)</f>
        <v>0</v>
      </c>
      <c r="AD121" s="24">
        <f>AC121*(1+AD$99)^($E111*AD$100)*(1+AD$101)*IF(Rebate_Industry!AC$105&lt;=0,1,Rebate_Industry!AD$105/Rebate_Industry!AC$105)^$F111*(IF(AC94&lt;=0,1,AD94/AC94)^$G111/(1+$H111+$I111))^(1+$F111)</f>
        <v>0</v>
      </c>
      <c r="AE121" s="24">
        <f>AD121*(1+AE$99)^($E111*AE$100)*(1+AE$101)*IF(Rebate_Industry!AD$105&lt;=0,1,Rebate_Industry!AE$105/Rebate_Industry!AD$105)^$F111*(IF(AD94&lt;=0,1,AE94/AD94)^$G111/(1+$H111+$I111))^(1+$F111)</f>
        <v>0</v>
      </c>
    </row>
    <row r="122" spans="1:35" x14ac:dyDescent="0.45">
      <c r="B122" s="14" t="s">
        <v>69</v>
      </c>
      <c r="C122" s="14" t="str">
        <f t="shared" si="10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I122" t="s">
        <v>2372</v>
      </c>
      <c r="L122" s="47">
        <f>INDEX(Data_Energy!$D$3:$U$22,MATCH($B122,Data_Energy!$C$3:$C$22,0),MATCH($C122,Data_Energy!$D$2:$U$2,0))</f>
        <v>0</v>
      </c>
      <c r="M122" s="24">
        <f>L122*(1+M$99)^($E112*M$100)*(1+M$101)*IF(Rebate_Industry!L$106&lt;=0,1,Rebate_Industry!M$106/Rebate_Industry!L$106)^$F112*(IF(L95&lt;=0,1,M95/L95)^$G112/(1+$H112+$I112))^(1+$F112)</f>
        <v>0</v>
      </c>
      <c r="N122" s="24">
        <f>M122*(1+N$99)^($E112*N$100)*(1+N$101)*IF(Rebate_Industry!M$106&lt;=0,1,Rebate_Industry!N$106/Rebate_Industry!M$106)^$F112*(IF(M95&lt;=0,1,N95/M95)^$G112/(1+$H112+$I112))^(1+$F112)</f>
        <v>0</v>
      </c>
      <c r="O122" s="24">
        <f>N122*(1+O$99)^($E112*O$100)*(1+O$101)*IF(Rebate_Industry!N$106&lt;=0,1,Rebate_Industry!O$106/Rebate_Industry!N$106)^$F112*(IF(N95&lt;=0,1,O95/N95)^$G112/(1+$H112+$I112))^(1+$F112)</f>
        <v>0</v>
      </c>
      <c r="P122" s="24">
        <f>O122*(1+P$99)^($E112*P$100)*(1+P$101)*IF(Rebate_Industry!O$106&lt;=0,1,Rebate_Industry!P$106/Rebate_Industry!O$106)^$F112*(IF(O95&lt;=0,1,P95/O95)^$G112/(1+$H112+$I112))^(1+$F112)</f>
        <v>0</v>
      </c>
      <c r="Q122" s="24">
        <f>P122*(1+Q$99)^($E112*Q$100)*(1+Q$101)*IF(Rebate_Industry!P$106&lt;=0,1,Rebate_Industry!Q$106/Rebate_Industry!P$106)^$F112*(IF(P95&lt;=0,1,Q95/P95)^$G112/(1+$H112+$I112))^(1+$F112)</f>
        <v>0</v>
      </c>
      <c r="R122" s="24">
        <f>Q122*(1+R$99)^($E112*R$100)*(1+R$101)*IF(Rebate_Industry!Q$106&lt;=0,1,Rebate_Industry!R$106/Rebate_Industry!Q$106)^$F112*(IF(Q95&lt;=0,1,R95/Q95)^$G112/(1+$H112+$I112))^(1+$F112)</f>
        <v>0</v>
      </c>
      <c r="S122" s="24">
        <f>R122*(1+S$99)^($E112*S$100)*(1+S$101)*IF(Rebate_Industry!R$106&lt;=0,1,Rebate_Industry!S$106/Rebate_Industry!R$106)^$F112*(IF(R95&lt;=0,1,S95/R95)^$G112/(1+$H112+$I112))^(1+$F112)</f>
        <v>0</v>
      </c>
      <c r="T122" s="24">
        <f>S122*(1+T$99)^($E112*T$100)*(1+T$101)*IF(Rebate_Industry!S$106&lt;=0,1,Rebate_Industry!T$106/Rebate_Industry!S$106)^$F112*(IF(S95&lt;=0,1,T95/S95)^$G112/(1+$H112+$I112))^(1+$F112)</f>
        <v>0</v>
      </c>
      <c r="U122" s="24">
        <f>T122*(1+U$99)^($E112*U$100)*(1+U$101)*IF(Rebate_Industry!T$106&lt;=0,1,Rebate_Industry!U$106/Rebate_Industry!T$106)^$F112*(IF(T95&lt;=0,1,U95/T95)^$G112/(1+$H112+$I112))^(1+$F112)</f>
        <v>0</v>
      </c>
      <c r="V122" s="24">
        <f>U122*(1+V$99)^($E112*V$100)*(1+V$101)*IF(Rebate_Industry!U$106&lt;=0,1,Rebate_Industry!V$106/Rebate_Industry!U$106)^$F112*(IF(U95&lt;=0,1,V95/U95)^$G112/(1+$H112+$I112))^(1+$F112)</f>
        <v>0</v>
      </c>
      <c r="W122" s="24">
        <f>V122*(1+W$99)^($E112*W$100)*(1+W$101)*IF(Rebate_Industry!V$106&lt;=0,1,Rebate_Industry!W$106/Rebate_Industry!V$106)^$F112*(IF(V95&lt;=0,1,W95/V95)^$G112/(1+$H112+$I112))^(1+$F112)</f>
        <v>0</v>
      </c>
      <c r="X122" s="24">
        <f>W122*(1+X$99)^($E112*X$100)*(1+X$101)*IF(Rebate_Industry!W$106&lt;=0,1,Rebate_Industry!X$106/Rebate_Industry!W$106)^$F112*(IF(W95&lt;=0,1,X95/W95)^$G112/(1+$H112+$I112))^(1+$F112)</f>
        <v>0</v>
      </c>
      <c r="Y122" s="24">
        <f>X122*(1+Y$99)^($E112*Y$100)*(1+Y$101)*IF(Rebate_Industry!X$106&lt;=0,1,Rebate_Industry!Y$106/Rebate_Industry!X$106)^$F112*(IF(X95&lt;=0,1,Y95/X95)^$G112/(1+$H112+$I112))^(1+$F112)</f>
        <v>0</v>
      </c>
      <c r="Z122" s="24">
        <f>Y122*(1+Z$99)^($E112*Z$100)*(1+Z$101)*IF(Rebate_Industry!Y$106&lt;=0,1,Rebate_Industry!Z$106/Rebate_Industry!Y$106)^$F112*(IF(Y95&lt;=0,1,Z95/Y95)^$G112/(1+$H112+$I112))^(1+$F112)</f>
        <v>0</v>
      </c>
      <c r="AA122" s="24">
        <f>Z122*(1+AA$99)^($E112*AA$100)*(1+AA$101)*IF(Rebate_Industry!Z$106&lt;=0,1,Rebate_Industry!AA$106/Rebate_Industry!Z$106)^$F112*(IF(Z95&lt;=0,1,AA95/Z95)^$G112/(1+$H112+$I112))^(1+$F112)</f>
        <v>0</v>
      </c>
      <c r="AB122" s="24">
        <f>AA122*(1+AB$99)^($E112*AB$100)*(1+AB$101)*IF(Rebate_Industry!AA$106&lt;=0,1,Rebate_Industry!AB$106/Rebate_Industry!AA$106)^$F112*(IF(AA95&lt;=0,1,AB95/AA95)^$G112/(1+$H112+$I112))^(1+$F112)</f>
        <v>0</v>
      </c>
      <c r="AC122" s="24">
        <f>AB122*(1+AC$99)^($E112*AC$100)*(1+AC$101)*IF(Rebate_Industry!AB$106&lt;=0,1,Rebate_Industry!AC$106/Rebate_Industry!AB$106)^$F112*(IF(AB95&lt;=0,1,AC95/AB95)^$G112/(1+$H112+$I112))^(1+$F112)</f>
        <v>0</v>
      </c>
      <c r="AD122" s="24">
        <f>AC122*(1+AD$99)^($E112*AD$100)*(1+AD$101)*IF(Rebate_Industry!AC$106&lt;=0,1,Rebate_Industry!AD$106/Rebate_Industry!AC$106)^$F112*(IF(AC95&lt;=0,1,AD95/AC95)^$G112/(1+$H112+$I112))^(1+$F112)</f>
        <v>0</v>
      </c>
      <c r="AE122" s="24">
        <f>AD122*(1+AE$99)^($E112*AE$100)*(1+AE$101)*IF(Rebate_Industry!AD$106&lt;=0,1,Rebate_Industry!AE$106/Rebate_Industry!AD$106)^$F112*(IF(AD95&lt;=0,1,AE95/AD95)^$G112/(1+$H112+$I112))^(1+$F112)</f>
        <v>0</v>
      </c>
    </row>
    <row r="123" spans="1:35" x14ac:dyDescent="0.45">
      <c r="B123" s="14" t="s">
        <v>110</v>
      </c>
      <c r="C123" s="14" t="str">
        <f t="shared" si="10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11">SUM(L114:L122)</f>
        <v>3210.4467592248702</v>
      </c>
      <c r="M123" s="26">
        <f t="shared" si="11"/>
        <v>2690.3404093921163</v>
      </c>
      <c r="N123" s="26">
        <f t="shared" si="11"/>
        <v>3047.5360888007326</v>
      </c>
      <c r="O123" s="26">
        <f t="shared" si="11"/>
        <v>3240.6928223889822</v>
      </c>
      <c r="P123" s="26">
        <f t="shared" si="11"/>
        <v>3273.2119677539522</v>
      </c>
      <c r="Q123" s="26">
        <f t="shared" si="11"/>
        <v>3368.2133423743344</v>
      </c>
      <c r="R123" s="26">
        <f t="shared" si="11"/>
        <v>3502.9215016591916</v>
      </c>
      <c r="S123" s="26">
        <f t="shared" si="11"/>
        <v>3633.9883116592123</v>
      </c>
      <c r="T123" s="26">
        <f t="shared" si="11"/>
        <v>3758.7368588981471</v>
      </c>
      <c r="U123" s="26">
        <f t="shared" si="11"/>
        <v>3885.4504831789814</v>
      </c>
      <c r="V123" s="26">
        <f t="shared" si="11"/>
        <v>4007.0693968852165</v>
      </c>
      <c r="W123" s="26">
        <f t="shared" si="11"/>
        <v>4130.9635900529229</v>
      </c>
      <c r="X123" s="26">
        <f t="shared" si="11"/>
        <v>4257.1228099657064</v>
      </c>
      <c r="Y123" s="26">
        <f t="shared" si="11"/>
        <v>4385.5352137797545</v>
      </c>
      <c r="Z123" s="26">
        <f t="shared" si="11"/>
        <v>4516.1873328951651</v>
      </c>
      <c r="AA123" s="26">
        <f t="shared" si="11"/>
        <v>4649.0640328646023</v>
      </c>
      <c r="AB123" s="26">
        <f t="shared" si="11"/>
        <v>4784.148468612525</v>
      </c>
      <c r="AC123" s="26">
        <f t="shared" si="11"/>
        <v>4921.422034746156</v>
      </c>
      <c r="AD123" s="26">
        <f t="shared" si="11"/>
        <v>5060.864310747279</v>
      </c>
      <c r="AE123" s="26">
        <f t="shared" si="11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12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12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12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12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12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12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12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12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12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13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13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13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13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13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13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13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13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13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14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14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14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14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14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14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14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14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14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15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15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15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15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15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15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15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15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15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16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I174" t="s">
        <v>2373</v>
      </c>
      <c r="L174" s="47">
        <f>INDEX(Data_Energy!$D$3:$U$22,MATCH($B174,Data_Energy!$C$3:$C$22,0),MATCH($C174,Data_Energy!$D$2:$U$2,0))</f>
        <v>0</v>
      </c>
      <c r="M174" s="24">
        <f>L174*(1+M$159)^($E164*M$160)*(1+M$161)*IF(Rebate_Industry!L$112&lt;=0,1,Rebate_Industry!M$112/Rebate_Industry!L$112)^$F164*(IF(L147&lt;=0,1,M147/L147)^$G164/(1+$H164+$I164))^(1+$F164)</f>
        <v>0</v>
      </c>
      <c r="N174" s="24">
        <f>M174*(1+N$159)^($E164*N$160)*(1+N$161)*IF(Rebate_Industry!M$112&lt;=0,1,Rebate_Industry!N$112/Rebate_Industry!M$112)^$F164*(IF(M147&lt;=0,1,N147/M147)^$G164/(1+$H164+$I164))^(1+$F164)</f>
        <v>0</v>
      </c>
      <c r="O174" s="24">
        <f>N174*(1+O$159)^($E164*O$160)*(1+O$161)*IF(Rebate_Industry!N$112&lt;=0,1,Rebate_Industry!O$112/Rebate_Industry!N$112)^$F164*(IF(N147&lt;=0,1,O147/N147)^$G164/(1+$H164+$I164))^(1+$F164)</f>
        <v>0</v>
      </c>
      <c r="P174" s="24">
        <f>O174*(1+P$159)^($E164*P$160)*(1+P$161)*IF(Rebate_Industry!O$112&lt;=0,1,Rebate_Industry!P$112/Rebate_Industry!O$112)^$F164*(IF(O147&lt;=0,1,P147/O147)^$G164/(1+$H164+$I164))^(1+$F164)</f>
        <v>0</v>
      </c>
      <c r="Q174" s="24">
        <f>P174*(1+Q$159)^($E164*Q$160)*(1+Q$161)*IF(Rebate_Industry!P$112&lt;=0,1,Rebate_Industry!Q$112/Rebate_Industry!P$112)^$F164*(IF(P147&lt;=0,1,Q147/P147)^$G164/(1+$H164+$I164))^(1+$F164)</f>
        <v>0</v>
      </c>
      <c r="R174" s="24">
        <f>Q174*(1+R$159)^($E164*R$160)*(1+R$161)*IF(Rebate_Industry!Q$112&lt;=0,1,Rebate_Industry!R$112/Rebate_Industry!Q$112)^$F164*(IF(Q147&lt;=0,1,R147/Q147)^$G164/(1+$H164+$I164))^(1+$F164)</f>
        <v>0</v>
      </c>
      <c r="S174" s="24">
        <f>R174*(1+S$159)^($E164*S$160)*(1+S$161)*IF(Rebate_Industry!R$112&lt;=0,1,Rebate_Industry!S$112/Rebate_Industry!R$112)^$F164*(IF(R147&lt;=0,1,S147/R147)^$G164/(1+$H164+$I164))^(1+$F164)</f>
        <v>0</v>
      </c>
      <c r="T174" s="24">
        <f>S174*(1+T$159)^($E164*T$160)*(1+T$161)*IF(Rebate_Industry!S$112&lt;=0,1,Rebate_Industry!T$112/Rebate_Industry!S$112)^$F164*(IF(S147&lt;=0,1,T147/S147)^$G164/(1+$H164+$I164))^(1+$F164)</f>
        <v>0</v>
      </c>
      <c r="U174" s="24">
        <f>T174*(1+U$159)^($E164*U$160)*(1+U$161)*IF(Rebate_Industry!T$112&lt;=0,1,Rebate_Industry!U$112/Rebate_Industry!T$112)^$F164*(IF(T147&lt;=0,1,U147/T147)^$G164/(1+$H164+$I164))^(1+$F164)</f>
        <v>0</v>
      </c>
      <c r="V174" s="24">
        <f>U174*(1+V$159)^($E164*V$160)*(1+V$161)*IF(Rebate_Industry!U$112&lt;=0,1,Rebate_Industry!V$112/Rebate_Industry!U$112)^$F164*(IF(U147&lt;=0,1,V147/U147)^$G164/(1+$H164+$I164))^(1+$F164)</f>
        <v>0</v>
      </c>
      <c r="W174" s="24">
        <f>V174*(1+W$159)^($E164*W$160)*(1+W$161)*IF(Rebate_Industry!V$112&lt;=0,1,Rebate_Industry!W$112/Rebate_Industry!V$112)^$F164*(IF(V147&lt;=0,1,W147/V147)^$G164/(1+$H164+$I164))^(1+$F164)</f>
        <v>0</v>
      </c>
      <c r="X174" s="24">
        <f>W174*(1+X$159)^($E164*X$160)*(1+X$161)*IF(Rebate_Industry!W$112&lt;=0,1,Rebate_Industry!X$112/Rebate_Industry!W$112)^$F164*(IF(W147&lt;=0,1,X147/W147)^$G164/(1+$H164+$I164))^(1+$F164)</f>
        <v>0</v>
      </c>
      <c r="Y174" s="24">
        <f>X174*(1+Y$159)^($E164*Y$160)*(1+Y$161)*IF(Rebate_Industry!X$112&lt;=0,1,Rebate_Industry!Y$112/Rebate_Industry!X$112)^$F164*(IF(X147&lt;=0,1,Y147/X147)^$G164/(1+$H164+$I164))^(1+$F164)</f>
        <v>0</v>
      </c>
      <c r="Z174" s="24">
        <f>Y174*(1+Z$159)^($E164*Z$160)*(1+Z$161)*IF(Rebate_Industry!Y$112&lt;=0,1,Rebate_Industry!Z$112/Rebate_Industry!Y$112)^$F164*(IF(Y147&lt;=0,1,Z147/Y147)^$G164/(1+$H164+$I164))^(1+$F164)</f>
        <v>0</v>
      </c>
      <c r="AA174" s="24">
        <f>Z174*(1+AA$159)^($E164*AA$160)*(1+AA$161)*IF(Rebate_Industry!Z$112&lt;=0,1,Rebate_Industry!AA$112/Rebate_Industry!Z$112)^$F164*(IF(Z147&lt;=0,1,AA147/Z147)^$G164/(1+$H164+$I164))^(1+$F164)</f>
        <v>0</v>
      </c>
      <c r="AB174" s="24">
        <f>AA174*(1+AB$159)^($E164*AB$160)*(1+AB$161)*IF(Rebate_Industry!AA$112&lt;=0,1,Rebate_Industry!AB$112/Rebate_Industry!AA$112)^$F164*(IF(AA147&lt;=0,1,AB147/AA147)^$G164/(1+$H164+$I164))^(1+$F164)</f>
        <v>0</v>
      </c>
      <c r="AC174" s="24">
        <f>AB174*(1+AC$159)^($E164*AC$160)*(1+AC$161)*IF(Rebate_Industry!AB$112&lt;=0,1,Rebate_Industry!AC$112/Rebate_Industry!AB$112)^$F164*(IF(AB147&lt;=0,1,AC147/AB147)^$G164/(1+$H164+$I164))^(1+$F164)</f>
        <v>0</v>
      </c>
      <c r="AD174" s="24">
        <f>AC174*(1+AD$159)^($E164*AD$160)*(1+AD$161)*IF(Rebate_Industry!AC$112&lt;=0,1,Rebate_Industry!AD$112/Rebate_Industry!AC$112)^$F164*(IF(AC147&lt;=0,1,AD147/AC147)^$G164/(1+$H164+$I164))^(1+$F164)</f>
        <v>0</v>
      </c>
      <c r="AE174" s="24">
        <f>AD174*(1+AE$159)^($E164*AE$160)*(1+AE$161)*IF(Rebate_Industry!AD$112&lt;=0,1,Rebate_Industry!AE$112/Rebate_Industry!AD$112)^$F164*(IF(AD147&lt;=0,1,AE147/AD147)^$G164/(1+$H164+$I164))^(1+$F164)</f>
        <v>0</v>
      </c>
    </row>
    <row r="175" spans="2:31" x14ac:dyDescent="0.45">
      <c r="B175" s="14" t="s">
        <v>53</v>
      </c>
      <c r="C175" s="14" t="str">
        <f t="shared" si="16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I175" t="s">
        <v>2374</v>
      </c>
      <c r="L175" s="47">
        <f>INDEX(Data_Energy!$D$3:$U$22,MATCH($B175,Data_Energy!$C$3:$C$22,0),MATCH($C175,Data_Energy!$D$2:$U$2,0))</f>
        <v>0</v>
      </c>
      <c r="M175" s="24">
        <f>L175*(1+M$159)^($E165*M$160)*(1+M$161)*IF(Rebate_Industry!L$113&lt;=0,1,Rebate_Industry!M$113/Rebate_Industry!L$113)^$F165*(IF(L148&lt;=0,1,M148/L148)^$G165/(1+$H165+$I165))^(1+$F165)</f>
        <v>0</v>
      </c>
      <c r="N175" s="24">
        <f>M175*(1+N$159)^($E165*N$160)*(1+N$161)*IF(Rebate_Industry!M$113&lt;=0,1,Rebate_Industry!N$113/Rebate_Industry!M$113)^$F165*(IF(M148&lt;=0,1,N148/M148)^$G165/(1+$H165+$I165))^(1+$F165)</f>
        <v>0</v>
      </c>
      <c r="O175" s="24">
        <f>N175*(1+O$159)^($E165*O$160)*(1+O$161)*IF(Rebate_Industry!N$113&lt;=0,1,Rebate_Industry!O$113/Rebate_Industry!N$113)^$F165*(IF(N148&lt;=0,1,O148/N148)^$G165/(1+$H165+$I165))^(1+$F165)</f>
        <v>0</v>
      </c>
      <c r="P175" s="24">
        <f>O175*(1+P$159)^($E165*P$160)*(1+P$161)*IF(Rebate_Industry!O$113&lt;=0,1,Rebate_Industry!P$113/Rebate_Industry!O$113)^$F165*(IF(O148&lt;=0,1,P148/O148)^$G165/(1+$H165+$I165))^(1+$F165)</f>
        <v>0</v>
      </c>
      <c r="Q175" s="24">
        <f>P175*(1+Q$159)^($E165*Q$160)*(1+Q$161)*IF(Rebate_Industry!P$113&lt;=0,1,Rebate_Industry!Q$113/Rebate_Industry!P$113)^$F165*(IF(P148&lt;=0,1,Q148/P148)^$G165/(1+$H165+$I165))^(1+$F165)</f>
        <v>0</v>
      </c>
      <c r="R175" s="24">
        <f>Q175*(1+R$159)^($E165*R$160)*(1+R$161)*IF(Rebate_Industry!Q$113&lt;=0,1,Rebate_Industry!R$113/Rebate_Industry!Q$113)^$F165*(IF(Q148&lt;=0,1,R148/Q148)^$G165/(1+$H165+$I165))^(1+$F165)</f>
        <v>0</v>
      </c>
      <c r="S175" s="24">
        <f>R175*(1+S$159)^($E165*S$160)*(1+S$161)*IF(Rebate_Industry!R$113&lt;=0,1,Rebate_Industry!S$113/Rebate_Industry!R$113)^$F165*(IF(R148&lt;=0,1,S148/R148)^$G165/(1+$H165+$I165))^(1+$F165)</f>
        <v>0</v>
      </c>
      <c r="T175" s="24">
        <f>S175*(1+T$159)^($E165*T$160)*(1+T$161)*IF(Rebate_Industry!S$113&lt;=0,1,Rebate_Industry!T$113/Rebate_Industry!S$113)^$F165*(IF(S148&lt;=0,1,T148/S148)^$G165/(1+$H165+$I165))^(1+$F165)</f>
        <v>0</v>
      </c>
      <c r="U175" s="24">
        <f>T175*(1+U$159)^($E165*U$160)*(1+U$161)*IF(Rebate_Industry!T$113&lt;=0,1,Rebate_Industry!U$113/Rebate_Industry!T$113)^$F165*(IF(T148&lt;=0,1,U148/T148)^$G165/(1+$H165+$I165))^(1+$F165)</f>
        <v>0</v>
      </c>
      <c r="V175" s="24">
        <f>U175*(1+V$159)^($E165*V$160)*(1+V$161)*IF(Rebate_Industry!U$113&lt;=0,1,Rebate_Industry!V$113/Rebate_Industry!U$113)^$F165*(IF(U148&lt;=0,1,V148/U148)^$G165/(1+$H165+$I165))^(1+$F165)</f>
        <v>0</v>
      </c>
      <c r="W175" s="24">
        <f>V175*(1+W$159)^($E165*W$160)*(1+W$161)*IF(Rebate_Industry!V$113&lt;=0,1,Rebate_Industry!W$113/Rebate_Industry!V$113)^$F165*(IF(V148&lt;=0,1,W148/V148)^$G165/(1+$H165+$I165))^(1+$F165)</f>
        <v>0</v>
      </c>
      <c r="X175" s="24">
        <f>W175*(1+X$159)^($E165*X$160)*(1+X$161)*IF(Rebate_Industry!W$113&lt;=0,1,Rebate_Industry!X$113/Rebate_Industry!W$113)^$F165*(IF(W148&lt;=0,1,X148/W148)^$G165/(1+$H165+$I165))^(1+$F165)</f>
        <v>0</v>
      </c>
      <c r="Y175" s="24">
        <f>X175*(1+Y$159)^($E165*Y$160)*(1+Y$161)*IF(Rebate_Industry!X$113&lt;=0,1,Rebate_Industry!Y$113/Rebate_Industry!X$113)^$F165*(IF(X148&lt;=0,1,Y148/X148)^$G165/(1+$H165+$I165))^(1+$F165)</f>
        <v>0</v>
      </c>
      <c r="Z175" s="24">
        <f>Y175*(1+Z$159)^($E165*Z$160)*(1+Z$161)*IF(Rebate_Industry!Y$113&lt;=0,1,Rebate_Industry!Z$113/Rebate_Industry!Y$113)^$F165*(IF(Y148&lt;=0,1,Z148/Y148)^$G165/(1+$H165+$I165))^(1+$F165)</f>
        <v>0</v>
      </c>
      <c r="AA175" s="24">
        <f>Z175*(1+AA$159)^($E165*AA$160)*(1+AA$161)*IF(Rebate_Industry!Z$113&lt;=0,1,Rebate_Industry!AA$113/Rebate_Industry!Z$113)^$F165*(IF(Z148&lt;=0,1,AA148/Z148)^$G165/(1+$H165+$I165))^(1+$F165)</f>
        <v>0</v>
      </c>
      <c r="AB175" s="24">
        <f>AA175*(1+AB$159)^($E165*AB$160)*(1+AB$161)*IF(Rebate_Industry!AA$113&lt;=0,1,Rebate_Industry!AB$113/Rebate_Industry!AA$113)^$F165*(IF(AA148&lt;=0,1,AB148/AA148)^$G165/(1+$H165+$I165))^(1+$F165)</f>
        <v>0</v>
      </c>
      <c r="AC175" s="24">
        <f>AB175*(1+AC$159)^($E165*AC$160)*(1+AC$161)*IF(Rebate_Industry!AB$113&lt;=0,1,Rebate_Industry!AC$113/Rebate_Industry!AB$113)^$F165*(IF(AB148&lt;=0,1,AC148/AB148)^$G165/(1+$H165+$I165))^(1+$F165)</f>
        <v>0</v>
      </c>
      <c r="AD175" s="24">
        <f>AC175*(1+AD$159)^($E165*AD$160)*(1+AD$161)*IF(Rebate_Industry!AC$113&lt;=0,1,Rebate_Industry!AD$113/Rebate_Industry!AC$113)^$F165*(IF(AC148&lt;=0,1,AD148/AC148)^$G165/(1+$H165+$I165))^(1+$F165)</f>
        <v>0</v>
      </c>
      <c r="AE175" s="24">
        <f>AD175*(1+AE$159)^($E165*AE$160)*(1+AE$161)*IF(Rebate_Industry!AD$113&lt;=0,1,Rebate_Industry!AE$113/Rebate_Industry!AD$113)^$F165*(IF(AD148&lt;=0,1,AE148/AD148)^$G165/(1+$H165+$I165))^(1+$F165)</f>
        <v>0</v>
      </c>
    </row>
    <row r="176" spans="2:31" x14ac:dyDescent="0.45">
      <c r="B176" s="14" t="s">
        <v>55</v>
      </c>
      <c r="C176" s="14" t="str">
        <f t="shared" si="16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I176" t="s">
        <v>2375</v>
      </c>
      <c r="L176" s="47">
        <f>INDEX(Data_Energy!$D$3:$U$22,MATCH($B176,Data_Energy!$C$3:$C$22,0),MATCH($C176,Data_Energy!$D$2:$U$2,0))</f>
        <v>0</v>
      </c>
      <c r="M176" s="24">
        <f>L176*(1+M$159)^($E166*M$160)*(1+M$161)*IF(Rebate_Industry!L$114&lt;=0,1,Rebate_Industry!M$114/Rebate_Industry!L$114)^$F166*(IF(L149&lt;=0,1,M149/L149)^$G166/(1+$H166+$I166))^(1+$F166)</f>
        <v>0</v>
      </c>
      <c r="N176" s="24">
        <f>M176*(1+N$159)^($E166*N$160)*(1+N$161)*IF(Rebate_Industry!M$114&lt;=0,1,Rebate_Industry!N$114/Rebate_Industry!M$114)^$F166*(IF(M149&lt;=0,1,N149/M149)^$G166/(1+$H166+$I166))^(1+$F166)</f>
        <v>0</v>
      </c>
      <c r="O176" s="24">
        <f>N176*(1+O$159)^($E166*O$160)*(1+O$161)*IF(Rebate_Industry!N$114&lt;=0,1,Rebate_Industry!O$114/Rebate_Industry!N$114)^$F166*(IF(N149&lt;=0,1,O149/N149)^$G166/(1+$H166+$I166))^(1+$F166)</f>
        <v>0</v>
      </c>
      <c r="P176" s="24">
        <f>O176*(1+P$159)^($E166*P$160)*(1+P$161)*IF(Rebate_Industry!O$114&lt;=0,1,Rebate_Industry!P$114/Rebate_Industry!O$114)^$F166*(IF(O149&lt;=0,1,P149/O149)^$G166/(1+$H166+$I166))^(1+$F166)</f>
        <v>0</v>
      </c>
      <c r="Q176" s="24">
        <f>P176*(1+Q$159)^($E166*Q$160)*(1+Q$161)*IF(Rebate_Industry!P$114&lt;=0,1,Rebate_Industry!Q$114/Rebate_Industry!P$114)^$F166*(IF(P149&lt;=0,1,Q149/P149)^$G166/(1+$H166+$I166))^(1+$F166)</f>
        <v>0</v>
      </c>
      <c r="R176" s="24">
        <f>Q176*(1+R$159)^($E166*R$160)*(1+R$161)*IF(Rebate_Industry!Q$114&lt;=0,1,Rebate_Industry!R$114/Rebate_Industry!Q$114)^$F166*(IF(Q149&lt;=0,1,R149/Q149)^$G166/(1+$H166+$I166))^(1+$F166)</f>
        <v>0</v>
      </c>
      <c r="S176" s="24">
        <f>R176*(1+S$159)^($E166*S$160)*(1+S$161)*IF(Rebate_Industry!R$114&lt;=0,1,Rebate_Industry!S$114/Rebate_Industry!R$114)^$F166*(IF(R149&lt;=0,1,S149/R149)^$G166/(1+$H166+$I166))^(1+$F166)</f>
        <v>0</v>
      </c>
      <c r="T176" s="24">
        <f>S176*(1+T$159)^($E166*T$160)*(1+T$161)*IF(Rebate_Industry!S$114&lt;=0,1,Rebate_Industry!T$114/Rebate_Industry!S$114)^$F166*(IF(S149&lt;=0,1,T149/S149)^$G166/(1+$H166+$I166))^(1+$F166)</f>
        <v>0</v>
      </c>
      <c r="U176" s="24">
        <f>T176*(1+U$159)^($E166*U$160)*(1+U$161)*IF(Rebate_Industry!T$114&lt;=0,1,Rebate_Industry!U$114/Rebate_Industry!T$114)^$F166*(IF(T149&lt;=0,1,U149/T149)^$G166/(1+$H166+$I166))^(1+$F166)</f>
        <v>0</v>
      </c>
      <c r="V176" s="24">
        <f>U176*(1+V$159)^($E166*V$160)*(1+V$161)*IF(Rebate_Industry!U$114&lt;=0,1,Rebate_Industry!V$114/Rebate_Industry!U$114)^$F166*(IF(U149&lt;=0,1,V149/U149)^$G166/(1+$H166+$I166))^(1+$F166)</f>
        <v>0</v>
      </c>
      <c r="W176" s="24">
        <f>V176*(1+W$159)^($E166*W$160)*(1+W$161)*IF(Rebate_Industry!V$114&lt;=0,1,Rebate_Industry!W$114/Rebate_Industry!V$114)^$F166*(IF(V149&lt;=0,1,W149/V149)^$G166/(1+$H166+$I166))^(1+$F166)</f>
        <v>0</v>
      </c>
      <c r="X176" s="24">
        <f>W176*(1+X$159)^($E166*X$160)*(1+X$161)*IF(Rebate_Industry!W$114&lt;=0,1,Rebate_Industry!X$114/Rebate_Industry!W$114)^$F166*(IF(W149&lt;=0,1,X149/W149)^$G166/(1+$H166+$I166))^(1+$F166)</f>
        <v>0</v>
      </c>
      <c r="Y176" s="24">
        <f>X176*(1+Y$159)^($E166*Y$160)*(1+Y$161)*IF(Rebate_Industry!X$114&lt;=0,1,Rebate_Industry!Y$114/Rebate_Industry!X$114)^$F166*(IF(X149&lt;=0,1,Y149/X149)^$G166/(1+$H166+$I166))^(1+$F166)</f>
        <v>0</v>
      </c>
      <c r="Z176" s="24">
        <f>Y176*(1+Z$159)^($E166*Z$160)*(1+Z$161)*IF(Rebate_Industry!Y$114&lt;=0,1,Rebate_Industry!Z$114/Rebate_Industry!Y$114)^$F166*(IF(Y149&lt;=0,1,Z149/Y149)^$G166/(1+$H166+$I166))^(1+$F166)</f>
        <v>0</v>
      </c>
      <c r="AA176" s="24">
        <f>Z176*(1+AA$159)^($E166*AA$160)*(1+AA$161)*IF(Rebate_Industry!Z$114&lt;=0,1,Rebate_Industry!AA$114/Rebate_Industry!Z$114)^$F166*(IF(Z149&lt;=0,1,AA149/Z149)^$G166/(1+$H166+$I166))^(1+$F166)</f>
        <v>0</v>
      </c>
      <c r="AB176" s="24">
        <f>AA176*(1+AB$159)^($E166*AB$160)*(1+AB$161)*IF(Rebate_Industry!AA$114&lt;=0,1,Rebate_Industry!AB$114/Rebate_Industry!AA$114)^$F166*(IF(AA149&lt;=0,1,AB149/AA149)^$G166/(1+$H166+$I166))^(1+$F166)</f>
        <v>0</v>
      </c>
      <c r="AC176" s="24">
        <f>AB176*(1+AC$159)^($E166*AC$160)*(1+AC$161)*IF(Rebate_Industry!AB$114&lt;=0,1,Rebate_Industry!AC$114/Rebate_Industry!AB$114)^$F166*(IF(AB149&lt;=0,1,AC149/AB149)^$G166/(1+$H166+$I166))^(1+$F166)</f>
        <v>0</v>
      </c>
      <c r="AD176" s="24">
        <f>AC176*(1+AD$159)^($E166*AD$160)*(1+AD$161)*IF(Rebate_Industry!AC$114&lt;=0,1,Rebate_Industry!AD$114/Rebate_Industry!AC$114)^$F166*(IF(AC149&lt;=0,1,AD149/AC149)^$G166/(1+$H166+$I166))^(1+$F166)</f>
        <v>0</v>
      </c>
      <c r="AE176" s="24">
        <f>AD176*(1+AE$159)^($E166*AE$160)*(1+AE$161)*IF(Rebate_Industry!AD$114&lt;=0,1,Rebate_Industry!AE$114/Rebate_Industry!AD$114)^$F166*(IF(AD149&lt;=0,1,AE149/AD149)^$G166/(1+$H166+$I166))^(1+$F166)</f>
        <v>0</v>
      </c>
    </row>
    <row r="177" spans="1:35" x14ac:dyDescent="0.45">
      <c r="B177" s="14" t="s">
        <v>58</v>
      </c>
      <c r="C177" s="14" t="str">
        <f t="shared" si="16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I177" t="s">
        <v>2376</v>
      </c>
      <c r="L177" s="47">
        <f>INDEX(Data_Energy!$D$3:$U$22,MATCH($B177,Data_Energy!$C$3:$C$22,0),MATCH($C177,Data_Energy!$D$2:$U$2,0))</f>
        <v>0</v>
      </c>
      <c r="M177" s="24">
        <f>L177*(1+M$159)^($E167*M$160)*(1+M$161)*IF(Rebate_Industry!L$115&lt;=0,1,Rebate_Industry!M$115/Rebate_Industry!L$115)^$F167*(IF(L150&lt;=0,1,M150/L150)^$G167/(1+$H167+$I167))^(1+$F167)</f>
        <v>0</v>
      </c>
      <c r="N177" s="24">
        <f>M177*(1+N$159)^($E167*N$160)*(1+N$161)*IF(Rebate_Industry!M$115&lt;=0,1,Rebate_Industry!N$115/Rebate_Industry!M$115)^$F167*(IF(M150&lt;=0,1,N150/M150)^$G167/(1+$H167+$I167))^(1+$F167)</f>
        <v>0</v>
      </c>
      <c r="O177" s="24">
        <f>N177*(1+O$159)^($E167*O$160)*(1+O$161)*IF(Rebate_Industry!N$115&lt;=0,1,Rebate_Industry!O$115/Rebate_Industry!N$115)^$F167*(IF(N150&lt;=0,1,O150/N150)^$G167/(1+$H167+$I167))^(1+$F167)</f>
        <v>0</v>
      </c>
      <c r="P177" s="24">
        <f>O177*(1+P$159)^($E167*P$160)*(1+P$161)*IF(Rebate_Industry!O$115&lt;=0,1,Rebate_Industry!P$115/Rebate_Industry!O$115)^$F167*(IF(O150&lt;=0,1,P150/O150)^$G167/(1+$H167+$I167))^(1+$F167)</f>
        <v>0</v>
      </c>
      <c r="Q177" s="24">
        <f>P177*(1+Q$159)^($E167*Q$160)*(1+Q$161)*IF(Rebate_Industry!P$115&lt;=0,1,Rebate_Industry!Q$115/Rebate_Industry!P$115)^$F167*(IF(P150&lt;=0,1,Q150/P150)^$G167/(1+$H167+$I167))^(1+$F167)</f>
        <v>0</v>
      </c>
      <c r="R177" s="24">
        <f>Q177*(1+R$159)^($E167*R$160)*(1+R$161)*IF(Rebate_Industry!Q$115&lt;=0,1,Rebate_Industry!R$115/Rebate_Industry!Q$115)^$F167*(IF(Q150&lt;=0,1,R150/Q150)^$G167/(1+$H167+$I167))^(1+$F167)</f>
        <v>0</v>
      </c>
      <c r="S177" s="24">
        <f>R177*(1+S$159)^($E167*S$160)*(1+S$161)*IF(Rebate_Industry!R$115&lt;=0,1,Rebate_Industry!S$115/Rebate_Industry!R$115)^$F167*(IF(R150&lt;=0,1,S150/R150)^$G167/(1+$H167+$I167))^(1+$F167)</f>
        <v>0</v>
      </c>
      <c r="T177" s="24">
        <f>S177*(1+T$159)^($E167*T$160)*(1+T$161)*IF(Rebate_Industry!S$115&lt;=0,1,Rebate_Industry!T$115/Rebate_Industry!S$115)^$F167*(IF(S150&lt;=0,1,T150/S150)^$G167/(1+$H167+$I167))^(1+$F167)</f>
        <v>0</v>
      </c>
      <c r="U177" s="24">
        <f>T177*(1+U$159)^($E167*U$160)*(1+U$161)*IF(Rebate_Industry!T$115&lt;=0,1,Rebate_Industry!U$115/Rebate_Industry!T$115)^$F167*(IF(T150&lt;=0,1,U150/T150)^$G167/(1+$H167+$I167))^(1+$F167)</f>
        <v>0</v>
      </c>
      <c r="V177" s="24">
        <f>U177*(1+V$159)^($E167*V$160)*(1+V$161)*IF(Rebate_Industry!U$115&lt;=0,1,Rebate_Industry!V$115/Rebate_Industry!U$115)^$F167*(IF(U150&lt;=0,1,V150/U150)^$G167/(1+$H167+$I167))^(1+$F167)</f>
        <v>0</v>
      </c>
      <c r="W177" s="24">
        <f>V177*(1+W$159)^($E167*W$160)*(1+W$161)*IF(Rebate_Industry!V$115&lt;=0,1,Rebate_Industry!W$115/Rebate_Industry!V$115)^$F167*(IF(V150&lt;=0,1,W150/V150)^$G167/(1+$H167+$I167))^(1+$F167)</f>
        <v>0</v>
      </c>
      <c r="X177" s="24">
        <f>W177*(1+X$159)^($E167*X$160)*(1+X$161)*IF(Rebate_Industry!W$115&lt;=0,1,Rebate_Industry!X$115/Rebate_Industry!W$115)^$F167*(IF(W150&lt;=0,1,X150/W150)^$G167/(1+$H167+$I167))^(1+$F167)</f>
        <v>0</v>
      </c>
      <c r="Y177" s="24">
        <f>X177*(1+Y$159)^($E167*Y$160)*(1+Y$161)*IF(Rebate_Industry!X$115&lt;=0,1,Rebate_Industry!Y$115/Rebate_Industry!X$115)^$F167*(IF(X150&lt;=0,1,Y150/X150)^$G167/(1+$H167+$I167))^(1+$F167)</f>
        <v>0</v>
      </c>
      <c r="Z177" s="24">
        <f>Y177*(1+Z$159)^($E167*Z$160)*(1+Z$161)*IF(Rebate_Industry!Y$115&lt;=0,1,Rebate_Industry!Z$115/Rebate_Industry!Y$115)^$F167*(IF(Y150&lt;=0,1,Z150/Y150)^$G167/(1+$H167+$I167))^(1+$F167)</f>
        <v>0</v>
      </c>
      <c r="AA177" s="24">
        <f>Z177*(1+AA$159)^($E167*AA$160)*(1+AA$161)*IF(Rebate_Industry!Z$115&lt;=0,1,Rebate_Industry!AA$115/Rebate_Industry!Z$115)^$F167*(IF(Z150&lt;=0,1,AA150/Z150)^$G167/(1+$H167+$I167))^(1+$F167)</f>
        <v>0</v>
      </c>
      <c r="AB177" s="24">
        <f>AA177*(1+AB$159)^($E167*AB$160)*(1+AB$161)*IF(Rebate_Industry!AA$115&lt;=0,1,Rebate_Industry!AB$115/Rebate_Industry!AA$115)^$F167*(IF(AA150&lt;=0,1,AB150/AA150)^$G167/(1+$H167+$I167))^(1+$F167)</f>
        <v>0</v>
      </c>
      <c r="AC177" s="24">
        <f>AB177*(1+AC$159)^($E167*AC$160)*(1+AC$161)*IF(Rebate_Industry!AB$115&lt;=0,1,Rebate_Industry!AC$115/Rebate_Industry!AB$115)^$F167*(IF(AB150&lt;=0,1,AC150/AB150)^$G167/(1+$H167+$I167))^(1+$F167)</f>
        <v>0</v>
      </c>
      <c r="AD177" s="24">
        <f>AC177*(1+AD$159)^($E167*AD$160)*(1+AD$161)*IF(Rebate_Industry!AC$115&lt;=0,1,Rebate_Industry!AD$115/Rebate_Industry!AC$115)^$F167*(IF(AC150&lt;=0,1,AD150/AC150)^$G167/(1+$H167+$I167))^(1+$F167)</f>
        <v>0</v>
      </c>
      <c r="AE177" s="24">
        <f>AD177*(1+AE$159)^($E167*AE$160)*(1+AE$161)*IF(Rebate_Industry!AD$115&lt;=0,1,Rebate_Industry!AE$115/Rebate_Industry!AD$115)^$F167*(IF(AD150&lt;=0,1,AE150/AD150)^$G167/(1+$H167+$I167))^(1+$F167)</f>
        <v>0</v>
      </c>
    </row>
    <row r="178" spans="1:35" x14ac:dyDescent="0.45">
      <c r="B178" s="14" t="s">
        <v>60</v>
      </c>
      <c r="C178" s="14" t="str">
        <f t="shared" si="16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I178" t="s">
        <v>2377</v>
      </c>
      <c r="L178" s="47">
        <f>INDEX(Data_Energy!$D$3:$U$22,MATCH($B178,Data_Energy!$C$3:$C$22,0),MATCH($C178,Data_Energy!$D$2:$U$2,0))</f>
        <v>0</v>
      </c>
      <c r="M178" s="24">
        <f>L178*(1+M$159)^($E168*M$160)*(1+M$161)*IF(Rebate_Industry!L$116&lt;=0,1,Rebate_Industry!M$116/Rebate_Industry!L$116)^$F168*(IF(L151&lt;=0,1,M151/L151)^$G168/(1+$H168+$I168))^(1+$F168)</f>
        <v>0</v>
      </c>
      <c r="N178" s="24">
        <f>M178*(1+N$159)^($E168*N$160)*(1+N$161)*IF(Rebate_Industry!M$116&lt;=0,1,Rebate_Industry!N$116/Rebate_Industry!M$116)^$F168*(IF(M151&lt;=0,1,N151/M151)^$G168/(1+$H168+$I168))^(1+$F168)</f>
        <v>0</v>
      </c>
      <c r="O178" s="24">
        <f>N178*(1+O$159)^($E168*O$160)*(1+O$161)*IF(Rebate_Industry!N$116&lt;=0,1,Rebate_Industry!O$116/Rebate_Industry!N$116)^$F168*(IF(N151&lt;=0,1,O151/N151)^$G168/(1+$H168+$I168))^(1+$F168)</f>
        <v>0</v>
      </c>
      <c r="P178" s="24">
        <f>O178*(1+P$159)^($E168*P$160)*(1+P$161)*IF(Rebate_Industry!O$116&lt;=0,1,Rebate_Industry!P$116/Rebate_Industry!O$116)^$F168*(IF(O151&lt;=0,1,P151/O151)^$G168/(1+$H168+$I168))^(1+$F168)</f>
        <v>0</v>
      </c>
      <c r="Q178" s="24">
        <f>P178*(1+Q$159)^($E168*Q$160)*(1+Q$161)*IF(Rebate_Industry!P$116&lt;=0,1,Rebate_Industry!Q$116/Rebate_Industry!P$116)^$F168*(IF(P151&lt;=0,1,Q151/P151)^$G168/(1+$H168+$I168))^(1+$F168)</f>
        <v>0</v>
      </c>
      <c r="R178" s="24">
        <f>Q178*(1+R$159)^($E168*R$160)*(1+R$161)*IF(Rebate_Industry!Q$116&lt;=0,1,Rebate_Industry!R$116/Rebate_Industry!Q$116)^$F168*(IF(Q151&lt;=0,1,R151/Q151)^$G168/(1+$H168+$I168))^(1+$F168)</f>
        <v>0</v>
      </c>
      <c r="S178" s="24">
        <f>R178*(1+S$159)^($E168*S$160)*(1+S$161)*IF(Rebate_Industry!R$116&lt;=0,1,Rebate_Industry!S$116/Rebate_Industry!R$116)^$F168*(IF(R151&lt;=0,1,S151/R151)^$G168/(1+$H168+$I168))^(1+$F168)</f>
        <v>0</v>
      </c>
      <c r="T178" s="24">
        <f>S178*(1+T$159)^($E168*T$160)*(1+T$161)*IF(Rebate_Industry!S$116&lt;=0,1,Rebate_Industry!T$116/Rebate_Industry!S$116)^$F168*(IF(S151&lt;=0,1,T151/S151)^$G168/(1+$H168+$I168))^(1+$F168)</f>
        <v>0</v>
      </c>
      <c r="U178" s="24">
        <f>T178*(1+U$159)^($E168*U$160)*(1+U$161)*IF(Rebate_Industry!T$116&lt;=0,1,Rebate_Industry!U$116/Rebate_Industry!T$116)^$F168*(IF(T151&lt;=0,1,U151/T151)^$G168/(1+$H168+$I168))^(1+$F168)</f>
        <v>0</v>
      </c>
      <c r="V178" s="24">
        <f>U178*(1+V$159)^($E168*V$160)*(1+V$161)*IF(Rebate_Industry!U$116&lt;=0,1,Rebate_Industry!V$116/Rebate_Industry!U$116)^$F168*(IF(U151&lt;=0,1,V151/U151)^$G168/(1+$H168+$I168))^(1+$F168)</f>
        <v>0</v>
      </c>
      <c r="W178" s="24">
        <f>V178*(1+W$159)^($E168*W$160)*(1+W$161)*IF(Rebate_Industry!V$116&lt;=0,1,Rebate_Industry!W$116/Rebate_Industry!V$116)^$F168*(IF(V151&lt;=0,1,W151/V151)^$G168/(1+$H168+$I168))^(1+$F168)</f>
        <v>0</v>
      </c>
      <c r="X178" s="24">
        <f>W178*(1+X$159)^($E168*X$160)*(1+X$161)*IF(Rebate_Industry!W$116&lt;=0,1,Rebate_Industry!X$116/Rebate_Industry!W$116)^$F168*(IF(W151&lt;=0,1,X151/W151)^$G168/(1+$H168+$I168))^(1+$F168)</f>
        <v>0</v>
      </c>
      <c r="Y178" s="24">
        <f>X178*(1+Y$159)^($E168*Y$160)*(1+Y$161)*IF(Rebate_Industry!X$116&lt;=0,1,Rebate_Industry!Y$116/Rebate_Industry!X$116)^$F168*(IF(X151&lt;=0,1,Y151/X151)^$G168/(1+$H168+$I168))^(1+$F168)</f>
        <v>0</v>
      </c>
      <c r="Z178" s="24">
        <f>Y178*(1+Z$159)^($E168*Z$160)*(1+Z$161)*IF(Rebate_Industry!Y$116&lt;=0,1,Rebate_Industry!Z$116/Rebate_Industry!Y$116)^$F168*(IF(Y151&lt;=0,1,Z151/Y151)^$G168/(1+$H168+$I168))^(1+$F168)</f>
        <v>0</v>
      </c>
      <c r="AA178" s="24">
        <f>Z178*(1+AA$159)^($E168*AA$160)*(1+AA$161)*IF(Rebate_Industry!Z$116&lt;=0,1,Rebate_Industry!AA$116/Rebate_Industry!Z$116)^$F168*(IF(Z151&lt;=0,1,AA151/Z151)^$G168/(1+$H168+$I168))^(1+$F168)</f>
        <v>0</v>
      </c>
      <c r="AB178" s="24">
        <f>AA178*(1+AB$159)^($E168*AB$160)*(1+AB$161)*IF(Rebate_Industry!AA$116&lt;=0,1,Rebate_Industry!AB$116/Rebate_Industry!AA$116)^$F168*(IF(AA151&lt;=0,1,AB151/AA151)^$G168/(1+$H168+$I168))^(1+$F168)</f>
        <v>0</v>
      </c>
      <c r="AC178" s="24">
        <f>AB178*(1+AC$159)^($E168*AC$160)*(1+AC$161)*IF(Rebate_Industry!AB$116&lt;=0,1,Rebate_Industry!AC$116/Rebate_Industry!AB$116)^$F168*(IF(AB151&lt;=0,1,AC151/AB151)^$G168/(1+$H168+$I168))^(1+$F168)</f>
        <v>0</v>
      </c>
      <c r="AD178" s="24">
        <f>AC178*(1+AD$159)^($E168*AD$160)*(1+AD$161)*IF(Rebate_Industry!AC$116&lt;=0,1,Rebate_Industry!AD$116/Rebate_Industry!AC$116)^$F168*(IF(AC151&lt;=0,1,AD151/AC151)^$G168/(1+$H168+$I168))^(1+$F168)</f>
        <v>0</v>
      </c>
      <c r="AE178" s="24">
        <f>AD178*(1+AE$159)^($E168*AE$160)*(1+AE$161)*IF(Rebate_Industry!AD$116&lt;=0,1,Rebate_Industry!AE$116/Rebate_Industry!AD$116)^$F168*(IF(AD151&lt;=0,1,AE151/AD151)^$G168/(1+$H168+$I168))^(1+$F168)</f>
        <v>0</v>
      </c>
    </row>
    <row r="179" spans="1:35" x14ac:dyDescent="0.45">
      <c r="B179" s="14" t="s">
        <v>62</v>
      </c>
      <c r="C179" s="14" t="str">
        <f t="shared" si="16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I179" t="s">
        <v>2378</v>
      </c>
      <c r="L179" s="47">
        <f>INDEX(Data_Energy!$D$3:$U$22,MATCH($B179,Data_Energy!$C$3:$C$22,0),MATCH($C179,Data_Energy!$D$2:$U$2,0))</f>
        <v>0</v>
      </c>
      <c r="M179" s="24">
        <f>L179*(1+M$159)^($E169*M$160)*(1+M$161)*IF(Rebate_Industry!L$117&lt;=0,1,Rebate_Industry!M$117/Rebate_Industry!L$117)^$F169*(IF(L152&lt;=0,1,M152/L152)^$G169/(1+$H169+$I169))^(1+$F169)</f>
        <v>0</v>
      </c>
      <c r="N179" s="24">
        <f>M179*(1+N$159)^($E169*N$160)*(1+N$161)*IF(Rebate_Industry!M$117&lt;=0,1,Rebate_Industry!N$117/Rebate_Industry!M$117)^$F169*(IF(M152&lt;=0,1,N152/M152)^$G169/(1+$H169+$I169))^(1+$F169)</f>
        <v>0</v>
      </c>
      <c r="O179" s="24">
        <f>N179*(1+O$159)^($E169*O$160)*(1+O$161)*IF(Rebate_Industry!N$117&lt;=0,1,Rebate_Industry!O$117/Rebate_Industry!N$117)^$F169*(IF(N152&lt;=0,1,O152/N152)^$G169/(1+$H169+$I169))^(1+$F169)</f>
        <v>0</v>
      </c>
      <c r="P179" s="24">
        <f>O179*(1+P$159)^($E169*P$160)*(1+P$161)*IF(Rebate_Industry!O$117&lt;=0,1,Rebate_Industry!P$117/Rebate_Industry!O$117)^$F169*(IF(O152&lt;=0,1,P152/O152)^$G169/(1+$H169+$I169))^(1+$F169)</f>
        <v>0</v>
      </c>
      <c r="Q179" s="24">
        <f>P179*(1+Q$159)^($E169*Q$160)*(1+Q$161)*IF(Rebate_Industry!P$117&lt;=0,1,Rebate_Industry!Q$117/Rebate_Industry!P$117)^$F169*(IF(P152&lt;=0,1,Q152/P152)^$G169/(1+$H169+$I169))^(1+$F169)</f>
        <v>0</v>
      </c>
      <c r="R179" s="24">
        <f>Q179*(1+R$159)^($E169*R$160)*(1+R$161)*IF(Rebate_Industry!Q$117&lt;=0,1,Rebate_Industry!R$117/Rebate_Industry!Q$117)^$F169*(IF(Q152&lt;=0,1,R152/Q152)^$G169/(1+$H169+$I169))^(1+$F169)</f>
        <v>0</v>
      </c>
      <c r="S179" s="24">
        <f>R179*(1+S$159)^($E169*S$160)*(1+S$161)*IF(Rebate_Industry!R$117&lt;=0,1,Rebate_Industry!S$117/Rebate_Industry!R$117)^$F169*(IF(R152&lt;=0,1,S152/R152)^$G169/(1+$H169+$I169))^(1+$F169)</f>
        <v>0</v>
      </c>
      <c r="T179" s="24">
        <f>S179*(1+T$159)^($E169*T$160)*(1+T$161)*IF(Rebate_Industry!S$117&lt;=0,1,Rebate_Industry!T$117/Rebate_Industry!S$117)^$F169*(IF(S152&lt;=0,1,T152/S152)^$G169/(1+$H169+$I169))^(1+$F169)</f>
        <v>0</v>
      </c>
      <c r="U179" s="24">
        <f>T179*(1+U$159)^($E169*U$160)*(1+U$161)*IF(Rebate_Industry!T$117&lt;=0,1,Rebate_Industry!U$117/Rebate_Industry!T$117)^$F169*(IF(T152&lt;=0,1,U152/T152)^$G169/(1+$H169+$I169))^(1+$F169)</f>
        <v>0</v>
      </c>
      <c r="V179" s="24">
        <f>U179*(1+V$159)^($E169*V$160)*(1+V$161)*IF(Rebate_Industry!U$117&lt;=0,1,Rebate_Industry!V$117/Rebate_Industry!U$117)^$F169*(IF(U152&lt;=0,1,V152/U152)^$G169/(1+$H169+$I169))^(1+$F169)</f>
        <v>0</v>
      </c>
      <c r="W179" s="24">
        <f>V179*(1+W$159)^($E169*W$160)*(1+W$161)*IF(Rebate_Industry!V$117&lt;=0,1,Rebate_Industry!W$117/Rebate_Industry!V$117)^$F169*(IF(V152&lt;=0,1,W152/V152)^$G169/(1+$H169+$I169))^(1+$F169)</f>
        <v>0</v>
      </c>
      <c r="X179" s="24">
        <f>W179*(1+X$159)^($E169*X$160)*(1+X$161)*IF(Rebate_Industry!W$117&lt;=0,1,Rebate_Industry!X$117/Rebate_Industry!W$117)^$F169*(IF(W152&lt;=0,1,X152/W152)^$G169/(1+$H169+$I169))^(1+$F169)</f>
        <v>0</v>
      </c>
      <c r="Y179" s="24">
        <f>X179*(1+Y$159)^($E169*Y$160)*(1+Y$161)*IF(Rebate_Industry!X$117&lt;=0,1,Rebate_Industry!Y$117/Rebate_Industry!X$117)^$F169*(IF(X152&lt;=0,1,Y152/X152)^$G169/(1+$H169+$I169))^(1+$F169)</f>
        <v>0</v>
      </c>
      <c r="Z179" s="24">
        <f>Y179*(1+Z$159)^($E169*Z$160)*(1+Z$161)*IF(Rebate_Industry!Y$117&lt;=0,1,Rebate_Industry!Z$117/Rebate_Industry!Y$117)^$F169*(IF(Y152&lt;=0,1,Z152/Y152)^$G169/(1+$H169+$I169))^(1+$F169)</f>
        <v>0</v>
      </c>
      <c r="AA179" s="24">
        <f>Z179*(1+AA$159)^($E169*AA$160)*(1+AA$161)*IF(Rebate_Industry!Z$117&lt;=0,1,Rebate_Industry!AA$117/Rebate_Industry!Z$117)^$F169*(IF(Z152&lt;=0,1,AA152/Z152)^$G169/(1+$H169+$I169))^(1+$F169)</f>
        <v>0</v>
      </c>
      <c r="AB179" s="24">
        <f>AA179*(1+AB$159)^($E169*AB$160)*(1+AB$161)*IF(Rebate_Industry!AA$117&lt;=0,1,Rebate_Industry!AB$117/Rebate_Industry!AA$117)^$F169*(IF(AA152&lt;=0,1,AB152/AA152)^$G169/(1+$H169+$I169))^(1+$F169)</f>
        <v>0</v>
      </c>
      <c r="AC179" s="24">
        <f>AB179*(1+AC$159)^($E169*AC$160)*(1+AC$161)*IF(Rebate_Industry!AB$117&lt;=0,1,Rebate_Industry!AC$117/Rebate_Industry!AB$117)^$F169*(IF(AB152&lt;=0,1,AC152/AB152)^$G169/(1+$H169+$I169))^(1+$F169)</f>
        <v>0</v>
      </c>
      <c r="AD179" s="24">
        <f>AC179*(1+AD$159)^($E169*AD$160)*(1+AD$161)*IF(Rebate_Industry!AC$117&lt;=0,1,Rebate_Industry!AD$117/Rebate_Industry!AC$117)^$F169*(IF(AC152&lt;=0,1,AD152/AC152)^$G169/(1+$H169+$I169))^(1+$F169)</f>
        <v>0</v>
      </c>
      <c r="AE179" s="24">
        <f>AD179*(1+AE$159)^($E169*AE$160)*(1+AE$161)*IF(Rebate_Industry!AD$117&lt;=0,1,Rebate_Industry!AE$117/Rebate_Industry!AD$117)^$F169*(IF(AD152&lt;=0,1,AE152/AD152)^$G169/(1+$H169+$I169))^(1+$F169)</f>
        <v>0</v>
      </c>
    </row>
    <row r="180" spans="1:35" x14ac:dyDescent="0.45">
      <c r="B180" s="14" t="s">
        <v>64</v>
      </c>
      <c r="C180" s="14" t="str">
        <f t="shared" si="16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I180" t="s">
        <v>2379</v>
      </c>
      <c r="L180" s="47">
        <f>INDEX(Data_Energy!$D$3:$U$22,MATCH($B180,Data_Energy!$C$3:$C$22,0),MATCH($C180,Data_Energy!$D$2:$U$2,0))</f>
        <v>0</v>
      </c>
      <c r="M180" s="24">
        <f>L180*(1+M$159)^($E170*M$160)*(1+M$161)*IF(Rebate_Industry!L$118&lt;=0,1,Rebate_Industry!M$118/Rebate_Industry!L$118)^$F170*(IF(L153&lt;=0,1,M153/L153)^$G170/(1+$H170+$I170))^(1+$F170)</f>
        <v>0</v>
      </c>
      <c r="N180" s="24">
        <f>M180*(1+N$159)^($E170*N$160)*(1+N$161)*IF(Rebate_Industry!M$118&lt;=0,1,Rebate_Industry!N$118/Rebate_Industry!M$118)^$F170*(IF(M153&lt;=0,1,N153/M153)^$G170/(1+$H170+$I170))^(1+$F170)</f>
        <v>0</v>
      </c>
      <c r="O180" s="24">
        <f>N180*(1+O$159)^($E170*O$160)*(1+O$161)*IF(Rebate_Industry!N$118&lt;=0,1,Rebate_Industry!O$118/Rebate_Industry!N$118)^$F170*(IF(N153&lt;=0,1,O153/N153)^$G170/(1+$H170+$I170))^(1+$F170)</f>
        <v>0</v>
      </c>
      <c r="P180" s="24">
        <f>O180*(1+P$159)^($E170*P$160)*(1+P$161)*IF(Rebate_Industry!O$118&lt;=0,1,Rebate_Industry!P$118/Rebate_Industry!O$118)^$F170*(IF(O153&lt;=0,1,P153/O153)^$G170/(1+$H170+$I170))^(1+$F170)</f>
        <v>0</v>
      </c>
      <c r="Q180" s="24">
        <f>P180*(1+Q$159)^($E170*Q$160)*(1+Q$161)*IF(Rebate_Industry!P$118&lt;=0,1,Rebate_Industry!Q$118/Rebate_Industry!P$118)^$F170*(IF(P153&lt;=0,1,Q153/P153)^$G170/(1+$H170+$I170))^(1+$F170)</f>
        <v>0</v>
      </c>
      <c r="R180" s="24">
        <f>Q180*(1+R$159)^($E170*R$160)*(1+R$161)*IF(Rebate_Industry!Q$118&lt;=0,1,Rebate_Industry!R$118/Rebate_Industry!Q$118)^$F170*(IF(Q153&lt;=0,1,R153/Q153)^$G170/(1+$H170+$I170))^(1+$F170)</f>
        <v>0</v>
      </c>
      <c r="S180" s="24">
        <f>R180*(1+S$159)^($E170*S$160)*(1+S$161)*IF(Rebate_Industry!R$118&lt;=0,1,Rebate_Industry!S$118/Rebate_Industry!R$118)^$F170*(IF(R153&lt;=0,1,S153/R153)^$G170/(1+$H170+$I170))^(1+$F170)</f>
        <v>0</v>
      </c>
      <c r="T180" s="24">
        <f>S180*(1+T$159)^($E170*T$160)*(1+T$161)*IF(Rebate_Industry!S$118&lt;=0,1,Rebate_Industry!T$118/Rebate_Industry!S$118)^$F170*(IF(S153&lt;=0,1,T153/S153)^$G170/(1+$H170+$I170))^(1+$F170)</f>
        <v>0</v>
      </c>
      <c r="U180" s="24">
        <f>T180*(1+U$159)^($E170*U$160)*(1+U$161)*IF(Rebate_Industry!T$118&lt;=0,1,Rebate_Industry!U$118/Rebate_Industry!T$118)^$F170*(IF(T153&lt;=0,1,U153/T153)^$G170/(1+$H170+$I170))^(1+$F170)</f>
        <v>0</v>
      </c>
      <c r="V180" s="24">
        <f>U180*(1+V$159)^($E170*V$160)*(1+V$161)*IF(Rebate_Industry!U$118&lt;=0,1,Rebate_Industry!V$118/Rebate_Industry!U$118)^$F170*(IF(U153&lt;=0,1,V153/U153)^$G170/(1+$H170+$I170))^(1+$F170)</f>
        <v>0</v>
      </c>
      <c r="W180" s="24">
        <f>V180*(1+W$159)^($E170*W$160)*(1+W$161)*IF(Rebate_Industry!V$118&lt;=0,1,Rebate_Industry!W$118/Rebate_Industry!V$118)^$F170*(IF(V153&lt;=0,1,W153/V153)^$G170/(1+$H170+$I170))^(1+$F170)</f>
        <v>0</v>
      </c>
      <c r="X180" s="24">
        <f>W180*(1+X$159)^($E170*X$160)*(1+X$161)*IF(Rebate_Industry!W$118&lt;=0,1,Rebate_Industry!X$118/Rebate_Industry!W$118)^$F170*(IF(W153&lt;=0,1,X153/W153)^$G170/(1+$H170+$I170))^(1+$F170)</f>
        <v>0</v>
      </c>
      <c r="Y180" s="24">
        <f>X180*(1+Y$159)^($E170*Y$160)*(1+Y$161)*IF(Rebate_Industry!X$118&lt;=0,1,Rebate_Industry!Y$118/Rebate_Industry!X$118)^$F170*(IF(X153&lt;=0,1,Y153/X153)^$G170/(1+$H170+$I170))^(1+$F170)</f>
        <v>0</v>
      </c>
      <c r="Z180" s="24">
        <f>Y180*(1+Z$159)^($E170*Z$160)*(1+Z$161)*IF(Rebate_Industry!Y$118&lt;=0,1,Rebate_Industry!Z$118/Rebate_Industry!Y$118)^$F170*(IF(Y153&lt;=0,1,Z153/Y153)^$G170/(1+$H170+$I170))^(1+$F170)</f>
        <v>0</v>
      </c>
      <c r="AA180" s="24">
        <f>Z180*(1+AA$159)^($E170*AA$160)*(1+AA$161)*IF(Rebate_Industry!Z$118&lt;=0,1,Rebate_Industry!AA$118/Rebate_Industry!Z$118)^$F170*(IF(Z153&lt;=0,1,AA153/Z153)^$G170/(1+$H170+$I170))^(1+$F170)</f>
        <v>0</v>
      </c>
      <c r="AB180" s="24">
        <f>AA180*(1+AB$159)^($E170*AB$160)*(1+AB$161)*IF(Rebate_Industry!AA$118&lt;=0,1,Rebate_Industry!AB$118/Rebate_Industry!AA$118)^$F170*(IF(AA153&lt;=0,1,AB153/AA153)^$G170/(1+$H170+$I170))^(1+$F170)</f>
        <v>0</v>
      </c>
      <c r="AC180" s="24">
        <f>AB180*(1+AC$159)^($E170*AC$160)*(1+AC$161)*IF(Rebate_Industry!AB$118&lt;=0,1,Rebate_Industry!AC$118/Rebate_Industry!AB$118)^$F170*(IF(AB153&lt;=0,1,AC153/AB153)^$G170/(1+$H170+$I170))^(1+$F170)</f>
        <v>0</v>
      </c>
      <c r="AD180" s="24">
        <f>AC180*(1+AD$159)^($E170*AD$160)*(1+AD$161)*IF(Rebate_Industry!AC$118&lt;=0,1,Rebate_Industry!AD$118/Rebate_Industry!AC$118)^$F170*(IF(AC153&lt;=0,1,AD153/AC153)^$G170/(1+$H170+$I170))^(1+$F170)</f>
        <v>0</v>
      </c>
      <c r="AE180" s="24">
        <f>AD180*(1+AE$159)^($E170*AE$160)*(1+AE$161)*IF(Rebate_Industry!AD$118&lt;=0,1,Rebate_Industry!AE$118/Rebate_Industry!AD$118)^$F170*(IF(AD153&lt;=0,1,AE153/AD153)^$G170/(1+$H170+$I170))^(1+$F170)</f>
        <v>0</v>
      </c>
    </row>
    <row r="181" spans="1:35" x14ac:dyDescent="0.45">
      <c r="B181" s="14" t="s">
        <v>67</v>
      </c>
      <c r="C181" s="14" t="str">
        <f t="shared" si="16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I181" t="s">
        <v>2380</v>
      </c>
      <c r="L181" s="47">
        <f>INDEX(Data_Energy!$D$3:$U$22,MATCH($B181,Data_Energy!$C$3:$C$22,0),MATCH($C181,Data_Energy!$D$2:$U$2,0))</f>
        <v>0</v>
      </c>
      <c r="M181" s="24">
        <f>L181*(1+M$159)^($E171*M$160)*(1+M$161)*IF(Rebate_Industry!L$119&lt;=0,1,Rebate_Industry!M$119/Rebate_Industry!L$119)^$F171*(IF(L154&lt;=0,1,M154/L154)^$G171/(1+$H171+$I171))^(1+$F171)</f>
        <v>0</v>
      </c>
      <c r="N181" s="24">
        <f>M181*(1+N$159)^($E171*N$160)*(1+N$161)*IF(Rebate_Industry!M$119&lt;=0,1,Rebate_Industry!N$119/Rebate_Industry!M$119)^$F171*(IF(M154&lt;=0,1,N154/M154)^$G171/(1+$H171+$I171))^(1+$F171)</f>
        <v>0</v>
      </c>
      <c r="O181" s="24">
        <f>N181*(1+O$159)^($E171*O$160)*(1+O$161)*IF(Rebate_Industry!N$119&lt;=0,1,Rebate_Industry!O$119/Rebate_Industry!N$119)^$F171*(IF(N154&lt;=0,1,O154/N154)^$G171/(1+$H171+$I171))^(1+$F171)</f>
        <v>0</v>
      </c>
      <c r="P181" s="24">
        <f>O181*(1+P$159)^($E171*P$160)*(1+P$161)*IF(Rebate_Industry!O$119&lt;=0,1,Rebate_Industry!P$119/Rebate_Industry!O$119)^$F171*(IF(O154&lt;=0,1,P154/O154)^$G171/(1+$H171+$I171))^(1+$F171)</f>
        <v>0</v>
      </c>
      <c r="Q181" s="24">
        <f>P181*(1+Q$159)^($E171*Q$160)*(1+Q$161)*IF(Rebate_Industry!P$119&lt;=0,1,Rebate_Industry!Q$119/Rebate_Industry!P$119)^$F171*(IF(P154&lt;=0,1,Q154/P154)^$G171/(1+$H171+$I171))^(1+$F171)</f>
        <v>0</v>
      </c>
      <c r="R181" s="24">
        <f>Q181*(1+R$159)^($E171*R$160)*(1+R$161)*IF(Rebate_Industry!Q$119&lt;=0,1,Rebate_Industry!R$119/Rebate_Industry!Q$119)^$F171*(IF(Q154&lt;=0,1,R154/Q154)^$G171/(1+$H171+$I171))^(1+$F171)</f>
        <v>0</v>
      </c>
      <c r="S181" s="24">
        <f>R181*(1+S$159)^($E171*S$160)*(1+S$161)*IF(Rebate_Industry!R$119&lt;=0,1,Rebate_Industry!S$119/Rebate_Industry!R$119)^$F171*(IF(R154&lt;=0,1,S154/R154)^$G171/(1+$H171+$I171))^(1+$F171)</f>
        <v>0</v>
      </c>
      <c r="T181" s="24">
        <f>S181*(1+T$159)^($E171*T$160)*(1+T$161)*IF(Rebate_Industry!S$119&lt;=0,1,Rebate_Industry!T$119/Rebate_Industry!S$119)^$F171*(IF(S154&lt;=0,1,T154/S154)^$G171/(1+$H171+$I171))^(1+$F171)</f>
        <v>0</v>
      </c>
      <c r="U181" s="24">
        <f>T181*(1+U$159)^($E171*U$160)*(1+U$161)*IF(Rebate_Industry!T$119&lt;=0,1,Rebate_Industry!U$119/Rebate_Industry!T$119)^$F171*(IF(T154&lt;=0,1,U154/T154)^$G171/(1+$H171+$I171))^(1+$F171)</f>
        <v>0</v>
      </c>
      <c r="V181" s="24">
        <f>U181*(1+V$159)^($E171*V$160)*(1+V$161)*IF(Rebate_Industry!U$119&lt;=0,1,Rebate_Industry!V$119/Rebate_Industry!U$119)^$F171*(IF(U154&lt;=0,1,V154/U154)^$G171/(1+$H171+$I171))^(1+$F171)</f>
        <v>0</v>
      </c>
      <c r="W181" s="24">
        <f>V181*(1+W$159)^($E171*W$160)*(1+W$161)*IF(Rebate_Industry!V$119&lt;=0,1,Rebate_Industry!W$119/Rebate_Industry!V$119)^$F171*(IF(V154&lt;=0,1,W154/V154)^$G171/(1+$H171+$I171))^(1+$F171)</f>
        <v>0</v>
      </c>
      <c r="X181" s="24">
        <f>W181*(1+X$159)^($E171*X$160)*(1+X$161)*IF(Rebate_Industry!W$119&lt;=0,1,Rebate_Industry!X$119/Rebate_Industry!W$119)^$F171*(IF(W154&lt;=0,1,X154/W154)^$G171/(1+$H171+$I171))^(1+$F171)</f>
        <v>0</v>
      </c>
      <c r="Y181" s="24">
        <f>X181*(1+Y$159)^($E171*Y$160)*(1+Y$161)*IF(Rebate_Industry!X$119&lt;=0,1,Rebate_Industry!Y$119/Rebate_Industry!X$119)^$F171*(IF(X154&lt;=0,1,Y154/X154)^$G171/(1+$H171+$I171))^(1+$F171)</f>
        <v>0</v>
      </c>
      <c r="Z181" s="24">
        <f>Y181*(1+Z$159)^($E171*Z$160)*(1+Z$161)*IF(Rebate_Industry!Y$119&lt;=0,1,Rebate_Industry!Z$119/Rebate_Industry!Y$119)^$F171*(IF(Y154&lt;=0,1,Z154/Y154)^$G171/(1+$H171+$I171))^(1+$F171)</f>
        <v>0</v>
      </c>
      <c r="AA181" s="24">
        <f>Z181*(1+AA$159)^($E171*AA$160)*(1+AA$161)*IF(Rebate_Industry!Z$119&lt;=0,1,Rebate_Industry!AA$119/Rebate_Industry!Z$119)^$F171*(IF(Z154&lt;=0,1,AA154/Z154)^$G171/(1+$H171+$I171))^(1+$F171)</f>
        <v>0</v>
      </c>
      <c r="AB181" s="24">
        <f>AA181*(1+AB$159)^($E171*AB$160)*(1+AB$161)*IF(Rebate_Industry!AA$119&lt;=0,1,Rebate_Industry!AB$119/Rebate_Industry!AA$119)^$F171*(IF(AA154&lt;=0,1,AB154/AA154)^$G171/(1+$H171+$I171))^(1+$F171)</f>
        <v>0</v>
      </c>
      <c r="AC181" s="24">
        <f>AB181*(1+AC$159)^($E171*AC$160)*(1+AC$161)*IF(Rebate_Industry!AB$119&lt;=0,1,Rebate_Industry!AC$119/Rebate_Industry!AB$119)^$F171*(IF(AB154&lt;=0,1,AC154/AB154)^$G171/(1+$H171+$I171))^(1+$F171)</f>
        <v>0</v>
      </c>
      <c r="AD181" s="24">
        <f>AC181*(1+AD$159)^($E171*AD$160)*(1+AD$161)*IF(Rebate_Industry!AC$119&lt;=0,1,Rebate_Industry!AD$119/Rebate_Industry!AC$119)^$F171*(IF(AC154&lt;=0,1,AD154/AC154)^$G171/(1+$H171+$I171))^(1+$F171)</f>
        <v>0</v>
      </c>
      <c r="AE181" s="24">
        <f>AD181*(1+AE$159)^($E171*AE$160)*(1+AE$161)*IF(Rebate_Industry!AD$119&lt;=0,1,Rebate_Industry!AE$119/Rebate_Industry!AD$119)^$F171*(IF(AD154&lt;=0,1,AE154/AD154)^$G171/(1+$H171+$I171))^(1+$F171)</f>
        <v>0</v>
      </c>
    </row>
    <row r="182" spans="1:35" x14ac:dyDescent="0.45">
      <c r="B182" s="14" t="s">
        <v>69</v>
      </c>
      <c r="C182" s="14" t="str">
        <f t="shared" si="16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I182" t="s">
        <v>2381</v>
      </c>
      <c r="L182" s="47">
        <f>INDEX(Data_Energy!$D$3:$U$22,MATCH($B182,Data_Energy!$C$3:$C$22,0),MATCH($C182,Data_Energy!$D$2:$U$2,0))</f>
        <v>0</v>
      </c>
      <c r="M182" s="24">
        <f>L182*(1+M$159)^($E172*M$160)*(1+M$161)*IF(Rebate_Industry!L$120&lt;=0,1,Rebate_Industry!M$120/Rebate_Industry!L$120)^$F172*(IF(L155&lt;=0,1,M155/L155)^$G172/(1+$H172+$I172))^(1+$F172)</f>
        <v>0</v>
      </c>
      <c r="N182" s="24">
        <f>M182*(1+N$159)^($E172*N$160)*(1+N$161)*IF(Rebate_Industry!M$120&lt;=0,1,Rebate_Industry!N$120/Rebate_Industry!M$120)^$F172*(IF(M155&lt;=0,1,N155/M155)^$G172/(1+$H172+$I172))^(1+$F172)</f>
        <v>0</v>
      </c>
      <c r="O182" s="24">
        <f>N182*(1+O$159)^($E172*O$160)*(1+O$161)*IF(Rebate_Industry!N$120&lt;=0,1,Rebate_Industry!O$120/Rebate_Industry!N$120)^$F172*(IF(N155&lt;=0,1,O155/N155)^$G172/(1+$H172+$I172))^(1+$F172)</f>
        <v>0</v>
      </c>
      <c r="P182" s="24">
        <f>O182*(1+P$159)^($E172*P$160)*(1+P$161)*IF(Rebate_Industry!O$120&lt;=0,1,Rebate_Industry!P$120/Rebate_Industry!O$120)^$F172*(IF(O155&lt;=0,1,P155/O155)^$G172/(1+$H172+$I172))^(1+$F172)</f>
        <v>0</v>
      </c>
      <c r="Q182" s="24">
        <f>P182*(1+Q$159)^($E172*Q$160)*(1+Q$161)*IF(Rebate_Industry!P$120&lt;=0,1,Rebate_Industry!Q$120/Rebate_Industry!P$120)^$F172*(IF(P155&lt;=0,1,Q155/P155)^$G172/(1+$H172+$I172))^(1+$F172)</f>
        <v>0</v>
      </c>
      <c r="R182" s="24">
        <f>Q182*(1+R$159)^($E172*R$160)*(1+R$161)*IF(Rebate_Industry!Q$120&lt;=0,1,Rebate_Industry!R$120/Rebate_Industry!Q$120)^$F172*(IF(Q155&lt;=0,1,R155/Q155)^$G172/(1+$H172+$I172))^(1+$F172)</f>
        <v>0</v>
      </c>
      <c r="S182" s="24">
        <f>R182*(1+S$159)^($E172*S$160)*(1+S$161)*IF(Rebate_Industry!R$120&lt;=0,1,Rebate_Industry!S$120/Rebate_Industry!R$120)^$F172*(IF(R155&lt;=0,1,S155/R155)^$G172/(1+$H172+$I172))^(1+$F172)</f>
        <v>0</v>
      </c>
      <c r="T182" s="24">
        <f>S182*(1+T$159)^($E172*T$160)*(1+T$161)*IF(Rebate_Industry!S$120&lt;=0,1,Rebate_Industry!T$120/Rebate_Industry!S$120)^$F172*(IF(S155&lt;=0,1,T155/S155)^$G172/(1+$H172+$I172))^(1+$F172)</f>
        <v>0</v>
      </c>
      <c r="U182" s="24">
        <f>T182*(1+U$159)^($E172*U$160)*(1+U$161)*IF(Rebate_Industry!T$120&lt;=0,1,Rebate_Industry!U$120/Rebate_Industry!T$120)^$F172*(IF(T155&lt;=0,1,U155/T155)^$G172/(1+$H172+$I172))^(1+$F172)</f>
        <v>0</v>
      </c>
      <c r="V182" s="24">
        <f>U182*(1+V$159)^($E172*V$160)*(1+V$161)*IF(Rebate_Industry!U$120&lt;=0,1,Rebate_Industry!V$120/Rebate_Industry!U$120)^$F172*(IF(U155&lt;=0,1,V155/U155)^$G172/(1+$H172+$I172))^(1+$F172)</f>
        <v>0</v>
      </c>
      <c r="W182" s="24">
        <f>V182*(1+W$159)^($E172*W$160)*(1+W$161)*IF(Rebate_Industry!V$120&lt;=0,1,Rebate_Industry!W$120/Rebate_Industry!V$120)^$F172*(IF(V155&lt;=0,1,W155/V155)^$G172/(1+$H172+$I172))^(1+$F172)</f>
        <v>0</v>
      </c>
      <c r="X182" s="24">
        <f>W182*(1+X$159)^($E172*X$160)*(1+X$161)*IF(Rebate_Industry!W$120&lt;=0,1,Rebate_Industry!X$120/Rebate_Industry!W$120)^$F172*(IF(W155&lt;=0,1,X155/W155)^$G172/(1+$H172+$I172))^(1+$F172)</f>
        <v>0</v>
      </c>
      <c r="Y182" s="24">
        <f>X182*(1+Y$159)^($E172*Y$160)*(1+Y$161)*IF(Rebate_Industry!X$120&lt;=0,1,Rebate_Industry!Y$120/Rebate_Industry!X$120)^$F172*(IF(X155&lt;=0,1,Y155/X155)^$G172/(1+$H172+$I172))^(1+$F172)</f>
        <v>0</v>
      </c>
      <c r="Z182" s="24">
        <f>Y182*(1+Z$159)^($E172*Z$160)*(1+Z$161)*IF(Rebate_Industry!Y$120&lt;=0,1,Rebate_Industry!Z$120/Rebate_Industry!Y$120)^$F172*(IF(Y155&lt;=0,1,Z155/Y155)^$G172/(1+$H172+$I172))^(1+$F172)</f>
        <v>0</v>
      </c>
      <c r="AA182" s="24">
        <f>Z182*(1+AA$159)^($E172*AA$160)*(1+AA$161)*IF(Rebate_Industry!Z$120&lt;=0,1,Rebate_Industry!AA$120/Rebate_Industry!Z$120)^$F172*(IF(Z155&lt;=0,1,AA155/Z155)^$G172/(1+$H172+$I172))^(1+$F172)</f>
        <v>0</v>
      </c>
      <c r="AB182" s="24">
        <f>AA182*(1+AB$159)^($E172*AB$160)*(1+AB$161)*IF(Rebate_Industry!AA$120&lt;=0,1,Rebate_Industry!AB$120/Rebate_Industry!AA$120)^$F172*(IF(AA155&lt;=0,1,AB155/AA155)^$G172/(1+$H172+$I172))^(1+$F172)</f>
        <v>0</v>
      </c>
      <c r="AC182" s="24">
        <f>AB182*(1+AC$159)^($E172*AC$160)*(1+AC$161)*IF(Rebate_Industry!AB$120&lt;=0,1,Rebate_Industry!AC$120/Rebate_Industry!AB$120)^$F172*(IF(AB155&lt;=0,1,AC155/AB155)^$G172/(1+$H172+$I172))^(1+$F172)</f>
        <v>0</v>
      </c>
      <c r="AD182" s="24">
        <f>AC182*(1+AD$159)^($E172*AD$160)*(1+AD$161)*IF(Rebate_Industry!AC$120&lt;=0,1,Rebate_Industry!AD$120/Rebate_Industry!AC$120)^$F172*(IF(AC155&lt;=0,1,AD155/AC155)^$G172/(1+$H172+$I172))^(1+$F172)</f>
        <v>0</v>
      </c>
      <c r="AE182" s="24">
        <f>AD182*(1+AE$159)^($E172*AE$160)*(1+AE$161)*IF(Rebate_Industry!AD$120&lt;=0,1,Rebate_Industry!AE$120/Rebate_Industry!AD$120)^$F172*(IF(AD155&lt;=0,1,AE155/AD155)^$G172/(1+$H172+$I172))^(1+$F172)</f>
        <v>0</v>
      </c>
    </row>
    <row r="183" spans="1:35" x14ac:dyDescent="0.45">
      <c r="B183" s="14" t="s">
        <v>110</v>
      </c>
      <c r="C183" s="14" t="str">
        <f t="shared" si="16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17">SUM(L174:L182)</f>
        <v>0</v>
      </c>
      <c r="M183" s="26">
        <f t="shared" si="17"/>
        <v>0</v>
      </c>
      <c r="N183" s="26">
        <f t="shared" si="17"/>
        <v>0</v>
      </c>
      <c r="O183" s="26">
        <f t="shared" si="17"/>
        <v>0</v>
      </c>
      <c r="P183" s="26">
        <f t="shared" si="17"/>
        <v>0</v>
      </c>
      <c r="Q183" s="26">
        <f t="shared" si="17"/>
        <v>0</v>
      </c>
      <c r="R183" s="26">
        <f t="shared" si="17"/>
        <v>0</v>
      </c>
      <c r="S183" s="26">
        <f t="shared" si="17"/>
        <v>0</v>
      </c>
      <c r="T183" s="26">
        <f t="shared" si="17"/>
        <v>0</v>
      </c>
      <c r="U183" s="26">
        <f t="shared" si="17"/>
        <v>0</v>
      </c>
      <c r="V183" s="26">
        <f t="shared" si="17"/>
        <v>0</v>
      </c>
      <c r="W183" s="26">
        <f t="shared" si="17"/>
        <v>0</v>
      </c>
      <c r="X183" s="26">
        <f t="shared" si="17"/>
        <v>0</v>
      </c>
      <c r="Y183" s="26">
        <f t="shared" si="17"/>
        <v>0</v>
      </c>
      <c r="Z183" s="26">
        <f t="shared" si="17"/>
        <v>0</v>
      </c>
      <c r="AA183" s="26">
        <f t="shared" si="17"/>
        <v>0</v>
      </c>
      <c r="AB183" s="26">
        <f t="shared" si="17"/>
        <v>0</v>
      </c>
      <c r="AC183" s="26">
        <f t="shared" si="17"/>
        <v>0</v>
      </c>
      <c r="AD183" s="26">
        <f t="shared" si="17"/>
        <v>0</v>
      </c>
      <c r="AE183" s="26">
        <f t="shared" si="17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18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18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18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18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18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18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18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18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18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19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19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19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19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19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19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19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19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19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20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20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20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20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20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20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20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20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20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21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21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21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21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21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21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21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21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21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22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I234" t="s">
        <v>2382</v>
      </c>
      <c r="L234" s="47">
        <f>INDEX(Data_Energy!$D$3:$U$22,MATCH($B234,Data_Energy!$C$3:$C$22,0),MATCH($C234,Data_Energy!$D$2:$U$2,0))</f>
        <v>0</v>
      </c>
      <c r="M234" s="24">
        <f>L234*(1+M$219)^($E224*M$220)*(1+M$221)*IF(Rebate_Industry!L$126&lt;=0,1,Rebate_Industry!M$126/Rebate_Industry!L$126)^$F224*(IF(L207&lt;=0,1,M207/L207)^$G224/(1+$H224+$I224))^(1+$F224)</f>
        <v>0</v>
      </c>
      <c r="N234" s="24">
        <f>M234*(1+N$219)^($E224*N$220)*(1+N$221)*IF(Rebate_Industry!M$126&lt;=0,1,Rebate_Industry!N$126/Rebate_Industry!M$126)^$F224*(IF(M207&lt;=0,1,N207/M207)^$G224/(1+$H224+$I224))^(1+$F224)</f>
        <v>0</v>
      </c>
      <c r="O234" s="24">
        <f>N234*(1+O$219)^($E224*O$220)*(1+O$221)*IF(Rebate_Industry!N$126&lt;=0,1,Rebate_Industry!O$126/Rebate_Industry!N$126)^$F224*(IF(N207&lt;=0,1,O207/N207)^$G224/(1+$H224+$I224))^(1+$F224)</f>
        <v>0</v>
      </c>
      <c r="P234" s="24">
        <f>O234*(1+P$219)^($E224*P$220)*(1+P$221)*IF(Rebate_Industry!O$126&lt;=0,1,Rebate_Industry!P$126/Rebate_Industry!O$126)^$F224*(IF(O207&lt;=0,1,P207/O207)^$G224/(1+$H224+$I224))^(1+$F224)</f>
        <v>0</v>
      </c>
      <c r="Q234" s="24">
        <f>P234*(1+Q$219)^($E224*Q$220)*(1+Q$221)*IF(Rebate_Industry!P$126&lt;=0,1,Rebate_Industry!Q$126/Rebate_Industry!P$126)^$F224*(IF(P207&lt;=0,1,Q207/P207)^$G224/(1+$H224+$I224))^(1+$F224)</f>
        <v>0</v>
      </c>
      <c r="R234" s="24">
        <f>Q234*(1+R$219)^($E224*R$220)*(1+R$221)*IF(Rebate_Industry!Q$126&lt;=0,1,Rebate_Industry!R$126/Rebate_Industry!Q$126)^$F224*(IF(Q207&lt;=0,1,R207/Q207)^$G224/(1+$H224+$I224))^(1+$F224)</f>
        <v>0</v>
      </c>
      <c r="S234" s="24">
        <f>R234*(1+S$219)^($E224*S$220)*(1+S$221)*IF(Rebate_Industry!R$126&lt;=0,1,Rebate_Industry!S$126/Rebate_Industry!R$126)^$F224*(IF(R207&lt;=0,1,S207/R207)^$G224/(1+$H224+$I224))^(1+$F224)</f>
        <v>0</v>
      </c>
      <c r="T234" s="24">
        <f>S234*(1+T$219)^($E224*T$220)*(1+T$221)*IF(Rebate_Industry!S$126&lt;=0,1,Rebate_Industry!T$126/Rebate_Industry!S$126)^$F224*(IF(S207&lt;=0,1,T207/S207)^$G224/(1+$H224+$I224))^(1+$F224)</f>
        <v>0</v>
      </c>
      <c r="U234" s="24">
        <f>T234*(1+U$219)^($E224*U$220)*(1+U$221)*IF(Rebate_Industry!T$126&lt;=0,1,Rebate_Industry!U$126/Rebate_Industry!T$126)^$F224*(IF(T207&lt;=0,1,U207/T207)^$G224/(1+$H224+$I224))^(1+$F224)</f>
        <v>0</v>
      </c>
      <c r="V234" s="24">
        <f>U234*(1+V$219)^($E224*V$220)*(1+V$221)*IF(Rebate_Industry!U$126&lt;=0,1,Rebate_Industry!V$126/Rebate_Industry!U$126)^$F224*(IF(U207&lt;=0,1,V207/U207)^$G224/(1+$H224+$I224))^(1+$F224)</f>
        <v>0</v>
      </c>
      <c r="W234" s="24">
        <f>V234*(1+W$219)^($E224*W$220)*(1+W$221)*IF(Rebate_Industry!V$126&lt;=0,1,Rebate_Industry!W$126/Rebate_Industry!V$126)^$F224*(IF(V207&lt;=0,1,W207/V207)^$G224/(1+$H224+$I224))^(1+$F224)</f>
        <v>0</v>
      </c>
      <c r="X234" s="24">
        <f>W234*(1+X$219)^($E224*X$220)*(1+X$221)*IF(Rebate_Industry!W$126&lt;=0,1,Rebate_Industry!X$126/Rebate_Industry!W$126)^$F224*(IF(W207&lt;=0,1,X207/W207)^$G224/(1+$H224+$I224))^(1+$F224)</f>
        <v>0</v>
      </c>
      <c r="Y234" s="24">
        <f>X234*(1+Y$219)^($E224*Y$220)*(1+Y$221)*IF(Rebate_Industry!X$126&lt;=0,1,Rebate_Industry!Y$126/Rebate_Industry!X$126)^$F224*(IF(X207&lt;=0,1,Y207/X207)^$G224/(1+$H224+$I224))^(1+$F224)</f>
        <v>0</v>
      </c>
      <c r="Z234" s="24">
        <f>Y234*(1+Z$219)^($E224*Z$220)*(1+Z$221)*IF(Rebate_Industry!Y$126&lt;=0,1,Rebate_Industry!Z$126/Rebate_Industry!Y$126)^$F224*(IF(Y207&lt;=0,1,Z207/Y207)^$G224/(1+$H224+$I224))^(1+$F224)</f>
        <v>0</v>
      </c>
      <c r="AA234" s="24">
        <f>Z234*(1+AA$219)^($E224*AA$220)*(1+AA$221)*IF(Rebate_Industry!Z$126&lt;=0,1,Rebate_Industry!AA$126/Rebate_Industry!Z$126)^$F224*(IF(Z207&lt;=0,1,AA207/Z207)^$G224/(1+$H224+$I224))^(1+$F224)</f>
        <v>0</v>
      </c>
      <c r="AB234" s="24">
        <f>AA234*(1+AB$219)^($E224*AB$220)*(1+AB$221)*IF(Rebate_Industry!AA$126&lt;=0,1,Rebate_Industry!AB$126/Rebate_Industry!AA$126)^$F224*(IF(AA207&lt;=0,1,AB207/AA207)^$G224/(1+$H224+$I224))^(1+$F224)</f>
        <v>0</v>
      </c>
      <c r="AC234" s="24">
        <f>AB234*(1+AC$219)^($E224*AC$220)*(1+AC$221)*IF(Rebate_Industry!AB$126&lt;=0,1,Rebate_Industry!AC$126/Rebate_Industry!AB$126)^$F224*(IF(AB207&lt;=0,1,AC207/AB207)^$G224/(1+$H224+$I224))^(1+$F224)</f>
        <v>0</v>
      </c>
      <c r="AD234" s="24">
        <f>AC234*(1+AD$219)^($E224*AD$220)*(1+AD$221)*IF(Rebate_Industry!AC$126&lt;=0,1,Rebate_Industry!AD$126/Rebate_Industry!AC$126)^$F224*(IF(AC207&lt;=0,1,AD207/AC207)^$G224/(1+$H224+$I224))^(1+$F224)</f>
        <v>0</v>
      </c>
      <c r="AE234" s="24">
        <f>AD234*(1+AE$219)^($E224*AE$220)*(1+AE$221)*IF(Rebate_Industry!AD$126&lt;=0,1,Rebate_Industry!AE$126/Rebate_Industry!AD$126)^$F224*(IF(AD207&lt;=0,1,AE207/AD207)^$G224/(1+$H224+$I224))^(1+$F224)</f>
        <v>0</v>
      </c>
    </row>
    <row r="235" spans="2:31" x14ac:dyDescent="0.45">
      <c r="B235" s="14" t="s">
        <v>53</v>
      </c>
      <c r="C235" s="14" t="str">
        <f t="shared" si="22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I235" t="s">
        <v>2383</v>
      </c>
      <c r="L235" s="47">
        <f>INDEX(Data_Energy!$D$3:$U$22,MATCH($B235,Data_Energy!$C$3:$C$22,0),MATCH($C235,Data_Energy!$D$2:$U$2,0))</f>
        <v>0</v>
      </c>
      <c r="M235" s="24">
        <f>L235*(1+M$219)^($E225*M$220)*(1+M$221)*IF(Rebate_Industry!L$127&lt;=0,1,Rebate_Industry!M$127/Rebate_Industry!L$127)^$F225*(IF(L208&lt;=0,1,M208/L208)^$G225/(1+$H225+$I225))^(1+$F225)</f>
        <v>0</v>
      </c>
      <c r="N235" s="24">
        <f>M235*(1+N$219)^($E225*N$220)*(1+N$221)*IF(Rebate_Industry!M$127&lt;=0,1,Rebate_Industry!N$127/Rebate_Industry!M$127)^$F225*(IF(M208&lt;=0,1,N208/M208)^$G225/(1+$H225+$I225))^(1+$F225)</f>
        <v>0</v>
      </c>
      <c r="O235" s="24">
        <f>N235*(1+O$219)^($E225*O$220)*(1+O$221)*IF(Rebate_Industry!N$127&lt;=0,1,Rebate_Industry!O$127/Rebate_Industry!N$127)^$F225*(IF(N208&lt;=0,1,O208/N208)^$G225/(1+$H225+$I225))^(1+$F225)</f>
        <v>0</v>
      </c>
      <c r="P235" s="24">
        <f>O235*(1+P$219)^($E225*P$220)*(1+P$221)*IF(Rebate_Industry!O$127&lt;=0,1,Rebate_Industry!P$127/Rebate_Industry!O$127)^$F225*(IF(O208&lt;=0,1,P208/O208)^$G225/(1+$H225+$I225))^(1+$F225)</f>
        <v>0</v>
      </c>
      <c r="Q235" s="24">
        <f>P235*(1+Q$219)^($E225*Q$220)*(1+Q$221)*IF(Rebate_Industry!P$127&lt;=0,1,Rebate_Industry!Q$127/Rebate_Industry!P$127)^$F225*(IF(P208&lt;=0,1,Q208/P208)^$G225/(1+$H225+$I225))^(1+$F225)</f>
        <v>0</v>
      </c>
      <c r="R235" s="24">
        <f>Q235*(1+R$219)^($E225*R$220)*(1+R$221)*IF(Rebate_Industry!Q$127&lt;=0,1,Rebate_Industry!R$127/Rebate_Industry!Q$127)^$F225*(IF(Q208&lt;=0,1,R208/Q208)^$G225/(1+$H225+$I225))^(1+$F225)</f>
        <v>0</v>
      </c>
      <c r="S235" s="24">
        <f>R235*(1+S$219)^($E225*S$220)*(1+S$221)*IF(Rebate_Industry!R$127&lt;=0,1,Rebate_Industry!S$127/Rebate_Industry!R$127)^$F225*(IF(R208&lt;=0,1,S208/R208)^$G225/(1+$H225+$I225))^(1+$F225)</f>
        <v>0</v>
      </c>
      <c r="T235" s="24">
        <f>S235*(1+T$219)^($E225*T$220)*(1+T$221)*IF(Rebate_Industry!S$127&lt;=0,1,Rebate_Industry!T$127/Rebate_Industry!S$127)^$F225*(IF(S208&lt;=0,1,T208/S208)^$G225/(1+$H225+$I225))^(1+$F225)</f>
        <v>0</v>
      </c>
      <c r="U235" s="24">
        <f>T235*(1+U$219)^($E225*U$220)*(1+U$221)*IF(Rebate_Industry!T$127&lt;=0,1,Rebate_Industry!U$127/Rebate_Industry!T$127)^$F225*(IF(T208&lt;=0,1,U208/T208)^$G225/(1+$H225+$I225))^(1+$F225)</f>
        <v>0</v>
      </c>
      <c r="V235" s="24">
        <f>U235*(1+V$219)^($E225*V$220)*(1+V$221)*IF(Rebate_Industry!U$127&lt;=0,1,Rebate_Industry!V$127/Rebate_Industry!U$127)^$F225*(IF(U208&lt;=0,1,V208/U208)^$G225/(1+$H225+$I225))^(1+$F225)</f>
        <v>0</v>
      </c>
      <c r="W235" s="24">
        <f>V235*(1+W$219)^($E225*W$220)*(1+W$221)*IF(Rebate_Industry!V$127&lt;=0,1,Rebate_Industry!W$127/Rebate_Industry!V$127)^$F225*(IF(V208&lt;=0,1,W208/V208)^$G225/(1+$H225+$I225))^(1+$F225)</f>
        <v>0</v>
      </c>
      <c r="X235" s="24">
        <f>W235*(1+X$219)^($E225*X$220)*(1+X$221)*IF(Rebate_Industry!W$127&lt;=0,1,Rebate_Industry!X$127/Rebate_Industry!W$127)^$F225*(IF(W208&lt;=0,1,X208/W208)^$G225/(1+$H225+$I225))^(1+$F225)</f>
        <v>0</v>
      </c>
      <c r="Y235" s="24">
        <f>X235*(1+Y$219)^($E225*Y$220)*(1+Y$221)*IF(Rebate_Industry!X$127&lt;=0,1,Rebate_Industry!Y$127/Rebate_Industry!X$127)^$F225*(IF(X208&lt;=0,1,Y208/X208)^$G225/(1+$H225+$I225))^(1+$F225)</f>
        <v>0</v>
      </c>
      <c r="Z235" s="24">
        <f>Y235*(1+Z$219)^($E225*Z$220)*(1+Z$221)*IF(Rebate_Industry!Y$127&lt;=0,1,Rebate_Industry!Z$127/Rebate_Industry!Y$127)^$F225*(IF(Y208&lt;=0,1,Z208/Y208)^$G225/(1+$H225+$I225))^(1+$F225)</f>
        <v>0</v>
      </c>
      <c r="AA235" s="24">
        <f>Z235*(1+AA$219)^($E225*AA$220)*(1+AA$221)*IF(Rebate_Industry!Z$127&lt;=0,1,Rebate_Industry!AA$127/Rebate_Industry!Z$127)^$F225*(IF(Z208&lt;=0,1,AA208/Z208)^$G225/(1+$H225+$I225))^(1+$F225)</f>
        <v>0</v>
      </c>
      <c r="AB235" s="24">
        <f>AA235*(1+AB$219)^($E225*AB$220)*(1+AB$221)*IF(Rebate_Industry!AA$127&lt;=0,1,Rebate_Industry!AB$127/Rebate_Industry!AA$127)^$F225*(IF(AA208&lt;=0,1,AB208/AA208)^$G225/(1+$H225+$I225))^(1+$F225)</f>
        <v>0</v>
      </c>
      <c r="AC235" s="24">
        <f>AB235*(1+AC$219)^($E225*AC$220)*(1+AC$221)*IF(Rebate_Industry!AB$127&lt;=0,1,Rebate_Industry!AC$127/Rebate_Industry!AB$127)^$F225*(IF(AB208&lt;=0,1,AC208/AB208)^$G225/(1+$H225+$I225))^(1+$F225)</f>
        <v>0</v>
      </c>
      <c r="AD235" s="24">
        <f>AC235*(1+AD$219)^($E225*AD$220)*(1+AD$221)*IF(Rebate_Industry!AC$127&lt;=0,1,Rebate_Industry!AD$127/Rebate_Industry!AC$127)^$F225*(IF(AC208&lt;=0,1,AD208/AC208)^$G225/(1+$H225+$I225))^(1+$F225)</f>
        <v>0</v>
      </c>
      <c r="AE235" s="24">
        <f>AD235*(1+AE$219)^($E225*AE$220)*(1+AE$221)*IF(Rebate_Industry!AD$127&lt;=0,1,Rebate_Industry!AE$127/Rebate_Industry!AD$127)^$F225*(IF(AD208&lt;=0,1,AE208/AD208)^$G225/(1+$H225+$I225))^(1+$F225)</f>
        <v>0</v>
      </c>
    </row>
    <row r="236" spans="2:31" x14ac:dyDescent="0.45">
      <c r="B236" s="14" t="s">
        <v>55</v>
      </c>
      <c r="C236" s="14" t="str">
        <f t="shared" si="22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I236" t="s">
        <v>2384</v>
      </c>
      <c r="L236" s="47">
        <f>INDEX(Data_Energy!$D$3:$U$22,MATCH($B236,Data_Energy!$C$3:$C$22,0),MATCH($C236,Data_Energy!$D$2:$U$2,0))</f>
        <v>0</v>
      </c>
      <c r="M236" s="24">
        <f>L236*(1+M$219)^($E226*M$220)*(1+M$221)*IF(Rebate_Industry!L$128&lt;=0,1,Rebate_Industry!M$128/Rebate_Industry!L$128)^$F226*(IF(L209&lt;=0,1,M209/L209)^$G226/(1+$H226+$I226))^(1+$F226)</f>
        <v>0</v>
      </c>
      <c r="N236" s="24">
        <f>M236*(1+N$219)^($E226*N$220)*(1+N$221)*IF(Rebate_Industry!M$128&lt;=0,1,Rebate_Industry!N$128/Rebate_Industry!M$128)^$F226*(IF(M209&lt;=0,1,N209/M209)^$G226/(1+$H226+$I226))^(1+$F226)</f>
        <v>0</v>
      </c>
      <c r="O236" s="24">
        <f>N236*(1+O$219)^($E226*O$220)*(1+O$221)*IF(Rebate_Industry!N$128&lt;=0,1,Rebate_Industry!O$128/Rebate_Industry!N$128)^$F226*(IF(N209&lt;=0,1,O209/N209)^$G226/(1+$H226+$I226))^(1+$F226)</f>
        <v>0</v>
      </c>
      <c r="P236" s="24">
        <f>O236*(1+P$219)^($E226*P$220)*(1+P$221)*IF(Rebate_Industry!O$128&lt;=0,1,Rebate_Industry!P$128/Rebate_Industry!O$128)^$F226*(IF(O209&lt;=0,1,P209/O209)^$G226/(1+$H226+$I226))^(1+$F226)</f>
        <v>0</v>
      </c>
      <c r="Q236" s="24">
        <f>P236*(1+Q$219)^($E226*Q$220)*(1+Q$221)*IF(Rebate_Industry!P$128&lt;=0,1,Rebate_Industry!Q$128/Rebate_Industry!P$128)^$F226*(IF(P209&lt;=0,1,Q209/P209)^$G226/(1+$H226+$I226))^(1+$F226)</f>
        <v>0</v>
      </c>
      <c r="R236" s="24">
        <f>Q236*(1+R$219)^($E226*R$220)*(1+R$221)*IF(Rebate_Industry!Q$128&lt;=0,1,Rebate_Industry!R$128/Rebate_Industry!Q$128)^$F226*(IF(Q209&lt;=0,1,R209/Q209)^$G226/(1+$H226+$I226))^(1+$F226)</f>
        <v>0</v>
      </c>
      <c r="S236" s="24">
        <f>R236*(1+S$219)^($E226*S$220)*(1+S$221)*IF(Rebate_Industry!R$128&lt;=0,1,Rebate_Industry!S$128/Rebate_Industry!R$128)^$F226*(IF(R209&lt;=0,1,S209/R209)^$G226/(1+$H226+$I226))^(1+$F226)</f>
        <v>0</v>
      </c>
      <c r="T236" s="24">
        <f>S236*(1+T$219)^($E226*T$220)*(1+T$221)*IF(Rebate_Industry!S$128&lt;=0,1,Rebate_Industry!T$128/Rebate_Industry!S$128)^$F226*(IF(S209&lt;=0,1,T209/S209)^$G226/(1+$H226+$I226))^(1+$F226)</f>
        <v>0</v>
      </c>
      <c r="U236" s="24">
        <f>T236*(1+U$219)^($E226*U$220)*(1+U$221)*IF(Rebate_Industry!T$128&lt;=0,1,Rebate_Industry!U$128/Rebate_Industry!T$128)^$F226*(IF(T209&lt;=0,1,U209/T209)^$G226/(1+$H226+$I226))^(1+$F226)</f>
        <v>0</v>
      </c>
      <c r="V236" s="24">
        <f>U236*(1+V$219)^($E226*V$220)*(1+V$221)*IF(Rebate_Industry!U$128&lt;=0,1,Rebate_Industry!V$128/Rebate_Industry!U$128)^$F226*(IF(U209&lt;=0,1,V209/U209)^$G226/(1+$H226+$I226))^(1+$F226)</f>
        <v>0</v>
      </c>
      <c r="W236" s="24">
        <f>V236*(1+W$219)^($E226*W$220)*(1+W$221)*IF(Rebate_Industry!V$128&lt;=0,1,Rebate_Industry!W$128/Rebate_Industry!V$128)^$F226*(IF(V209&lt;=0,1,W209/V209)^$G226/(1+$H226+$I226))^(1+$F226)</f>
        <v>0</v>
      </c>
      <c r="X236" s="24">
        <f>W236*(1+X$219)^($E226*X$220)*(1+X$221)*IF(Rebate_Industry!W$128&lt;=0,1,Rebate_Industry!X$128/Rebate_Industry!W$128)^$F226*(IF(W209&lt;=0,1,X209/W209)^$G226/(1+$H226+$I226))^(1+$F226)</f>
        <v>0</v>
      </c>
      <c r="Y236" s="24">
        <f>X236*(1+Y$219)^($E226*Y$220)*(1+Y$221)*IF(Rebate_Industry!X$128&lt;=0,1,Rebate_Industry!Y$128/Rebate_Industry!X$128)^$F226*(IF(X209&lt;=0,1,Y209/X209)^$G226/(1+$H226+$I226))^(1+$F226)</f>
        <v>0</v>
      </c>
      <c r="Z236" s="24">
        <f>Y236*(1+Z$219)^($E226*Z$220)*(1+Z$221)*IF(Rebate_Industry!Y$128&lt;=0,1,Rebate_Industry!Z$128/Rebate_Industry!Y$128)^$F226*(IF(Y209&lt;=0,1,Z209/Y209)^$G226/(1+$H226+$I226))^(1+$F226)</f>
        <v>0</v>
      </c>
      <c r="AA236" s="24">
        <f>Z236*(1+AA$219)^($E226*AA$220)*(1+AA$221)*IF(Rebate_Industry!Z$128&lt;=0,1,Rebate_Industry!AA$128/Rebate_Industry!Z$128)^$F226*(IF(Z209&lt;=0,1,AA209/Z209)^$G226/(1+$H226+$I226))^(1+$F226)</f>
        <v>0</v>
      </c>
      <c r="AB236" s="24">
        <f>AA236*(1+AB$219)^($E226*AB$220)*(1+AB$221)*IF(Rebate_Industry!AA$128&lt;=0,1,Rebate_Industry!AB$128/Rebate_Industry!AA$128)^$F226*(IF(AA209&lt;=0,1,AB209/AA209)^$G226/(1+$H226+$I226))^(1+$F226)</f>
        <v>0</v>
      </c>
      <c r="AC236" s="24">
        <f>AB236*(1+AC$219)^($E226*AC$220)*(1+AC$221)*IF(Rebate_Industry!AB$128&lt;=0,1,Rebate_Industry!AC$128/Rebate_Industry!AB$128)^$F226*(IF(AB209&lt;=0,1,AC209/AB209)^$G226/(1+$H226+$I226))^(1+$F226)</f>
        <v>0</v>
      </c>
      <c r="AD236" s="24">
        <f>AC236*(1+AD$219)^($E226*AD$220)*(1+AD$221)*IF(Rebate_Industry!AC$128&lt;=0,1,Rebate_Industry!AD$128/Rebate_Industry!AC$128)^$F226*(IF(AC209&lt;=0,1,AD209/AC209)^$G226/(1+$H226+$I226))^(1+$F226)</f>
        <v>0</v>
      </c>
      <c r="AE236" s="24">
        <f>AD236*(1+AE$219)^($E226*AE$220)*(1+AE$221)*IF(Rebate_Industry!AD$128&lt;=0,1,Rebate_Industry!AE$128/Rebate_Industry!AD$128)^$F226*(IF(AD209&lt;=0,1,AE209/AD209)^$G226/(1+$H226+$I226))^(1+$F226)</f>
        <v>0</v>
      </c>
    </row>
    <row r="237" spans="2:31" x14ac:dyDescent="0.45">
      <c r="B237" s="14" t="s">
        <v>58</v>
      </c>
      <c r="C237" s="14" t="str">
        <f t="shared" si="22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I237" t="s">
        <v>2385</v>
      </c>
      <c r="L237" s="47">
        <f>INDEX(Data_Energy!$D$3:$U$22,MATCH($B237,Data_Energy!$C$3:$C$22,0),MATCH($C237,Data_Energy!$D$2:$U$2,0))</f>
        <v>0</v>
      </c>
      <c r="M237" s="24">
        <f>L237*(1+M$219)^($E227*M$220)*(1+M$221)*IF(Rebate_Industry!L$129&lt;=0,1,Rebate_Industry!M$129/Rebate_Industry!L$129)^$F227*(IF(L210&lt;=0,1,M210/L210)^$G227/(1+$H227+$I227))^(1+$F227)</f>
        <v>0</v>
      </c>
      <c r="N237" s="24">
        <f>M237*(1+N$219)^($E227*N$220)*(1+N$221)*IF(Rebate_Industry!M$129&lt;=0,1,Rebate_Industry!N$129/Rebate_Industry!M$129)^$F227*(IF(M210&lt;=0,1,N210/M210)^$G227/(1+$H227+$I227))^(1+$F227)</f>
        <v>0</v>
      </c>
      <c r="O237" s="24">
        <f>N237*(1+O$219)^($E227*O$220)*(1+O$221)*IF(Rebate_Industry!N$129&lt;=0,1,Rebate_Industry!O$129/Rebate_Industry!N$129)^$F227*(IF(N210&lt;=0,1,O210/N210)^$G227/(1+$H227+$I227))^(1+$F227)</f>
        <v>0</v>
      </c>
      <c r="P237" s="24">
        <f>O237*(1+P$219)^($E227*P$220)*(1+P$221)*IF(Rebate_Industry!O$129&lt;=0,1,Rebate_Industry!P$129/Rebate_Industry!O$129)^$F227*(IF(O210&lt;=0,1,P210/O210)^$G227/(1+$H227+$I227))^(1+$F227)</f>
        <v>0</v>
      </c>
      <c r="Q237" s="24">
        <f>P237*(1+Q$219)^($E227*Q$220)*(1+Q$221)*IF(Rebate_Industry!P$129&lt;=0,1,Rebate_Industry!Q$129/Rebate_Industry!P$129)^$F227*(IF(P210&lt;=0,1,Q210/P210)^$G227/(1+$H227+$I227))^(1+$F227)</f>
        <v>0</v>
      </c>
      <c r="R237" s="24">
        <f>Q237*(1+R$219)^($E227*R$220)*(1+R$221)*IF(Rebate_Industry!Q$129&lt;=0,1,Rebate_Industry!R$129/Rebate_Industry!Q$129)^$F227*(IF(Q210&lt;=0,1,R210/Q210)^$G227/(1+$H227+$I227))^(1+$F227)</f>
        <v>0</v>
      </c>
      <c r="S237" s="24">
        <f>R237*(1+S$219)^($E227*S$220)*(1+S$221)*IF(Rebate_Industry!R$129&lt;=0,1,Rebate_Industry!S$129/Rebate_Industry!R$129)^$F227*(IF(R210&lt;=0,1,S210/R210)^$G227/(1+$H227+$I227))^(1+$F227)</f>
        <v>0</v>
      </c>
      <c r="T237" s="24">
        <f>S237*(1+T$219)^($E227*T$220)*(1+T$221)*IF(Rebate_Industry!S$129&lt;=0,1,Rebate_Industry!T$129/Rebate_Industry!S$129)^$F227*(IF(S210&lt;=0,1,T210/S210)^$G227/(1+$H227+$I227))^(1+$F227)</f>
        <v>0</v>
      </c>
      <c r="U237" s="24">
        <f>T237*(1+U$219)^($E227*U$220)*(1+U$221)*IF(Rebate_Industry!T$129&lt;=0,1,Rebate_Industry!U$129/Rebate_Industry!T$129)^$F227*(IF(T210&lt;=0,1,U210/T210)^$G227/(1+$H227+$I227))^(1+$F227)</f>
        <v>0</v>
      </c>
      <c r="V237" s="24">
        <f>U237*(1+V$219)^($E227*V$220)*(1+V$221)*IF(Rebate_Industry!U$129&lt;=0,1,Rebate_Industry!V$129/Rebate_Industry!U$129)^$F227*(IF(U210&lt;=0,1,V210/U210)^$G227/(1+$H227+$I227))^(1+$F227)</f>
        <v>0</v>
      </c>
      <c r="W237" s="24">
        <f>V237*(1+W$219)^($E227*W$220)*(1+W$221)*IF(Rebate_Industry!V$129&lt;=0,1,Rebate_Industry!W$129/Rebate_Industry!V$129)^$F227*(IF(V210&lt;=0,1,W210/V210)^$G227/(1+$H227+$I227))^(1+$F227)</f>
        <v>0</v>
      </c>
      <c r="X237" s="24">
        <f>W237*(1+X$219)^($E227*X$220)*(1+X$221)*IF(Rebate_Industry!W$129&lt;=0,1,Rebate_Industry!X$129/Rebate_Industry!W$129)^$F227*(IF(W210&lt;=0,1,X210/W210)^$G227/(1+$H227+$I227))^(1+$F227)</f>
        <v>0</v>
      </c>
      <c r="Y237" s="24">
        <f>X237*(1+Y$219)^($E227*Y$220)*(1+Y$221)*IF(Rebate_Industry!X$129&lt;=0,1,Rebate_Industry!Y$129/Rebate_Industry!X$129)^$F227*(IF(X210&lt;=0,1,Y210/X210)^$G227/(1+$H227+$I227))^(1+$F227)</f>
        <v>0</v>
      </c>
      <c r="Z237" s="24">
        <f>Y237*(1+Z$219)^($E227*Z$220)*(1+Z$221)*IF(Rebate_Industry!Y$129&lt;=0,1,Rebate_Industry!Z$129/Rebate_Industry!Y$129)^$F227*(IF(Y210&lt;=0,1,Z210/Y210)^$G227/(1+$H227+$I227))^(1+$F227)</f>
        <v>0</v>
      </c>
      <c r="AA237" s="24">
        <f>Z237*(1+AA$219)^($E227*AA$220)*(1+AA$221)*IF(Rebate_Industry!Z$129&lt;=0,1,Rebate_Industry!AA$129/Rebate_Industry!Z$129)^$F227*(IF(Z210&lt;=0,1,AA210/Z210)^$G227/(1+$H227+$I227))^(1+$F227)</f>
        <v>0</v>
      </c>
      <c r="AB237" s="24">
        <f>AA237*(1+AB$219)^($E227*AB$220)*(1+AB$221)*IF(Rebate_Industry!AA$129&lt;=0,1,Rebate_Industry!AB$129/Rebate_Industry!AA$129)^$F227*(IF(AA210&lt;=0,1,AB210/AA210)^$G227/(1+$H227+$I227))^(1+$F227)</f>
        <v>0</v>
      </c>
      <c r="AC237" s="24">
        <f>AB237*(1+AC$219)^($E227*AC$220)*(1+AC$221)*IF(Rebate_Industry!AB$129&lt;=0,1,Rebate_Industry!AC$129/Rebate_Industry!AB$129)^$F227*(IF(AB210&lt;=0,1,AC210/AB210)^$G227/(1+$H227+$I227))^(1+$F227)</f>
        <v>0</v>
      </c>
      <c r="AD237" s="24">
        <f>AC237*(1+AD$219)^($E227*AD$220)*(1+AD$221)*IF(Rebate_Industry!AC$129&lt;=0,1,Rebate_Industry!AD$129/Rebate_Industry!AC$129)^$F227*(IF(AC210&lt;=0,1,AD210/AC210)^$G227/(1+$H227+$I227))^(1+$F227)</f>
        <v>0</v>
      </c>
      <c r="AE237" s="24">
        <f>AD237*(1+AE$219)^($E227*AE$220)*(1+AE$221)*IF(Rebate_Industry!AD$129&lt;=0,1,Rebate_Industry!AE$129/Rebate_Industry!AD$129)^$F227*(IF(AD210&lt;=0,1,AE210/AD210)^$G227/(1+$H227+$I227))^(1+$F227)</f>
        <v>0</v>
      </c>
    </row>
    <row r="238" spans="2:31" x14ac:dyDescent="0.45">
      <c r="B238" s="14" t="s">
        <v>60</v>
      </c>
      <c r="C238" s="14" t="str">
        <f t="shared" si="22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I238" t="s">
        <v>2386</v>
      </c>
      <c r="L238" s="47">
        <f>INDEX(Data_Energy!$D$3:$U$22,MATCH($B238,Data_Energy!$C$3:$C$22,0),MATCH($C238,Data_Energy!$D$2:$U$2,0))</f>
        <v>0</v>
      </c>
      <c r="M238" s="24">
        <f>L238*(1+M$219)^($E228*M$220)*(1+M$221)*IF(Rebate_Industry!L$130&lt;=0,1,Rebate_Industry!M$130/Rebate_Industry!L$130)^$F228*(IF(L211&lt;=0,1,M211/L211)^$G228/(1+$H228+$I228))^(1+$F228)</f>
        <v>0</v>
      </c>
      <c r="N238" s="24">
        <f>M238*(1+N$219)^($E228*N$220)*(1+N$221)*IF(Rebate_Industry!M$130&lt;=0,1,Rebate_Industry!N$130/Rebate_Industry!M$130)^$F228*(IF(M211&lt;=0,1,N211/M211)^$G228/(1+$H228+$I228))^(1+$F228)</f>
        <v>0</v>
      </c>
      <c r="O238" s="24">
        <f>N238*(1+O$219)^($E228*O$220)*(1+O$221)*IF(Rebate_Industry!N$130&lt;=0,1,Rebate_Industry!O$130/Rebate_Industry!N$130)^$F228*(IF(N211&lt;=0,1,O211/N211)^$G228/(1+$H228+$I228))^(1+$F228)</f>
        <v>0</v>
      </c>
      <c r="P238" s="24">
        <f>O238*(1+P$219)^($E228*P$220)*(1+P$221)*IF(Rebate_Industry!O$130&lt;=0,1,Rebate_Industry!P$130/Rebate_Industry!O$130)^$F228*(IF(O211&lt;=0,1,P211/O211)^$G228/(1+$H228+$I228))^(1+$F228)</f>
        <v>0</v>
      </c>
      <c r="Q238" s="24">
        <f>P238*(1+Q$219)^($E228*Q$220)*(1+Q$221)*IF(Rebate_Industry!P$130&lt;=0,1,Rebate_Industry!Q$130/Rebate_Industry!P$130)^$F228*(IF(P211&lt;=0,1,Q211/P211)^$G228/(1+$H228+$I228))^(1+$F228)</f>
        <v>0</v>
      </c>
      <c r="R238" s="24">
        <f>Q238*(1+R$219)^($E228*R$220)*(1+R$221)*IF(Rebate_Industry!Q$130&lt;=0,1,Rebate_Industry!R$130/Rebate_Industry!Q$130)^$F228*(IF(Q211&lt;=0,1,R211/Q211)^$G228/(1+$H228+$I228))^(1+$F228)</f>
        <v>0</v>
      </c>
      <c r="S238" s="24">
        <f>R238*(1+S$219)^($E228*S$220)*(1+S$221)*IF(Rebate_Industry!R$130&lt;=0,1,Rebate_Industry!S$130/Rebate_Industry!R$130)^$F228*(IF(R211&lt;=0,1,S211/R211)^$G228/(1+$H228+$I228))^(1+$F228)</f>
        <v>0</v>
      </c>
      <c r="T238" s="24">
        <f>S238*(1+T$219)^($E228*T$220)*(1+T$221)*IF(Rebate_Industry!S$130&lt;=0,1,Rebate_Industry!T$130/Rebate_Industry!S$130)^$F228*(IF(S211&lt;=0,1,T211/S211)^$G228/(1+$H228+$I228))^(1+$F228)</f>
        <v>0</v>
      </c>
      <c r="U238" s="24">
        <f>T238*(1+U$219)^($E228*U$220)*(1+U$221)*IF(Rebate_Industry!T$130&lt;=0,1,Rebate_Industry!U$130/Rebate_Industry!T$130)^$F228*(IF(T211&lt;=0,1,U211/T211)^$G228/(1+$H228+$I228))^(1+$F228)</f>
        <v>0</v>
      </c>
      <c r="V238" s="24">
        <f>U238*(1+V$219)^($E228*V$220)*(1+V$221)*IF(Rebate_Industry!U$130&lt;=0,1,Rebate_Industry!V$130/Rebate_Industry!U$130)^$F228*(IF(U211&lt;=0,1,V211/U211)^$G228/(1+$H228+$I228))^(1+$F228)</f>
        <v>0</v>
      </c>
      <c r="W238" s="24">
        <f>V238*(1+W$219)^($E228*W$220)*(1+W$221)*IF(Rebate_Industry!V$130&lt;=0,1,Rebate_Industry!W$130/Rebate_Industry!V$130)^$F228*(IF(V211&lt;=0,1,W211/V211)^$G228/(1+$H228+$I228))^(1+$F228)</f>
        <v>0</v>
      </c>
      <c r="X238" s="24">
        <f>W238*(1+X$219)^($E228*X$220)*(1+X$221)*IF(Rebate_Industry!W$130&lt;=0,1,Rebate_Industry!X$130/Rebate_Industry!W$130)^$F228*(IF(W211&lt;=0,1,X211/W211)^$G228/(1+$H228+$I228))^(1+$F228)</f>
        <v>0</v>
      </c>
      <c r="Y238" s="24">
        <f>X238*(1+Y$219)^($E228*Y$220)*(1+Y$221)*IF(Rebate_Industry!X$130&lt;=0,1,Rebate_Industry!Y$130/Rebate_Industry!X$130)^$F228*(IF(X211&lt;=0,1,Y211/X211)^$G228/(1+$H228+$I228))^(1+$F228)</f>
        <v>0</v>
      </c>
      <c r="Z238" s="24">
        <f>Y238*(1+Z$219)^($E228*Z$220)*(1+Z$221)*IF(Rebate_Industry!Y$130&lt;=0,1,Rebate_Industry!Z$130/Rebate_Industry!Y$130)^$F228*(IF(Y211&lt;=0,1,Z211/Y211)^$G228/(1+$H228+$I228))^(1+$F228)</f>
        <v>0</v>
      </c>
      <c r="AA238" s="24">
        <f>Z238*(1+AA$219)^($E228*AA$220)*(1+AA$221)*IF(Rebate_Industry!Z$130&lt;=0,1,Rebate_Industry!AA$130/Rebate_Industry!Z$130)^$F228*(IF(Z211&lt;=0,1,AA211/Z211)^$G228/(1+$H228+$I228))^(1+$F228)</f>
        <v>0</v>
      </c>
      <c r="AB238" s="24">
        <f>AA238*(1+AB$219)^($E228*AB$220)*(1+AB$221)*IF(Rebate_Industry!AA$130&lt;=0,1,Rebate_Industry!AB$130/Rebate_Industry!AA$130)^$F228*(IF(AA211&lt;=0,1,AB211/AA211)^$G228/(1+$H228+$I228))^(1+$F228)</f>
        <v>0</v>
      </c>
      <c r="AC238" s="24">
        <f>AB238*(1+AC$219)^($E228*AC$220)*(1+AC$221)*IF(Rebate_Industry!AB$130&lt;=0,1,Rebate_Industry!AC$130/Rebate_Industry!AB$130)^$F228*(IF(AB211&lt;=0,1,AC211/AB211)^$G228/(1+$H228+$I228))^(1+$F228)</f>
        <v>0</v>
      </c>
      <c r="AD238" s="24">
        <f>AC238*(1+AD$219)^($E228*AD$220)*(1+AD$221)*IF(Rebate_Industry!AC$130&lt;=0,1,Rebate_Industry!AD$130/Rebate_Industry!AC$130)^$F228*(IF(AC211&lt;=0,1,AD211/AC211)^$G228/(1+$H228+$I228))^(1+$F228)</f>
        <v>0</v>
      </c>
      <c r="AE238" s="24">
        <f>AD238*(1+AE$219)^($E228*AE$220)*(1+AE$221)*IF(Rebate_Industry!AD$130&lt;=0,1,Rebate_Industry!AE$130/Rebate_Industry!AD$130)^$F228*(IF(AD211&lt;=0,1,AE211/AD211)^$G228/(1+$H228+$I228))^(1+$F228)</f>
        <v>0</v>
      </c>
    </row>
    <row r="239" spans="2:31" x14ac:dyDescent="0.45">
      <c r="B239" s="14" t="s">
        <v>62</v>
      </c>
      <c r="C239" s="14" t="str">
        <f t="shared" si="22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I239" t="s">
        <v>2387</v>
      </c>
      <c r="L239" s="47">
        <f>INDEX(Data_Energy!$D$3:$U$22,MATCH($B239,Data_Energy!$C$3:$C$22,0),MATCH($C239,Data_Energy!$D$2:$U$2,0))</f>
        <v>0</v>
      </c>
      <c r="M239" s="24">
        <f>L239*(1+M$219)^($E229*M$220)*(1+M$221)*IF(Rebate_Industry!L$131&lt;=0,1,Rebate_Industry!M$131/Rebate_Industry!L$131)^$F229*(IF(L212&lt;=0,1,M212/L212)^$G229/(1+$H229+$I229))^(1+$F229)</f>
        <v>0</v>
      </c>
      <c r="N239" s="24">
        <f>M239*(1+N$219)^($E229*N$220)*(1+N$221)*IF(Rebate_Industry!M$131&lt;=0,1,Rebate_Industry!N$131/Rebate_Industry!M$131)^$F229*(IF(M212&lt;=0,1,N212/M212)^$G229/(1+$H229+$I229))^(1+$F229)</f>
        <v>0</v>
      </c>
      <c r="O239" s="24">
        <f>N239*(1+O$219)^($E229*O$220)*(1+O$221)*IF(Rebate_Industry!N$131&lt;=0,1,Rebate_Industry!O$131/Rebate_Industry!N$131)^$F229*(IF(N212&lt;=0,1,O212/N212)^$G229/(1+$H229+$I229))^(1+$F229)</f>
        <v>0</v>
      </c>
      <c r="P239" s="24">
        <f>O239*(1+P$219)^($E229*P$220)*(1+P$221)*IF(Rebate_Industry!O$131&lt;=0,1,Rebate_Industry!P$131/Rebate_Industry!O$131)^$F229*(IF(O212&lt;=0,1,P212/O212)^$G229/(1+$H229+$I229))^(1+$F229)</f>
        <v>0</v>
      </c>
      <c r="Q239" s="24">
        <f>P239*(1+Q$219)^($E229*Q$220)*(1+Q$221)*IF(Rebate_Industry!P$131&lt;=0,1,Rebate_Industry!Q$131/Rebate_Industry!P$131)^$F229*(IF(P212&lt;=0,1,Q212/P212)^$G229/(1+$H229+$I229))^(1+$F229)</f>
        <v>0</v>
      </c>
      <c r="R239" s="24">
        <f>Q239*(1+R$219)^($E229*R$220)*(1+R$221)*IF(Rebate_Industry!Q$131&lt;=0,1,Rebate_Industry!R$131/Rebate_Industry!Q$131)^$F229*(IF(Q212&lt;=0,1,R212/Q212)^$G229/(1+$H229+$I229))^(1+$F229)</f>
        <v>0</v>
      </c>
      <c r="S239" s="24">
        <f>R239*(1+S$219)^($E229*S$220)*(1+S$221)*IF(Rebate_Industry!R$131&lt;=0,1,Rebate_Industry!S$131/Rebate_Industry!R$131)^$F229*(IF(R212&lt;=0,1,S212/R212)^$G229/(1+$H229+$I229))^(1+$F229)</f>
        <v>0</v>
      </c>
      <c r="T239" s="24">
        <f>S239*(1+T$219)^($E229*T$220)*(1+T$221)*IF(Rebate_Industry!S$131&lt;=0,1,Rebate_Industry!T$131/Rebate_Industry!S$131)^$F229*(IF(S212&lt;=0,1,T212/S212)^$G229/(1+$H229+$I229))^(1+$F229)</f>
        <v>0</v>
      </c>
      <c r="U239" s="24">
        <f>T239*(1+U$219)^($E229*U$220)*(1+U$221)*IF(Rebate_Industry!T$131&lt;=0,1,Rebate_Industry!U$131/Rebate_Industry!T$131)^$F229*(IF(T212&lt;=0,1,U212/T212)^$G229/(1+$H229+$I229))^(1+$F229)</f>
        <v>0</v>
      </c>
      <c r="V239" s="24">
        <f>U239*(1+V$219)^($E229*V$220)*(1+V$221)*IF(Rebate_Industry!U$131&lt;=0,1,Rebate_Industry!V$131/Rebate_Industry!U$131)^$F229*(IF(U212&lt;=0,1,V212/U212)^$G229/(1+$H229+$I229))^(1+$F229)</f>
        <v>0</v>
      </c>
      <c r="W239" s="24">
        <f>V239*(1+W$219)^($E229*W$220)*(1+W$221)*IF(Rebate_Industry!V$131&lt;=0,1,Rebate_Industry!W$131/Rebate_Industry!V$131)^$F229*(IF(V212&lt;=0,1,W212/V212)^$G229/(1+$H229+$I229))^(1+$F229)</f>
        <v>0</v>
      </c>
      <c r="X239" s="24">
        <f>W239*(1+X$219)^($E229*X$220)*(1+X$221)*IF(Rebate_Industry!W$131&lt;=0,1,Rebate_Industry!X$131/Rebate_Industry!W$131)^$F229*(IF(W212&lt;=0,1,X212/W212)^$G229/(1+$H229+$I229))^(1+$F229)</f>
        <v>0</v>
      </c>
      <c r="Y239" s="24">
        <f>X239*(1+Y$219)^($E229*Y$220)*(1+Y$221)*IF(Rebate_Industry!X$131&lt;=0,1,Rebate_Industry!Y$131/Rebate_Industry!X$131)^$F229*(IF(X212&lt;=0,1,Y212/X212)^$G229/(1+$H229+$I229))^(1+$F229)</f>
        <v>0</v>
      </c>
      <c r="Z239" s="24">
        <f>Y239*(1+Z$219)^($E229*Z$220)*(1+Z$221)*IF(Rebate_Industry!Y$131&lt;=0,1,Rebate_Industry!Z$131/Rebate_Industry!Y$131)^$F229*(IF(Y212&lt;=0,1,Z212/Y212)^$G229/(1+$H229+$I229))^(1+$F229)</f>
        <v>0</v>
      </c>
      <c r="AA239" s="24">
        <f>Z239*(1+AA$219)^($E229*AA$220)*(1+AA$221)*IF(Rebate_Industry!Z$131&lt;=0,1,Rebate_Industry!AA$131/Rebate_Industry!Z$131)^$F229*(IF(Z212&lt;=0,1,AA212/Z212)^$G229/(1+$H229+$I229))^(1+$F229)</f>
        <v>0</v>
      </c>
      <c r="AB239" s="24">
        <f>AA239*(1+AB$219)^($E229*AB$220)*(1+AB$221)*IF(Rebate_Industry!AA$131&lt;=0,1,Rebate_Industry!AB$131/Rebate_Industry!AA$131)^$F229*(IF(AA212&lt;=0,1,AB212/AA212)^$G229/(1+$H229+$I229))^(1+$F229)</f>
        <v>0</v>
      </c>
      <c r="AC239" s="24">
        <f>AB239*(1+AC$219)^($E229*AC$220)*(1+AC$221)*IF(Rebate_Industry!AB$131&lt;=0,1,Rebate_Industry!AC$131/Rebate_Industry!AB$131)^$F229*(IF(AB212&lt;=0,1,AC212/AB212)^$G229/(1+$H229+$I229))^(1+$F229)</f>
        <v>0</v>
      </c>
      <c r="AD239" s="24">
        <f>AC239*(1+AD$219)^($E229*AD$220)*(1+AD$221)*IF(Rebate_Industry!AC$131&lt;=0,1,Rebate_Industry!AD$131/Rebate_Industry!AC$131)^$F229*(IF(AC212&lt;=0,1,AD212/AC212)^$G229/(1+$H229+$I229))^(1+$F229)</f>
        <v>0</v>
      </c>
      <c r="AE239" s="24">
        <f>AD239*(1+AE$219)^($E229*AE$220)*(1+AE$221)*IF(Rebate_Industry!AD$131&lt;=0,1,Rebate_Industry!AE$131/Rebate_Industry!AD$131)^$F229*(IF(AD212&lt;=0,1,AE212/AD212)^$G229/(1+$H229+$I229))^(1+$F229)</f>
        <v>0</v>
      </c>
    </row>
    <row r="240" spans="2:31" x14ac:dyDescent="0.45">
      <c r="B240" s="14" t="s">
        <v>64</v>
      </c>
      <c r="C240" s="14" t="str">
        <f t="shared" si="22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I240" t="s">
        <v>2388</v>
      </c>
      <c r="L240" s="47">
        <f>INDEX(Data_Energy!$D$3:$U$22,MATCH($B240,Data_Energy!$C$3:$C$22,0),MATCH($C240,Data_Energy!$D$2:$U$2,0))</f>
        <v>0</v>
      </c>
      <c r="M240" s="24">
        <f>L240*(1+M$219)^($E230*M$220)*(1+M$221)*IF(Rebate_Industry!L$132&lt;=0,1,Rebate_Industry!M$132/Rebate_Industry!L$132)^$F230*(IF(L213&lt;=0,1,M213/L213)^$G230/(1+$H230+$I230))^(1+$F230)</f>
        <v>0</v>
      </c>
      <c r="N240" s="24">
        <f>M240*(1+N$219)^($E230*N$220)*(1+N$221)*IF(Rebate_Industry!M$132&lt;=0,1,Rebate_Industry!N$132/Rebate_Industry!M$132)^$F230*(IF(M213&lt;=0,1,N213/M213)^$G230/(1+$H230+$I230))^(1+$F230)</f>
        <v>0</v>
      </c>
      <c r="O240" s="24">
        <f>N240*(1+O$219)^($E230*O$220)*(1+O$221)*IF(Rebate_Industry!N$132&lt;=0,1,Rebate_Industry!O$132/Rebate_Industry!N$132)^$F230*(IF(N213&lt;=0,1,O213/N213)^$G230/(1+$H230+$I230))^(1+$F230)</f>
        <v>0</v>
      </c>
      <c r="P240" s="24">
        <f>O240*(1+P$219)^($E230*P$220)*(1+P$221)*IF(Rebate_Industry!O$132&lt;=0,1,Rebate_Industry!P$132/Rebate_Industry!O$132)^$F230*(IF(O213&lt;=0,1,P213/O213)^$G230/(1+$H230+$I230))^(1+$F230)</f>
        <v>0</v>
      </c>
      <c r="Q240" s="24">
        <f>P240*(1+Q$219)^($E230*Q$220)*(1+Q$221)*IF(Rebate_Industry!P$132&lt;=0,1,Rebate_Industry!Q$132/Rebate_Industry!P$132)^$F230*(IF(P213&lt;=0,1,Q213/P213)^$G230/(1+$H230+$I230))^(1+$F230)</f>
        <v>0</v>
      </c>
      <c r="R240" s="24">
        <f>Q240*(1+R$219)^($E230*R$220)*(1+R$221)*IF(Rebate_Industry!Q$132&lt;=0,1,Rebate_Industry!R$132/Rebate_Industry!Q$132)^$F230*(IF(Q213&lt;=0,1,R213/Q213)^$G230/(1+$H230+$I230))^(1+$F230)</f>
        <v>0</v>
      </c>
      <c r="S240" s="24">
        <f>R240*(1+S$219)^($E230*S$220)*(1+S$221)*IF(Rebate_Industry!R$132&lt;=0,1,Rebate_Industry!S$132/Rebate_Industry!R$132)^$F230*(IF(R213&lt;=0,1,S213/R213)^$G230/(1+$H230+$I230))^(1+$F230)</f>
        <v>0</v>
      </c>
      <c r="T240" s="24">
        <f>S240*(1+T$219)^($E230*T$220)*(1+T$221)*IF(Rebate_Industry!S$132&lt;=0,1,Rebate_Industry!T$132/Rebate_Industry!S$132)^$F230*(IF(S213&lt;=0,1,T213/S213)^$G230/(1+$H230+$I230))^(1+$F230)</f>
        <v>0</v>
      </c>
      <c r="U240" s="24">
        <f>T240*(1+U$219)^($E230*U$220)*(1+U$221)*IF(Rebate_Industry!T$132&lt;=0,1,Rebate_Industry!U$132/Rebate_Industry!T$132)^$F230*(IF(T213&lt;=0,1,U213/T213)^$G230/(1+$H230+$I230))^(1+$F230)</f>
        <v>0</v>
      </c>
      <c r="V240" s="24">
        <f>U240*(1+V$219)^($E230*V$220)*(1+V$221)*IF(Rebate_Industry!U$132&lt;=0,1,Rebate_Industry!V$132/Rebate_Industry!U$132)^$F230*(IF(U213&lt;=0,1,V213/U213)^$G230/(1+$H230+$I230))^(1+$F230)</f>
        <v>0</v>
      </c>
      <c r="W240" s="24">
        <f>V240*(1+W$219)^($E230*W$220)*(1+W$221)*IF(Rebate_Industry!V$132&lt;=0,1,Rebate_Industry!W$132/Rebate_Industry!V$132)^$F230*(IF(V213&lt;=0,1,W213/V213)^$G230/(1+$H230+$I230))^(1+$F230)</f>
        <v>0</v>
      </c>
      <c r="X240" s="24">
        <f>W240*(1+X$219)^($E230*X$220)*(1+X$221)*IF(Rebate_Industry!W$132&lt;=0,1,Rebate_Industry!X$132/Rebate_Industry!W$132)^$F230*(IF(W213&lt;=0,1,X213/W213)^$G230/(1+$H230+$I230))^(1+$F230)</f>
        <v>0</v>
      </c>
      <c r="Y240" s="24">
        <f>X240*(1+Y$219)^($E230*Y$220)*(1+Y$221)*IF(Rebate_Industry!X$132&lt;=0,1,Rebate_Industry!Y$132/Rebate_Industry!X$132)^$F230*(IF(X213&lt;=0,1,Y213/X213)^$G230/(1+$H230+$I230))^(1+$F230)</f>
        <v>0</v>
      </c>
      <c r="Z240" s="24">
        <f>Y240*(1+Z$219)^($E230*Z$220)*(1+Z$221)*IF(Rebate_Industry!Y$132&lt;=0,1,Rebate_Industry!Z$132/Rebate_Industry!Y$132)^$F230*(IF(Y213&lt;=0,1,Z213/Y213)^$G230/(1+$H230+$I230))^(1+$F230)</f>
        <v>0</v>
      </c>
      <c r="AA240" s="24">
        <f>Z240*(1+AA$219)^($E230*AA$220)*(1+AA$221)*IF(Rebate_Industry!Z$132&lt;=0,1,Rebate_Industry!AA$132/Rebate_Industry!Z$132)^$F230*(IF(Z213&lt;=0,1,AA213/Z213)^$G230/(1+$H230+$I230))^(1+$F230)</f>
        <v>0</v>
      </c>
      <c r="AB240" s="24">
        <f>AA240*(1+AB$219)^($E230*AB$220)*(1+AB$221)*IF(Rebate_Industry!AA$132&lt;=0,1,Rebate_Industry!AB$132/Rebate_Industry!AA$132)^$F230*(IF(AA213&lt;=0,1,AB213/AA213)^$G230/(1+$H230+$I230))^(1+$F230)</f>
        <v>0</v>
      </c>
      <c r="AC240" s="24">
        <f>AB240*(1+AC$219)^($E230*AC$220)*(1+AC$221)*IF(Rebate_Industry!AB$132&lt;=0,1,Rebate_Industry!AC$132/Rebate_Industry!AB$132)^$F230*(IF(AB213&lt;=0,1,AC213/AB213)^$G230/(1+$H230+$I230))^(1+$F230)</f>
        <v>0</v>
      </c>
      <c r="AD240" s="24">
        <f>AC240*(1+AD$219)^($E230*AD$220)*(1+AD$221)*IF(Rebate_Industry!AC$132&lt;=0,1,Rebate_Industry!AD$132/Rebate_Industry!AC$132)^$F230*(IF(AC213&lt;=0,1,AD213/AC213)^$G230/(1+$H230+$I230))^(1+$F230)</f>
        <v>0</v>
      </c>
      <c r="AE240" s="24">
        <f>AD240*(1+AE$219)^($E230*AE$220)*(1+AE$221)*IF(Rebate_Industry!AD$132&lt;=0,1,Rebate_Industry!AE$132/Rebate_Industry!AD$132)^$F230*(IF(AD213&lt;=0,1,AE213/AD213)^$G230/(1+$H230+$I230))^(1+$F230)</f>
        <v>0</v>
      </c>
    </row>
    <row r="241" spans="1:35" x14ac:dyDescent="0.45">
      <c r="B241" s="14" t="s">
        <v>67</v>
      </c>
      <c r="C241" s="14" t="str">
        <f t="shared" si="22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I241" t="s">
        <v>2389</v>
      </c>
      <c r="L241" s="47">
        <f>INDEX(Data_Energy!$D$3:$U$22,MATCH($B241,Data_Energy!$C$3:$C$22,0),MATCH($C241,Data_Energy!$D$2:$U$2,0))</f>
        <v>0</v>
      </c>
      <c r="M241" s="24">
        <f>L241*(1+M$219)^($E231*M$220)*(1+M$221)*IF(Rebate_Industry!L$133&lt;=0,1,Rebate_Industry!M$133/Rebate_Industry!L$133)^$F231*(IF(L214&lt;=0,1,M214/L214)^$G231/(1+$H231+$I231))^(1+$F231)</f>
        <v>0</v>
      </c>
      <c r="N241" s="24">
        <f>M241*(1+N$219)^($E231*N$220)*(1+N$221)*IF(Rebate_Industry!M$133&lt;=0,1,Rebate_Industry!N$133/Rebate_Industry!M$133)^$F231*(IF(M214&lt;=0,1,N214/M214)^$G231/(1+$H231+$I231))^(1+$F231)</f>
        <v>0</v>
      </c>
      <c r="O241" s="24">
        <f>N241*(1+O$219)^($E231*O$220)*(1+O$221)*IF(Rebate_Industry!N$133&lt;=0,1,Rebate_Industry!O$133/Rebate_Industry!N$133)^$F231*(IF(N214&lt;=0,1,O214/N214)^$G231/(1+$H231+$I231))^(1+$F231)</f>
        <v>0</v>
      </c>
      <c r="P241" s="24">
        <f>O241*(1+P$219)^($E231*P$220)*(1+P$221)*IF(Rebate_Industry!O$133&lt;=0,1,Rebate_Industry!P$133/Rebate_Industry!O$133)^$F231*(IF(O214&lt;=0,1,P214/O214)^$G231/(1+$H231+$I231))^(1+$F231)</f>
        <v>0</v>
      </c>
      <c r="Q241" s="24">
        <f>P241*(1+Q$219)^($E231*Q$220)*(1+Q$221)*IF(Rebate_Industry!P$133&lt;=0,1,Rebate_Industry!Q$133/Rebate_Industry!P$133)^$F231*(IF(P214&lt;=0,1,Q214/P214)^$G231/(1+$H231+$I231))^(1+$F231)</f>
        <v>0</v>
      </c>
      <c r="R241" s="24">
        <f>Q241*(1+R$219)^($E231*R$220)*(1+R$221)*IF(Rebate_Industry!Q$133&lt;=0,1,Rebate_Industry!R$133/Rebate_Industry!Q$133)^$F231*(IF(Q214&lt;=0,1,R214/Q214)^$G231/(1+$H231+$I231))^(1+$F231)</f>
        <v>0</v>
      </c>
      <c r="S241" s="24">
        <f>R241*(1+S$219)^($E231*S$220)*(1+S$221)*IF(Rebate_Industry!R$133&lt;=0,1,Rebate_Industry!S$133/Rebate_Industry!R$133)^$F231*(IF(R214&lt;=0,1,S214/R214)^$G231/(1+$H231+$I231))^(1+$F231)</f>
        <v>0</v>
      </c>
      <c r="T241" s="24">
        <f>S241*(1+T$219)^($E231*T$220)*(1+T$221)*IF(Rebate_Industry!S$133&lt;=0,1,Rebate_Industry!T$133/Rebate_Industry!S$133)^$F231*(IF(S214&lt;=0,1,T214/S214)^$G231/(1+$H231+$I231))^(1+$F231)</f>
        <v>0</v>
      </c>
      <c r="U241" s="24">
        <f>T241*(1+U$219)^($E231*U$220)*(1+U$221)*IF(Rebate_Industry!T$133&lt;=0,1,Rebate_Industry!U$133/Rebate_Industry!T$133)^$F231*(IF(T214&lt;=0,1,U214/T214)^$G231/(1+$H231+$I231))^(1+$F231)</f>
        <v>0</v>
      </c>
      <c r="V241" s="24">
        <f>U241*(1+V$219)^($E231*V$220)*(1+V$221)*IF(Rebate_Industry!U$133&lt;=0,1,Rebate_Industry!V$133/Rebate_Industry!U$133)^$F231*(IF(U214&lt;=0,1,V214/U214)^$G231/(1+$H231+$I231))^(1+$F231)</f>
        <v>0</v>
      </c>
      <c r="W241" s="24">
        <f>V241*(1+W$219)^($E231*W$220)*(1+W$221)*IF(Rebate_Industry!V$133&lt;=0,1,Rebate_Industry!W$133/Rebate_Industry!V$133)^$F231*(IF(V214&lt;=0,1,W214/V214)^$G231/(1+$H231+$I231))^(1+$F231)</f>
        <v>0</v>
      </c>
      <c r="X241" s="24">
        <f>W241*(1+X$219)^($E231*X$220)*(1+X$221)*IF(Rebate_Industry!W$133&lt;=0,1,Rebate_Industry!X$133/Rebate_Industry!W$133)^$F231*(IF(W214&lt;=0,1,X214/W214)^$G231/(1+$H231+$I231))^(1+$F231)</f>
        <v>0</v>
      </c>
      <c r="Y241" s="24">
        <f>X241*(1+Y$219)^($E231*Y$220)*(1+Y$221)*IF(Rebate_Industry!X$133&lt;=0,1,Rebate_Industry!Y$133/Rebate_Industry!X$133)^$F231*(IF(X214&lt;=0,1,Y214/X214)^$G231/(1+$H231+$I231))^(1+$F231)</f>
        <v>0</v>
      </c>
      <c r="Z241" s="24">
        <f>Y241*(1+Z$219)^($E231*Z$220)*(1+Z$221)*IF(Rebate_Industry!Y$133&lt;=0,1,Rebate_Industry!Z$133/Rebate_Industry!Y$133)^$F231*(IF(Y214&lt;=0,1,Z214/Y214)^$G231/(1+$H231+$I231))^(1+$F231)</f>
        <v>0</v>
      </c>
      <c r="AA241" s="24">
        <f>Z241*(1+AA$219)^($E231*AA$220)*(1+AA$221)*IF(Rebate_Industry!Z$133&lt;=0,1,Rebate_Industry!AA$133/Rebate_Industry!Z$133)^$F231*(IF(Z214&lt;=0,1,AA214/Z214)^$G231/(1+$H231+$I231))^(1+$F231)</f>
        <v>0</v>
      </c>
      <c r="AB241" s="24">
        <f>AA241*(1+AB$219)^($E231*AB$220)*(1+AB$221)*IF(Rebate_Industry!AA$133&lt;=0,1,Rebate_Industry!AB$133/Rebate_Industry!AA$133)^$F231*(IF(AA214&lt;=0,1,AB214/AA214)^$G231/(1+$H231+$I231))^(1+$F231)</f>
        <v>0</v>
      </c>
      <c r="AC241" s="24">
        <f>AB241*(1+AC$219)^($E231*AC$220)*(1+AC$221)*IF(Rebate_Industry!AB$133&lt;=0,1,Rebate_Industry!AC$133/Rebate_Industry!AB$133)^$F231*(IF(AB214&lt;=0,1,AC214/AB214)^$G231/(1+$H231+$I231))^(1+$F231)</f>
        <v>0</v>
      </c>
      <c r="AD241" s="24">
        <f>AC241*(1+AD$219)^($E231*AD$220)*(1+AD$221)*IF(Rebate_Industry!AC$133&lt;=0,1,Rebate_Industry!AD$133/Rebate_Industry!AC$133)^$F231*(IF(AC214&lt;=0,1,AD214/AC214)^$G231/(1+$H231+$I231))^(1+$F231)</f>
        <v>0</v>
      </c>
      <c r="AE241" s="24">
        <f>AD241*(1+AE$219)^($E231*AE$220)*(1+AE$221)*IF(Rebate_Industry!AD$133&lt;=0,1,Rebate_Industry!AE$133/Rebate_Industry!AD$133)^$F231*(IF(AD214&lt;=0,1,AE214/AD214)^$G231/(1+$H231+$I231))^(1+$F231)</f>
        <v>0</v>
      </c>
    </row>
    <row r="242" spans="1:35" x14ac:dyDescent="0.45">
      <c r="B242" s="14" t="s">
        <v>69</v>
      </c>
      <c r="C242" s="14" t="str">
        <f t="shared" si="22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I242" t="s">
        <v>2390</v>
      </c>
      <c r="L242" s="47">
        <f>INDEX(Data_Energy!$D$3:$U$22,MATCH($B242,Data_Energy!$C$3:$C$22,0),MATCH($C242,Data_Energy!$D$2:$U$2,0))</f>
        <v>0</v>
      </c>
      <c r="M242" s="24">
        <f>L242*(1+M$219)^($E232*M$220)*(1+M$221)*IF(Rebate_Industry!L$134&lt;=0,1,Rebate_Industry!M$134/Rebate_Industry!L$134)^$F232*(IF(L215&lt;=0,1,M215/L215)^$G232/(1+$H232+$I232))^(1+$F232)</f>
        <v>0</v>
      </c>
      <c r="N242" s="24">
        <f>M242*(1+N$219)^($E232*N$220)*(1+N$221)*IF(Rebate_Industry!M$134&lt;=0,1,Rebate_Industry!N$134/Rebate_Industry!M$134)^$F232*(IF(M215&lt;=0,1,N215/M215)^$G232/(1+$H232+$I232))^(1+$F232)</f>
        <v>0</v>
      </c>
      <c r="O242" s="24">
        <f>N242*(1+O$219)^($E232*O$220)*(1+O$221)*IF(Rebate_Industry!N$134&lt;=0,1,Rebate_Industry!O$134/Rebate_Industry!N$134)^$F232*(IF(N215&lt;=0,1,O215/N215)^$G232/(1+$H232+$I232))^(1+$F232)</f>
        <v>0</v>
      </c>
      <c r="P242" s="24">
        <f>O242*(1+P$219)^($E232*P$220)*(1+P$221)*IF(Rebate_Industry!O$134&lt;=0,1,Rebate_Industry!P$134/Rebate_Industry!O$134)^$F232*(IF(O215&lt;=0,1,P215/O215)^$G232/(1+$H232+$I232))^(1+$F232)</f>
        <v>0</v>
      </c>
      <c r="Q242" s="24">
        <f>P242*(1+Q$219)^($E232*Q$220)*(1+Q$221)*IF(Rebate_Industry!P$134&lt;=0,1,Rebate_Industry!Q$134/Rebate_Industry!P$134)^$F232*(IF(P215&lt;=0,1,Q215/P215)^$G232/(1+$H232+$I232))^(1+$F232)</f>
        <v>0</v>
      </c>
      <c r="R242" s="24">
        <f>Q242*(1+R$219)^($E232*R$220)*(1+R$221)*IF(Rebate_Industry!Q$134&lt;=0,1,Rebate_Industry!R$134/Rebate_Industry!Q$134)^$F232*(IF(Q215&lt;=0,1,R215/Q215)^$G232/(1+$H232+$I232))^(1+$F232)</f>
        <v>0</v>
      </c>
      <c r="S242" s="24">
        <f>R242*(1+S$219)^($E232*S$220)*(1+S$221)*IF(Rebate_Industry!R$134&lt;=0,1,Rebate_Industry!S$134/Rebate_Industry!R$134)^$F232*(IF(R215&lt;=0,1,S215/R215)^$G232/(1+$H232+$I232))^(1+$F232)</f>
        <v>0</v>
      </c>
      <c r="T242" s="24">
        <f>S242*(1+T$219)^($E232*T$220)*(1+T$221)*IF(Rebate_Industry!S$134&lt;=0,1,Rebate_Industry!T$134/Rebate_Industry!S$134)^$F232*(IF(S215&lt;=0,1,T215/S215)^$G232/(1+$H232+$I232))^(1+$F232)</f>
        <v>0</v>
      </c>
      <c r="U242" s="24">
        <f>T242*(1+U$219)^($E232*U$220)*(1+U$221)*IF(Rebate_Industry!T$134&lt;=0,1,Rebate_Industry!U$134/Rebate_Industry!T$134)^$F232*(IF(T215&lt;=0,1,U215/T215)^$G232/(1+$H232+$I232))^(1+$F232)</f>
        <v>0</v>
      </c>
      <c r="V242" s="24">
        <f>U242*(1+V$219)^($E232*V$220)*(1+V$221)*IF(Rebate_Industry!U$134&lt;=0,1,Rebate_Industry!V$134/Rebate_Industry!U$134)^$F232*(IF(U215&lt;=0,1,V215/U215)^$G232/(1+$H232+$I232))^(1+$F232)</f>
        <v>0</v>
      </c>
      <c r="W242" s="24">
        <f>V242*(1+W$219)^($E232*W$220)*(1+W$221)*IF(Rebate_Industry!V$134&lt;=0,1,Rebate_Industry!W$134/Rebate_Industry!V$134)^$F232*(IF(V215&lt;=0,1,W215/V215)^$G232/(1+$H232+$I232))^(1+$F232)</f>
        <v>0</v>
      </c>
      <c r="X242" s="24">
        <f>W242*(1+X$219)^($E232*X$220)*(1+X$221)*IF(Rebate_Industry!W$134&lt;=0,1,Rebate_Industry!X$134/Rebate_Industry!W$134)^$F232*(IF(W215&lt;=0,1,X215/W215)^$G232/(1+$H232+$I232))^(1+$F232)</f>
        <v>0</v>
      </c>
      <c r="Y242" s="24">
        <f>X242*(1+Y$219)^($E232*Y$220)*(1+Y$221)*IF(Rebate_Industry!X$134&lt;=0,1,Rebate_Industry!Y$134/Rebate_Industry!X$134)^$F232*(IF(X215&lt;=0,1,Y215/X215)^$G232/(1+$H232+$I232))^(1+$F232)</f>
        <v>0</v>
      </c>
      <c r="Z242" s="24">
        <f>Y242*(1+Z$219)^($E232*Z$220)*(1+Z$221)*IF(Rebate_Industry!Y$134&lt;=0,1,Rebate_Industry!Z$134/Rebate_Industry!Y$134)^$F232*(IF(Y215&lt;=0,1,Z215/Y215)^$G232/(1+$H232+$I232))^(1+$F232)</f>
        <v>0</v>
      </c>
      <c r="AA242" s="24">
        <f>Z242*(1+AA$219)^($E232*AA$220)*(1+AA$221)*IF(Rebate_Industry!Z$134&lt;=0,1,Rebate_Industry!AA$134/Rebate_Industry!Z$134)^$F232*(IF(Z215&lt;=0,1,AA215/Z215)^$G232/(1+$H232+$I232))^(1+$F232)</f>
        <v>0</v>
      </c>
      <c r="AB242" s="24">
        <f>AA242*(1+AB$219)^($E232*AB$220)*(1+AB$221)*IF(Rebate_Industry!AA$134&lt;=0,1,Rebate_Industry!AB$134/Rebate_Industry!AA$134)^$F232*(IF(AA215&lt;=0,1,AB215/AA215)^$G232/(1+$H232+$I232))^(1+$F232)</f>
        <v>0</v>
      </c>
      <c r="AC242" s="24">
        <f>AB242*(1+AC$219)^($E232*AC$220)*(1+AC$221)*IF(Rebate_Industry!AB$134&lt;=0,1,Rebate_Industry!AC$134/Rebate_Industry!AB$134)^$F232*(IF(AB215&lt;=0,1,AC215/AB215)^$G232/(1+$H232+$I232))^(1+$F232)</f>
        <v>0</v>
      </c>
      <c r="AD242" s="24">
        <f>AC242*(1+AD$219)^($E232*AD$220)*(1+AD$221)*IF(Rebate_Industry!AC$134&lt;=0,1,Rebate_Industry!AD$134/Rebate_Industry!AC$134)^$F232*(IF(AC215&lt;=0,1,AD215/AC215)^$G232/(1+$H232+$I232))^(1+$F232)</f>
        <v>0</v>
      </c>
      <c r="AE242" s="24">
        <f>AD242*(1+AE$219)^($E232*AE$220)*(1+AE$221)*IF(Rebate_Industry!AD$134&lt;=0,1,Rebate_Industry!AE$134/Rebate_Industry!AD$134)^$F232*(IF(AD215&lt;=0,1,AE215/AD215)^$G232/(1+$H232+$I232))^(1+$F232)</f>
        <v>0</v>
      </c>
    </row>
    <row r="243" spans="1:35" x14ac:dyDescent="0.45">
      <c r="B243" s="14" t="s">
        <v>110</v>
      </c>
      <c r="C243" s="14" t="str">
        <f t="shared" si="22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23">SUM(L234:L242)</f>
        <v>0</v>
      </c>
      <c r="M243" s="26">
        <f t="shared" si="23"/>
        <v>0</v>
      </c>
      <c r="N243" s="26">
        <f t="shared" si="23"/>
        <v>0</v>
      </c>
      <c r="O243" s="26">
        <f t="shared" si="23"/>
        <v>0</v>
      </c>
      <c r="P243" s="26">
        <f t="shared" si="23"/>
        <v>0</v>
      </c>
      <c r="Q243" s="26">
        <f t="shared" si="23"/>
        <v>0</v>
      </c>
      <c r="R243" s="26">
        <f t="shared" si="23"/>
        <v>0</v>
      </c>
      <c r="S243" s="26">
        <f t="shared" si="23"/>
        <v>0</v>
      </c>
      <c r="T243" s="26">
        <f t="shared" si="23"/>
        <v>0</v>
      </c>
      <c r="U243" s="26">
        <f t="shared" si="23"/>
        <v>0</v>
      </c>
      <c r="V243" s="26">
        <f t="shared" si="23"/>
        <v>0</v>
      </c>
      <c r="W243" s="26">
        <f t="shared" si="23"/>
        <v>0</v>
      </c>
      <c r="X243" s="26">
        <f t="shared" si="23"/>
        <v>0</v>
      </c>
      <c r="Y243" s="26">
        <f t="shared" si="23"/>
        <v>0</v>
      </c>
      <c r="Z243" s="26">
        <f t="shared" si="23"/>
        <v>0</v>
      </c>
      <c r="AA243" s="26">
        <f t="shared" si="23"/>
        <v>0</v>
      </c>
      <c r="AB243" s="26">
        <f t="shared" si="23"/>
        <v>0</v>
      </c>
      <c r="AC243" s="26">
        <f t="shared" si="23"/>
        <v>0</v>
      </c>
      <c r="AD243" s="26">
        <f t="shared" si="23"/>
        <v>0</v>
      </c>
      <c r="AE243" s="26">
        <f t="shared" si="23"/>
        <v>0</v>
      </c>
    </row>
    <row r="245" spans="1:35" x14ac:dyDescent="0.45">
      <c r="A245" s="11"/>
      <c r="B245" s="6" t="s">
        <v>1405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1406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24">L340</f>
        <v>2022</v>
      </c>
      <c r="M246" s="74">
        <f t="shared" si="24"/>
        <v>2023</v>
      </c>
      <c r="N246" s="74">
        <f t="shared" si="24"/>
        <v>2024</v>
      </c>
      <c r="O246" s="74">
        <f t="shared" si="24"/>
        <v>2025</v>
      </c>
      <c r="P246" s="74">
        <f t="shared" si="24"/>
        <v>2026</v>
      </c>
      <c r="Q246" s="74">
        <f t="shared" si="24"/>
        <v>2027</v>
      </c>
      <c r="R246" s="74">
        <f t="shared" si="24"/>
        <v>2028</v>
      </c>
      <c r="S246" s="74">
        <f t="shared" si="24"/>
        <v>2029</v>
      </c>
      <c r="T246" s="74">
        <f t="shared" si="24"/>
        <v>2030</v>
      </c>
      <c r="U246" s="74">
        <f t="shared" si="24"/>
        <v>2031</v>
      </c>
      <c r="V246" s="74">
        <f t="shared" si="24"/>
        <v>2032</v>
      </c>
      <c r="W246" s="74">
        <f t="shared" si="24"/>
        <v>2033</v>
      </c>
      <c r="X246" s="74">
        <f t="shared" si="24"/>
        <v>2034</v>
      </c>
      <c r="Y246" s="74">
        <f t="shared" si="24"/>
        <v>2035</v>
      </c>
      <c r="Z246" s="74">
        <f t="shared" si="24"/>
        <v>2036</v>
      </c>
      <c r="AA246" s="74">
        <f t="shared" si="24"/>
        <v>2037</v>
      </c>
      <c r="AB246" s="74">
        <f t="shared" si="24"/>
        <v>2038</v>
      </c>
      <c r="AC246" s="74">
        <f t="shared" si="24"/>
        <v>2039</v>
      </c>
      <c r="AD246" s="74">
        <f t="shared" si="24"/>
        <v>2040</v>
      </c>
      <c r="AE246" s="74">
        <f t="shared" si="24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1407</v>
      </c>
      <c r="E247" s="71" t="s">
        <v>1398</v>
      </c>
      <c r="F247" s="71" t="s">
        <v>26</v>
      </c>
      <c r="G247" s="86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1408</v>
      </c>
      <c r="E248" s="70" t="s">
        <v>1398</v>
      </c>
      <c r="F248" s="70" t="s">
        <v>26</v>
      </c>
      <c r="G248" s="87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1409</v>
      </c>
      <c r="E249" s="70" t="s">
        <v>1410</v>
      </c>
      <c r="F249" s="70" t="s">
        <v>26</v>
      </c>
      <c r="G249" s="87" t="str">
        <f>Settings!$B$3&amp;".mit.fundsp."&amp;$J$5</f>
        <v>egy.mit.fundsp.1</v>
      </c>
      <c r="H249" s="70"/>
      <c r="I249" s="70" t="s">
        <v>2884</v>
      </c>
      <c r="J249" s="70"/>
      <c r="K249" s="70"/>
      <c r="L249" s="96">
        <f>INDEX(Data_Prices!L:L,MATCH($G249,Data_Prices!$A:$A,0))</f>
        <v>0</v>
      </c>
      <c r="M249" s="96">
        <f>INDEX(Data_Prices!M:M,MATCH($G249,Data_Prices!$A:$A,0))</f>
        <v>0</v>
      </c>
      <c r="N249" s="96">
        <f>INDEX(Data_Prices!N:N,MATCH($G249,Data_Prices!$A:$A,0))</f>
        <v>0</v>
      </c>
      <c r="O249" s="96">
        <f>INDEX(Data_Prices!O:O,MATCH($G249,Data_Prices!$A:$A,0))</f>
        <v>0</v>
      </c>
      <c r="P249" s="96">
        <f>INDEX(Data_Prices!P:P,MATCH($G249,Data_Prices!$A:$A,0))</f>
        <v>0</v>
      </c>
      <c r="Q249" s="96">
        <f>INDEX(Data_Prices!Q:Q,MATCH($G249,Data_Prices!$A:$A,0))</f>
        <v>0</v>
      </c>
      <c r="R249" s="96">
        <f>INDEX(Data_Prices!R:R,MATCH($G249,Data_Prices!$A:$A,0))</f>
        <v>0</v>
      </c>
      <c r="S249" s="96">
        <f>INDEX(Data_Prices!S:S,MATCH($G249,Data_Prices!$A:$A,0))</f>
        <v>0</v>
      </c>
      <c r="T249" s="96">
        <f>INDEX(Data_Prices!T:T,MATCH($G249,Data_Prices!$A:$A,0))</f>
        <v>0</v>
      </c>
      <c r="U249" s="96">
        <f>INDEX(Data_Prices!U:U,MATCH($G249,Data_Prices!$A:$A,0))</f>
        <v>0</v>
      </c>
      <c r="V249" s="96">
        <f>INDEX(Data_Prices!V:V,MATCH($G249,Data_Prices!$A:$A,0))</f>
        <v>0</v>
      </c>
      <c r="W249" s="96">
        <f>INDEX(Data_Prices!W:W,MATCH($G249,Data_Prices!$A:$A,0))</f>
        <v>0</v>
      </c>
      <c r="X249" s="96">
        <f>INDEX(Data_Prices!X:X,MATCH($G249,Data_Prices!$A:$A,0))</f>
        <v>0</v>
      </c>
      <c r="Y249" s="96">
        <f>INDEX(Data_Prices!Y:Y,MATCH($G249,Data_Prices!$A:$A,0))</f>
        <v>0</v>
      </c>
      <c r="Z249" s="96">
        <f>INDEX(Data_Prices!Z:Z,MATCH($G249,Data_Prices!$A:$A,0))</f>
        <v>0</v>
      </c>
      <c r="AA249" s="96">
        <f>INDEX(Data_Prices!AA:AA,MATCH($G249,Data_Prices!$A:$A,0))</f>
        <v>0</v>
      </c>
      <c r="AB249" s="96">
        <f>INDEX(Data_Prices!AB:AB,MATCH($G249,Data_Prices!$A:$A,0))</f>
        <v>0</v>
      </c>
      <c r="AC249" s="96">
        <f>INDEX(Data_Prices!AC:AC,MATCH($G249,Data_Prices!$A:$A,0))</f>
        <v>0</v>
      </c>
      <c r="AD249" s="96">
        <f>INDEX(Data_Prices!AD:AD,MATCH($G249,Data_Prices!$A:$A,0))</f>
        <v>0</v>
      </c>
      <c r="AE249" s="96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1411</v>
      </c>
      <c r="E250" s="70" t="s">
        <v>1844</v>
      </c>
      <c r="F250" s="70" t="s">
        <v>26</v>
      </c>
      <c r="G250" s="87" t="str">
        <f>Settings!$B$3&amp;".mit.fundsh."&amp;$J$5</f>
        <v>egy.mit.fundsh.1</v>
      </c>
      <c r="H250" s="70"/>
      <c r="I250" s="70" t="s">
        <v>2883</v>
      </c>
      <c r="J250" s="70"/>
      <c r="K250" s="70"/>
      <c r="L250" s="112">
        <f>Fund_Industry!L$122</f>
        <v>0</v>
      </c>
      <c r="M250" s="112">
        <f>Fund_Industry!M$122</f>
        <v>0</v>
      </c>
      <c r="N250" s="112">
        <f>Fund_Industry!N$122</f>
        <v>0</v>
      </c>
      <c r="O250" s="112">
        <f>Fund_Industry!O$122</f>
        <v>0</v>
      </c>
      <c r="P250" s="112">
        <f>Fund_Industry!P$122</f>
        <v>0</v>
      </c>
      <c r="Q250" s="112">
        <f>Fund_Industry!Q$122</f>
        <v>0</v>
      </c>
      <c r="R250" s="112">
        <f>Fund_Industry!R$122</f>
        <v>0</v>
      </c>
      <c r="S250" s="112">
        <f>Fund_Industry!S$122</f>
        <v>0</v>
      </c>
      <c r="T250" s="112">
        <f>Fund_Industry!T$122</f>
        <v>0</v>
      </c>
      <c r="U250" s="112">
        <f>Fund_Industry!U$122</f>
        <v>0</v>
      </c>
      <c r="V250" s="112">
        <f>Fund_Industry!V$122</f>
        <v>0</v>
      </c>
      <c r="W250" s="112">
        <f>Fund_Industry!W$122</f>
        <v>0</v>
      </c>
      <c r="X250" s="112">
        <f>Fund_Industry!X$122</f>
        <v>0</v>
      </c>
      <c r="Y250" s="112">
        <f>Fund_Industry!Y$122</f>
        <v>0</v>
      </c>
      <c r="Z250" s="112">
        <f>Fund_Industry!Z$122</f>
        <v>0</v>
      </c>
      <c r="AA250" s="112">
        <f>Fund_Industry!AA$122</f>
        <v>0</v>
      </c>
      <c r="AB250" s="112">
        <f>Fund_Industry!AB$122</f>
        <v>0</v>
      </c>
      <c r="AC250" s="112">
        <f>Fund_Industry!AC$122</f>
        <v>0</v>
      </c>
      <c r="AD250" s="112">
        <f>Fund_Industry!AD$122</f>
        <v>0</v>
      </c>
      <c r="AE250" s="112">
        <f>Fund_Industry!AE$122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1845</v>
      </c>
      <c r="E251" s="70" t="s">
        <v>1398</v>
      </c>
      <c r="F251" s="70" t="s">
        <v>26</v>
      </c>
      <c r="G251" s="87" t="str">
        <f>Settings!$B$3&amp;".mit.obrrb."&amp;$J$5</f>
        <v>egy.mit.obrrb.1</v>
      </c>
      <c r="H251" s="70"/>
      <c r="I251" s="70" t="s">
        <v>1846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1412</v>
      </c>
      <c r="D252" s="73"/>
      <c r="E252" s="71" t="s">
        <v>1413</v>
      </c>
      <c r="F252" s="71" t="s">
        <v>1414</v>
      </c>
      <c r="G252" s="71" t="s">
        <v>1388</v>
      </c>
      <c r="H252" s="71" t="s">
        <v>1415</v>
      </c>
      <c r="I252" s="71" t="s">
        <v>1416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52"/>
      <c r="C258" s="52" t="s">
        <v>1884</v>
      </c>
      <c r="D258" s="72" t="s">
        <v>1885</v>
      </c>
      <c r="E258" s="72" t="s">
        <v>1852</v>
      </c>
      <c r="F258" s="72"/>
      <c r="G258" s="70" t="s">
        <v>1475</v>
      </c>
      <c r="H258" s="87" t="str">
        <f>Settings!$B$3&amp;".mit.emisfc."&amp;$G258&amp;"."&amp;$J$5</f>
        <v>egy.mit.emisfc.cbam.tot.1</v>
      </c>
      <c r="I258" s="72"/>
      <c r="J258" s="72"/>
      <c r="K258" s="72"/>
      <c r="L258" s="72">
        <f t="shared" ref="L258:AE258" si="25">SUMPRODUCT(L$276:L$283*$H$264:$H$271*EXP(-$E$352:$E$359*L$249))/1000</f>
        <v>17.33923534589551</v>
      </c>
      <c r="M258" s="72">
        <f t="shared" si="25"/>
        <v>17.906085636678021</v>
      </c>
      <c r="N258" s="72">
        <f t="shared" si="25"/>
        <v>18.491797925</v>
      </c>
      <c r="O258" s="72">
        <f t="shared" si="25"/>
        <v>19.097010387799997</v>
      </c>
      <c r="P258" s="72">
        <f t="shared" si="25"/>
        <v>19.722383163766395</v>
      </c>
      <c r="Q258" s="72">
        <f t="shared" si="25"/>
        <v>20.368599123177255</v>
      </c>
      <c r="R258" s="72">
        <f t="shared" si="25"/>
        <v>21.036364665292766</v>
      </c>
      <c r="S258" s="72">
        <f t="shared" si="25"/>
        <v>21.726410544310145</v>
      </c>
      <c r="T258" s="72">
        <f t="shared" si="25"/>
        <v>22.439492724928552</v>
      </c>
      <c r="U258" s="72">
        <f t="shared" si="25"/>
        <v>23.176393268611605</v>
      </c>
      <c r="V258" s="72">
        <f t="shared" si="25"/>
        <v>23.937921251675412</v>
      </c>
      <c r="W258" s="72">
        <f t="shared" si="25"/>
        <v>24.724913716373393</v>
      </c>
      <c r="X258" s="72">
        <f t="shared" si="25"/>
        <v>25.538236656192712</v>
      </c>
      <c r="Y258" s="72">
        <f t="shared" si="25"/>
        <v>26.37878603662384</v>
      </c>
      <c r="Z258" s="72">
        <f t="shared" si="25"/>
        <v>27.247488852711776</v>
      </c>
      <c r="AA258" s="72">
        <f t="shared" si="25"/>
        <v>28.145304224748109</v>
      </c>
      <c r="AB258" s="72">
        <f t="shared" si="25"/>
        <v>29.073224533513493</v>
      </c>
      <c r="AC258" s="72">
        <f t="shared" si="25"/>
        <v>30.032276596534963</v>
      </c>
      <c r="AD258" s="72">
        <f t="shared" si="25"/>
        <v>31.023522886877181</v>
      </c>
      <c r="AE258" s="72">
        <f t="shared" si="25"/>
        <v>32.04806279604545</v>
      </c>
      <c r="AF258" s="70"/>
      <c r="AG258" s="70"/>
      <c r="AH258" s="70"/>
      <c r="AI258" s="70"/>
    </row>
    <row r="259" spans="1:35" x14ac:dyDescent="0.45">
      <c r="A259" s="70"/>
      <c r="B259" s="52"/>
      <c r="C259" s="52"/>
      <c r="D259" s="72" t="s">
        <v>1886</v>
      </c>
      <c r="E259" s="72" t="s">
        <v>1852</v>
      </c>
      <c r="F259" s="72"/>
      <c r="G259" s="70" t="s">
        <v>1475</v>
      </c>
      <c r="H259" s="87" t="str">
        <f>Settings!$B$3&amp;".mit.emisfp."&amp;$G259&amp;"."&amp;$J$5</f>
        <v>egy.mit.emisfp.cbam.tot.1</v>
      </c>
      <c r="I259" s="72"/>
      <c r="J259" s="72"/>
      <c r="K259" s="72"/>
      <c r="L259" s="72">
        <f t="shared" ref="L259:AE259" si="26">SUMPRODUCT(L$276:L$283*$I$264:$I$271*EXP(-$E$352:$E$359*L$249))/1000</f>
        <v>3.9961358410604224</v>
      </c>
      <c r="M259" s="72">
        <f t="shared" si="26"/>
        <v>4.1245083582113056</v>
      </c>
      <c r="N259" s="72">
        <f t="shared" si="26"/>
        <v>4.2574852019999998</v>
      </c>
      <c r="O259" s="72">
        <f t="shared" si="26"/>
        <v>4.3952459933880004</v>
      </c>
      <c r="P259" s="72">
        <f t="shared" si="26"/>
        <v>4.5379777513320727</v>
      </c>
      <c r="Q259" s="72">
        <f t="shared" si="26"/>
        <v>4.685875207178853</v>
      </c>
      <c r="R259" s="72">
        <f t="shared" si="26"/>
        <v>4.8391411326482334</v>
      </c>
      <c r="S259" s="72">
        <f t="shared" si="26"/>
        <v>4.9979866819980412</v>
      </c>
      <c r="T259" s="72">
        <f t="shared" si="26"/>
        <v>5.1626317489885354</v>
      </c>
      <c r="U259" s="72">
        <f t="shared" si="26"/>
        <v>5.3333053392922274</v>
      </c>
      <c r="V259" s="72">
        <f t="shared" si="26"/>
        <v>5.5102459590229422</v>
      </c>
      <c r="W259" s="72">
        <f t="shared" si="26"/>
        <v>5.6937020200874482</v>
      </c>
      <c r="X259" s="72">
        <f t="shared" si="26"/>
        <v>5.8839322630938788</v>
      </c>
      <c r="Y259" s="72">
        <f t="shared" si="26"/>
        <v>6.0812061985832875</v>
      </c>
      <c r="Z259" s="72">
        <f t="shared" si="26"/>
        <v>6.2858045673843232</v>
      </c>
      <c r="AA259" s="72">
        <f t="shared" si="26"/>
        <v>6.4980198209259985</v>
      </c>
      <c r="AB259" s="72">
        <f t="shared" si="26"/>
        <v>6.7181566223801967</v>
      </c>
      <c r="AC259" s="72">
        <f t="shared" si="26"/>
        <v>6.946532369543716</v>
      </c>
      <c r="AD259" s="72">
        <f t="shared" si="26"/>
        <v>7.183477740409562</v>
      </c>
      <c r="AE259" s="72">
        <f t="shared" si="26"/>
        <v>7.4293372624188372</v>
      </c>
      <c r="AF259" s="70"/>
      <c r="AG259" s="70"/>
      <c r="AH259" s="70"/>
      <c r="AI259" s="70"/>
    </row>
    <row r="260" spans="1:35" x14ac:dyDescent="0.45">
      <c r="A260" s="70"/>
      <c r="B260" s="52"/>
      <c r="C260" s="52"/>
      <c r="D260" s="72" t="s">
        <v>1887</v>
      </c>
      <c r="E260" s="72" t="s">
        <v>1852</v>
      </c>
      <c r="F260" s="72"/>
      <c r="G260" s="70" t="s">
        <v>1475</v>
      </c>
      <c r="H260" s="87" t="str">
        <f>Settings!$B$3&amp;".mit.emisnp."&amp;$G260&amp;"."&amp;$J$5</f>
        <v>egy.mit.emisnp.cbam.tot.1</v>
      </c>
      <c r="I260" s="72" t="s">
        <v>2886</v>
      </c>
      <c r="J260" s="72"/>
      <c r="K260" s="72"/>
      <c r="L260" s="72">
        <f t="shared" ref="L260:AE260" si="27">SUMPRODUCT(L$276:L$283*($J$264:$J$271&gt;0)*$J$264:$J$271*(1-$J$273*$F$363:$F$370*(1-EXP(-$E$363:$E$370*($F$310:$F$317*L$308+$G$310:$G$317*L$248+L$249)))))/1000</f>
        <v>25.971762885046314</v>
      </c>
      <c r="M260" s="72">
        <f t="shared" si="27"/>
        <v>26.842539414672931</v>
      </c>
      <c r="N260" s="72">
        <f t="shared" si="27"/>
        <v>27.742760634</v>
      </c>
      <c r="O260" s="72">
        <f t="shared" si="27"/>
        <v>28.673435240928001</v>
      </c>
      <c r="P260" s="72">
        <f t="shared" si="27"/>
        <v>29.635607169743587</v>
      </c>
      <c r="Q260" s="72">
        <f t="shared" si="27"/>
        <v>30.630356857310563</v>
      </c>
      <c r="R260" s="72">
        <f t="shared" si="27"/>
        <v>31.658802556563273</v>
      </c>
      <c r="S260" s="72">
        <f t="shared" si="27"/>
        <v>32.722101699159616</v>
      </c>
      <c r="T260" s="72">
        <f t="shared" si="27"/>
        <v>33.821452309227929</v>
      </c>
      <c r="U260" s="72">
        <f t="shared" si="27"/>
        <v>34.958094470222733</v>
      </c>
      <c r="V260" s="72">
        <f t="shared" si="27"/>
        <v>36.133311846988548</v>
      </c>
      <c r="W260" s="72">
        <f t="shared" si="27"/>
        <v>37.348433265219015</v>
      </c>
      <c r="X260" s="72">
        <f t="shared" si="27"/>
        <v>38.60483435059016</v>
      </c>
      <c r="Y260" s="72">
        <f t="shared" si="27"/>
        <v>39.903939229943205</v>
      </c>
      <c r="Z260" s="72">
        <f t="shared" si="27"/>
        <v>41.247222296991801</v>
      </c>
      <c r="AA260" s="72">
        <f t="shared" si="27"/>
        <v>42.636210045134121</v>
      </c>
      <c r="AB260" s="72">
        <f t="shared" si="27"/>
        <v>44.072482970059113</v>
      </c>
      <c r="AC260" s="72">
        <f t="shared" si="27"/>
        <v>45.557677544951083</v>
      </c>
      <c r="AD260" s="72">
        <f t="shared" si="27"/>
        <v>47.09348827121579</v>
      </c>
      <c r="AE260" s="72">
        <f t="shared" si="27"/>
        <v>48.681669807777041</v>
      </c>
      <c r="AF260" s="70"/>
      <c r="AG260" s="70"/>
      <c r="AH260" s="70"/>
      <c r="AI260" s="70"/>
    </row>
    <row r="261" spans="1:35" x14ac:dyDescent="0.45">
      <c r="A261" s="70"/>
      <c r="B261" s="52"/>
      <c r="C261" s="52"/>
      <c r="D261" s="72" t="s">
        <v>1888</v>
      </c>
      <c r="E261" s="72" t="s">
        <v>1852</v>
      </c>
      <c r="F261" s="72"/>
      <c r="G261" s="70" t="s">
        <v>1475</v>
      </c>
      <c r="H261" s="87" t="str">
        <f>Settings!$B$3&amp;".mit.emisno."&amp;$G261&amp;"."&amp;$J$5</f>
        <v>egy.mit.emisno.cbam.tot.1</v>
      </c>
      <c r="I261" s="72"/>
      <c r="J261" s="72"/>
      <c r="K261" s="72"/>
      <c r="L261" s="72">
        <f t="shared" ref="L261:AE261" si="28">SUMPRODUCT(L$276:L$283*($K$264:$K$271&gt;0)*$K$264:$K$271*(1-$K$273*$H$363:$H$370*(1-EXP(-$G$363:$G$370*($F$310:$F$317*L$308+$G$310:$G$317*L$248+L$249)))))/1000</f>
        <v>0.77985726154224555</v>
      </c>
      <c r="M261" s="72">
        <f t="shared" si="28"/>
        <v>0.80389860277682457</v>
      </c>
      <c r="N261" s="72">
        <f t="shared" si="28"/>
        <v>0.82884750000000007</v>
      </c>
      <c r="O261" s="72">
        <f t="shared" si="28"/>
        <v>0.85474474500000008</v>
      </c>
      <c r="P261" s="72">
        <f t="shared" si="28"/>
        <v>0.88163317238999994</v>
      </c>
      <c r="Q261" s="72">
        <f t="shared" si="28"/>
        <v>0.90955776754758011</v>
      </c>
      <c r="R261" s="72">
        <f t="shared" si="28"/>
        <v>0.93856578039370175</v>
      </c>
      <c r="S261" s="72">
        <f t="shared" si="28"/>
        <v>0.96870684533024232</v>
      </c>
      <c r="T261" s="72">
        <f t="shared" si="28"/>
        <v>1.0000331076726199</v>
      </c>
      <c r="U261" s="72">
        <f t="shared" si="28"/>
        <v>1.0325993569325114</v>
      </c>
      <c r="V261" s="72">
        <f t="shared" si="28"/>
        <v>1.0664631673251306</v>
      </c>
      <c r="W261" s="72">
        <f t="shared" si="28"/>
        <v>1.1016850458960927</v>
      </c>
      <c r="X261" s="72">
        <f t="shared" si="28"/>
        <v>1.138328588684556</v>
      </c>
      <c r="Y261" s="72">
        <f t="shared" si="28"/>
        <v>1.1764606453621964</v>
      </c>
      <c r="Z261" s="72">
        <f t="shared" si="28"/>
        <v>1.216151492811707</v>
      </c>
      <c r="AA261" s="72">
        <f t="shared" si="28"/>
        <v>1.2574750181339414</v>
      </c>
      <c r="AB261" s="72">
        <f t="shared" si="28"/>
        <v>1.3005089115996857</v>
      </c>
      <c r="AC261" s="72">
        <f t="shared" si="28"/>
        <v>1.3453348700903502</v>
      </c>
      <c r="AD261" s="72">
        <f t="shared" si="28"/>
        <v>1.3920388116017608</v>
      </c>
      <c r="AE261" s="72">
        <f t="shared" si="28"/>
        <v>1.4407111014167402</v>
      </c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91" t="s">
        <v>1331</v>
      </c>
      <c r="N263" s="91" t="s">
        <v>1332</v>
      </c>
      <c r="O263" s="70" t="s">
        <v>1333</v>
      </c>
      <c r="P263" s="91" t="s">
        <v>1334</v>
      </c>
      <c r="Q263" s="91" t="s">
        <v>1335</v>
      </c>
      <c r="R263" s="91" t="s">
        <v>1336</v>
      </c>
      <c r="S263" s="91" t="s">
        <v>1337</v>
      </c>
      <c r="T263" s="91" t="s">
        <v>1338</v>
      </c>
      <c r="U263" s="91" t="s">
        <v>1339</v>
      </c>
      <c r="V263" s="91" t="s">
        <v>1340</v>
      </c>
      <c r="W263" s="91" t="s">
        <v>1341</v>
      </c>
      <c r="X263" s="91" t="s">
        <v>1342</v>
      </c>
      <c r="Y263" s="91" t="s">
        <v>1343</v>
      </c>
      <c r="Z263" s="91" t="s">
        <v>1344</v>
      </c>
      <c r="AA263" s="91" t="s">
        <v>1345</v>
      </c>
      <c r="AB263" s="91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0.17797725</v>
      </c>
      <c r="I264" s="76">
        <f>'Manual inputs'!I$30</f>
        <v>0.39301352000000001</v>
      </c>
      <c r="J264" s="76">
        <f>'Manual inputs'!J$30</f>
        <v>3.7901020000000001E-2</v>
      </c>
      <c r="K264" s="76">
        <f>'Manual inputs'!K$30</f>
        <v>0</v>
      </c>
      <c r="L264" s="76">
        <f t="shared" ref="L264:L271" si="29">SUM(H264:K264)</f>
        <v>0.60889178999999993</v>
      </c>
      <c r="M264" s="76">
        <f>'Manual inputs'!M$30</f>
        <v>0</v>
      </c>
      <c r="N264" s="76">
        <f>'Manual inputs'!N$30</f>
        <v>0.60889178999999993</v>
      </c>
      <c r="O264" s="76">
        <f>'Manual inputs'!O$30</f>
        <v>0.25</v>
      </c>
      <c r="P264" s="70">
        <f>'Manual inputs'!P$30</f>
        <v>0</v>
      </c>
      <c r="Q264" s="76">
        <f t="shared" ref="Q264:Q271" si="30">N264+O264</f>
        <v>0.85889178999999993</v>
      </c>
      <c r="R264" s="76">
        <f t="shared" ref="R264:R271" si="31">N264+O264*P264</f>
        <v>0.60889178999999993</v>
      </c>
      <c r="S264" s="77">
        <f>'Manual inputs'!S$30</f>
        <v>3.1720000000000002</v>
      </c>
      <c r="T264" s="77">
        <f>'Manual inputs'!T$30</f>
        <v>56.1</v>
      </c>
      <c r="U264" s="77">
        <f>'Manual inputs'!U$30</f>
        <v>7.0060000000000002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-1.3931082100000003</v>
      </c>
      <c r="AB264" s="79">
        <f>'Manual inputs'!AB$30</f>
        <v>0.12789178999999995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v>
      </c>
      <c r="AE264" s="70" t="str">
        <f>'Manual inputs'!AE$30</f>
        <v>v0.15 EF: Egypt CBAM EF v0.1 (egypt+mitigation/EmissionFactors/EGY_CBAM_EF_v0.1.xlsx Products; EGY_CBAM_EF_Methodology_v0.1.md). Prior: 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1355</v>
      </c>
      <c r="E265" s="70" t="s">
        <v>1351</v>
      </c>
      <c r="F265" s="70" t="s">
        <v>1356</v>
      </c>
      <c r="G265" s="70" t="s">
        <v>1357</v>
      </c>
      <c r="H265" s="76">
        <f>'Manual inputs'!H$31</f>
        <v>4.4880000000000003E-2</v>
      </c>
      <c r="I265" s="76">
        <f>'Manual inputs'!I$31</f>
        <v>0</v>
      </c>
      <c r="J265" s="76">
        <f>'Manual inputs'!J$31</f>
        <v>4.3981149999999997E-2</v>
      </c>
      <c r="K265" s="76">
        <f>'Manual inputs'!K$31</f>
        <v>0</v>
      </c>
      <c r="L265" s="76">
        <f t="shared" si="29"/>
        <v>8.886115E-2</v>
      </c>
      <c r="M265" s="76">
        <f>'Manual inputs'!M$31</f>
        <v>0</v>
      </c>
      <c r="N265" s="76">
        <f>'Manual inputs'!N$31</f>
        <v>8.886115E-2</v>
      </c>
      <c r="O265" s="76">
        <f>'Manual inputs'!O$31</f>
        <v>0.25</v>
      </c>
      <c r="P265" s="70">
        <f>'Manual inputs'!P$31</f>
        <v>0</v>
      </c>
      <c r="Q265" s="76">
        <f t="shared" si="30"/>
        <v>0.33886115</v>
      </c>
      <c r="R265" s="76">
        <f t="shared" si="31"/>
        <v>8.886115E-2</v>
      </c>
      <c r="S265" s="77">
        <f>'Manual inputs'!S$31</f>
        <v>0.8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-0.70313884999999998</v>
      </c>
      <c r="AB265" s="79">
        <f>'Manual inputs'!AB$31</f>
        <v>1.6861150000000005E-2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v0.15 EF: Egypt CBAM EF v0.1 (egypt+mitigation/EmissionFactors/EGY_CBAM_EF_v0.1.xlsx Products; EGY_CBAM_EF_Methodology_v0.1.md). Prior: S1.fc: Est: IEA Egypt sector average; WSA 2023 scrap-EAF range 2-3 GJ/t. Tota / S1.fp: Auth: no reductant in scrap melting process</v>
      </c>
      <c r="AE265" s="70" t="str">
        <f>'Manual inputs'!AE$31</f>
        <v>v0.15 EF: Egypt CBAM EF v0.1 (egypt+mitigation/EmissionFactors/EGY_CBAM_EF_v0.1.xlsx Products; EGY_CBAM_EF_Methodology_v0.1.md). Prior: 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1359</v>
      </c>
      <c r="E266" s="70" t="s">
        <v>1351</v>
      </c>
      <c r="F266" s="70" t="s">
        <v>1360</v>
      </c>
      <c r="G266" s="70" t="s">
        <v>1361</v>
      </c>
      <c r="H266" s="76">
        <f>'Manual inputs'!H$32</f>
        <v>0.16830000000000001</v>
      </c>
      <c r="I266" s="76">
        <f>'Manual inputs'!I$32</f>
        <v>1.2566802699999999</v>
      </c>
      <c r="J266" s="76">
        <f>'Manual inputs'!J$32</f>
        <v>5.276542E-2</v>
      </c>
      <c r="K266" s="76">
        <f>'Manual inputs'!K$32</f>
        <v>0</v>
      </c>
      <c r="L266" s="76">
        <f t="shared" si="29"/>
        <v>1.4777456899999999</v>
      </c>
      <c r="M266" s="76">
        <f>'Manual inputs'!M$32</f>
        <v>0</v>
      </c>
      <c r="N266" s="76">
        <f>'Manual inputs'!N$32</f>
        <v>1.4777456899999999</v>
      </c>
      <c r="O266" s="76">
        <f>'Manual inputs'!O$32</f>
        <v>0.1875</v>
      </c>
      <c r="P266" s="70">
        <f>'Manual inputs'!P$32</f>
        <v>0</v>
      </c>
      <c r="Q266" s="76">
        <f t="shared" si="30"/>
        <v>1.6652456899999999</v>
      </c>
      <c r="R266" s="76">
        <f t="shared" si="31"/>
        <v>1.4777456899999999</v>
      </c>
      <c r="S266" s="77">
        <f>'Manual inputs'!S$32</f>
        <v>1.7509999999999999</v>
      </c>
      <c r="T266" s="77">
        <f>'Manual inputs'!T$32</f>
        <v>96.1</v>
      </c>
      <c r="U266" s="77">
        <f>'Manual inputs'!U$32</f>
        <v>13.077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-1.6022543100000002</v>
      </c>
      <c r="AB266" s="79">
        <f>'Manual inputs'!AB$32</f>
        <v>0.10774568999999978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v>
      </c>
      <c r="AE266" s="70" t="str">
        <f>'Manual inputs'!AE$32</f>
        <v>v0.15 EF: Egypt CBAM EF v0.1 (egypt+mitigation/EmissionFactors/EGY_CBAM_EF_v0.1.xlsx Products; EGY_CBAM_EF_Methodology_v0.1.md). Prior: 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1363</v>
      </c>
      <c r="E267" s="70" t="s">
        <v>1364</v>
      </c>
      <c r="F267" s="70" t="s">
        <v>1365</v>
      </c>
      <c r="G267" s="70" t="s">
        <v>1366</v>
      </c>
      <c r="H267" s="76">
        <f>'Manual inputs'!H$33</f>
        <v>0.31356849999999997</v>
      </c>
      <c r="I267" s="76">
        <f>'Manual inputs'!I$33</f>
        <v>0</v>
      </c>
      <c r="J267" s="76">
        <f>'Manual inputs'!J$33</f>
        <v>0.53702616000000003</v>
      </c>
      <c r="K267" s="76">
        <f>'Manual inputs'!K$33</f>
        <v>0</v>
      </c>
      <c r="L267" s="76">
        <f t="shared" si="29"/>
        <v>0.85059466000000006</v>
      </c>
      <c r="M267" s="76">
        <f>'Manual inputs'!M$33</f>
        <v>0</v>
      </c>
      <c r="N267" s="76">
        <f>'Manual inputs'!N$33</f>
        <v>0.85059466000000006</v>
      </c>
      <c r="O267" s="76">
        <f>'Manual inputs'!O$33</f>
        <v>5.6250000000000001E-2</v>
      </c>
      <c r="P267" s="70">
        <f>'Manual inputs'!P$33</f>
        <v>1</v>
      </c>
      <c r="Q267" s="76">
        <f t="shared" si="30"/>
        <v>0.90684466000000008</v>
      </c>
      <c r="R267" s="76">
        <f t="shared" si="31"/>
        <v>0.90684466000000008</v>
      </c>
      <c r="S267" s="77">
        <f>'Manual inputs'!S$33</f>
        <v>3.2629999999999999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-0.83115534000000013</v>
      </c>
      <c r="AB267" s="79">
        <f>'Manual inputs'!AB$33</f>
        <v>0.24084466000000004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v0.15 EF: Egypt CBAM EF v0.1 (egypt+mitigation/EmissionFactors/EGY_CBAM_EF_v0.1.xlsx Products; EGY_CBAM_EF_Methodology_v0.1.md). Prior: S1.fc: Est: IEA Egypt cement sector; CSI/GCCA GNR Egypt 2022. Total AukCoa / S1.fp: Auth: cement production has no chemical reductant fuel</v>
      </c>
      <c r="AE267" s="70" t="str">
        <f>'Manual inputs'!AE$33</f>
        <v>v0.15 EF: Egypt CBAM EF v0.1 (egypt+mitigation/EmissionFactors/EGY_CBAM_EF_v0.1.xlsx Products; EGY_CBAM_EF_Methodology_v0.1.md). Prior: 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1368</v>
      </c>
      <c r="E268" s="70" t="s">
        <v>1369</v>
      </c>
      <c r="F268" s="70" t="s">
        <v>1370</v>
      </c>
      <c r="G268" s="70" t="s">
        <v>1371</v>
      </c>
      <c r="H268" s="76">
        <f>'Manual inputs'!H$34</f>
        <v>0.71247000000000005</v>
      </c>
      <c r="I268" s="76">
        <f>'Manual inputs'!I$34</f>
        <v>1.2622500000000001</v>
      </c>
      <c r="J268" s="76">
        <f>'Manual inputs'!J$34</f>
        <v>0</v>
      </c>
      <c r="K268" s="76">
        <f>'Manual inputs'!K$34</f>
        <v>0</v>
      </c>
      <c r="L268" s="76">
        <f t="shared" si="29"/>
        <v>1.97472</v>
      </c>
      <c r="M268" s="76">
        <f>'Manual inputs'!M$34</f>
        <v>0</v>
      </c>
      <c r="N268" s="76">
        <f>'Manual inputs'!N$34</f>
        <v>1.97472</v>
      </c>
      <c r="O268" s="76">
        <f>'Manual inputs'!O$34</f>
        <v>3.7499999999999999E-2</v>
      </c>
      <c r="P268" s="70">
        <f>'Manual inputs'!P$34</f>
        <v>1</v>
      </c>
      <c r="Q268" s="76">
        <f t="shared" si="30"/>
        <v>2.0122200000000001</v>
      </c>
      <c r="R268" s="76">
        <f t="shared" si="31"/>
        <v>2.0122200000000001</v>
      </c>
      <c r="S268" s="77">
        <f>'Manual inputs'!S$34</f>
        <v>12.7</v>
      </c>
      <c r="T268" s="77">
        <f>'Manual inputs'!T$34</f>
        <v>56.1</v>
      </c>
      <c r="U268" s="77">
        <f>'Manual inputs'!U$34</f>
        <v>22.5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-5.8279999999999887E-2</v>
      </c>
      <c r="AB268" s="79">
        <f>'Manual inputs'!AB$34</f>
        <v>0.52822000000000013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v>
      </c>
      <c r="AE268" s="70" t="str">
        <f>'Manual inputs'!AE$34</f>
        <v>v0.15 EF: Egypt CBAM EF v0.1 (egypt+mitigation/EmissionFactors/EGY_CBAM_EF_v0.1.xlsx Products; EGY_CBAM_EF_Methodology_v0.1.md). Prior: 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1373</v>
      </c>
      <c r="E269" s="70" t="s">
        <v>1374</v>
      </c>
      <c r="F269" s="70" t="s">
        <v>1375</v>
      </c>
      <c r="G269" s="70" t="s">
        <v>1376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0</v>
      </c>
      <c r="K269" s="76">
        <f>'Manual inputs'!K$35</f>
        <v>0</v>
      </c>
      <c r="L269" s="76">
        <f t="shared" si="29"/>
        <v>0.11219999999999999</v>
      </c>
      <c r="M269" s="76">
        <f>'Manual inputs'!M$35</f>
        <v>1.1255904000000001</v>
      </c>
      <c r="N269" s="76">
        <f>'Manual inputs'!N$35</f>
        <v>1.2377904000000002</v>
      </c>
      <c r="O269" s="76">
        <f>'Manual inputs'!O$35</f>
        <v>3.7499999999999999E-2</v>
      </c>
      <c r="P269" s="70">
        <f>'Manual inputs'!P$35</f>
        <v>1</v>
      </c>
      <c r="Q269" s="76">
        <f t="shared" si="30"/>
        <v>1.2752904000000003</v>
      </c>
      <c r="R269" s="76">
        <f t="shared" si="31"/>
        <v>1.2752904000000003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-0.12860959999999966</v>
      </c>
      <c r="AB269" s="79">
        <f>'Manual inputs'!AB$35</f>
        <v>0.37329040000000024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v>
      </c>
      <c r="AE269" s="70" t="str">
        <f>'Manual inputs'!AE$35</f>
        <v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1378</v>
      </c>
      <c r="E270" s="70" t="s">
        <v>1379</v>
      </c>
      <c r="F270" s="70" t="s">
        <v>1380</v>
      </c>
      <c r="G270" s="70" t="s">
        <v>1381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0.99441250000000003</v>
      </c>
      <c r="L270" s="76">
        <f t="shared" si="29"/>
        <v>1.1066125</v>
      </c>
      <c r="M270" s="76">
        <f>'Manual inputs'!M$36</f>
        <v>0.84621219999999997</v>
      </c>
      <c r="N270" s="76">
        <f>'Manual inputs'!N$36</f>
        <v>1.9528246999999999</v>
      </c>
      <c r="O270" s="76">
        <f>'Manual inputs'!O$36</f>
        <v>4.3749999999999997E-2</v>
      </c>
      <c r="P270" s="70">
        <f>'Manual inputs'!P$36</f>
        <v>1</v>
      </c>
      <c r="Q270" s="76">
        <f t="shared" si="30"/>
        <v>1.9965746999999998</v>
      </c>
      <c r="R270" s="76">
        <f t="shared" si="31"/>
        <v>1.9965746999999998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-0.66982530000000051</v>
      </c>
      <c r="AB270" s="79">
        <f>'Manual inputs'!AB$36</f>
        <v>1.6945746999999998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v>
      </c>
      <c r="AE270" s="70" t="str">
        <f>'Manual inputs'!AE$36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1383</v>
      </c>
      <c r="E271" s="70" t="s">
        <v>1384</v>
      </c>
      <c r="F271" s="70" t="s">
        <v>1385</v>
      </c>
      <c r="G271" s="70" t="s">
        <v>1386</v>
      </c>
      <c r="H271" s="76">
        <f>'Manual inputs'!H$37</f>
        <v>0.12342</v>
      </c>
      <c r="I271" s="76">
        <f>'Manual inputs'!I$37</f>
        <v>0</v>
      </c>
      <c r="J271" s="76">
        <f>'Manual inputs'!J$37</f>
        <v>1.6234930400000001</v>
      </c>
      <c r="K271" s="76">
        <f>'Manual inputs'!K$37</f>
        <v>0.77400000000000002</v>
      </c>
      <c r="L271" s="76">
        <f t="shared" si="29"/>
        <v>2.5209130399999999</v>
      </c>
      <c r="M271" s="76">
        <f>'Manual inputs'!M$37</f>
        <v>0</v>
      </c>
      <c r="N271" s="76">
        <f>'Manual inputs'!N$37</f>
        <v>2.5209130399999999</v>
      </c>
      <c r="O271" s="76">
        <f>'Manual inputs'!O$37</f>
        <v>6.75</v>
      </c>
      <c r="P271" s="70">
        <f>'Manual inputs'!P$37</f>
        <v>0</v>
      </c>
      <c r="Q271" s="76">
        <f t="shared" si="30"/>
        <v>9.2709130399999999</v>
      </c>
      <c r="R271" s="76">
        <f t="shared" si="31"/>
        <v>2.5209130399999999</v>
      </c>
      <c r="S271" s="77">
        <f>'Manual inputs'!S$37</f>
        <v>1.5820000000000001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0.25491303999999948</v>
      </c>
      <c r="AB271" s="79">
        <f>'Manual inputs'!AB$37</f>
        <v>1.0979130399999999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v>
      </c>
      <c r="AE271" s="70" t="str">
        <f>'Manual inputs'!AE$37</f>
        <v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70"/>
      <c r="C272" s="73" t="s">
        <v>1873</v>
      </c>
      <c r="D272" s="73"/>
      <c r="E272" s="71"/>
      <c r="F272" s="71"/>
      <c r="G272" s="71"/>
      <c r="H272" s="71" t="s">
        <v>1875</v>
      </c>
      <c r="I272" s="71" t="s">
        <v>1876</v>
      </c>
      <c r="J272" s="71" t="s">
        <v>1877</v>
      </c>
      <c r="K272" s="71" t="s">
        <v>1878</v>
      </c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0"/>
      <c r="AH272" s="70"/>
      <c r="AI272" s="70"/>
    </row>
    <row r="273" spans="1:35" x14ac:dyDescent="0.45">
      <c r="A273" s="70"/>
      <c r="B273" s="52"/>
      <c r="C273" s="52"/>
      <c r="D273" s="70" t="s">
        <v>1874</v>
      </c>
      <c r="E273" s="70"/>
      <c r="F273" s="70"/>
      <c r="G273" s="70"/>
      <c r="H273" s="99">
        <f>IF($J$5&gt;1,INDEX(Scenarios!$B$27:$Z$27,MATCH("fc covered (0/1)",Scenarios!$B$26:$Z$26,0)),1)</f>
        <v>1</v>
      </c>
      <c r="I273" s="99">
        <f>IF($J$5&gt;1,INDEX(Scenarios!$B$27:$Z$27,MATCH("fp covered (0/1)",Scenarios!$B$26:$Z$26,0)),1)</f>
        <v>1</v>
      </c>
      <c r="J273" s="99">
        <f>IF($J$5&gt;1,INDEX(Scenarios!$B$27:$Z$27,MATCH("np covered (0/1)",Scenarios!$B$26:$Z$26,0)),1)</f>
        <v>1</v>
      </c>
      <c r="K273" s="90">
        <f>IF($J$5&gt;1,INDEX(Scenarios!$B$27:$Z$27,MATCH("no covered (0/1)",Scenarios!$B$26:$Z$26,0)),1)</f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1417</v>
      </c>
      <c r="D274" s="73"/>
      <c r="E274" s="70"/>
      <c r="F274" s="70" t="s">
        <v>1418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1419</v>
      </c>
      <c r="G275" s="70" t="s">
        <v>1420</v>
      </c>
      <c r="H275" s="70" t="s">
        <v>1421</v>
      </c>
      <c r="I275" s="70" t="s">
        <v>1422</v>
      </c>
      <c r="J275" s="71" t="s">
        <v>1978</v>
      </c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1423</v>
      </c>
      <c r="F276" s="88">
        <v>5100</v>
      </c>
      <c r="G276" s="89">
        <v>4.3999999999999997E-2</v>
      </c>
      <c r="H276" s="80"/>
      <c r="I276" s="88">
        <v>580</v>
      </c>
      <c r="J276" s="112">
        <f>'Manual inputs'!K$66</f>
        <v>0</v>
      </c>
      <c r="K276" s="72"/>
      <c r="L276" s="72">
        <f t="shared" ref="L276:L283" si="32">M276/(1+G276)</f>
        <v>4679.1738230501605</v>
      </c>
      <c r="M276" s="72">
        <f t="shared" ref="M276:M283" si="33">N276/(1+G276)</f>
        <v>4885.0574712643675</v>
      </c>
      <c r="N276" s="90">
        <f>IF(UPPER(Settings!$B$3)="EGY",F276,0)</f>
        <v>5100</v>
      </c>
      <c r="O276" s="72">
        <f t="shared" ref="O276:AE276" si="34">$N276*(1+$G276)^(O$274-$N$274)*(1+O$320)^$J276</f>
        <v>5324.4000000000005</v>
      </c>
      <c r="P276" s="72">
        <f t="shared" si="34"/>
        <v>5558.6736000000001</v>
      </c>
      <c r="Q276" s="72">
        <f t="shared" si="34"/>
        <v>5803.255238400001</v>
      </c>
      <c r="R276" s="72">
        <f t="shared" si="34"/>
        <v>6058.5984688896006</v>
      </c>
      <c r="S276" s="72">
        <f t="shared" si="34"/>
        <v>6325.1768015207426</v>
      </c>
      <c r="T276" s="72">
        <f t="shared" si="34"/>
        <v>6603.4845807876563</v>
      </c>
      <c r="U276" s="72">
        <f t="shared" si="34"/>
        <v>6894.0379023423138</v>
      </c>
      <c r="V276" s="72">
        <f t="shared" si="34"/>
        <v>7197.3755700453748</v>
      </c>
      <c r="W276" s="72">
        <f t="shared" si="34"/>
        <v>7514.0600951273718</v>
      </c>
      <c r="X276" s="72">
        <f t="shared" si="34"/>
        <v>7844.6787393129762</v>
      </c>
      <c r="Y276" s="72">
        <f t="shared" si="34"/>
        <v>8189.8446038427483</v>
      </c>
      <c r="Z276" s="72">
        <f t="shared" si="34"/>
        <v>8550.1977664118276</v>
      </c>
      <c r="AA276" s="72">
        <f t="shared" si="34"/>
        <v>8926.4064681339478</v>
      </c>
      <c r="AB276" s="72">
        <f t="shared" si="34"/>
        <v>9319.1683527318437</v>
      </c>
      <c r="AC276" s="72">
        <f t="shared" si="34"/>
        <v>9729.2117602520448</v>
      </c>
      <c r="AD276" s="72">
        <f t="shared" si="34"/>
        <v>10157.297077703133</v>
      </c>
      <c r="AE276" s="72">
        <f t="shared" si="34"/>
        <v>10604.218149122071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1355</v>
      </c>
      <c r="E277" s="70" t="s">
        <v>1423</v>
      </c>
      <c r="F277" s="88">
        <v>4800</v>
      </c>
      <c r="G277" s="89">
        <v>4.3999999999999997E-2</v>
      </c>
      <c r="H277" s="80"/>
      <c r="I277" s="88">
        <v>300</v>
      </c>
      <c r="J277" s="112">
        <f>'Manual inputs'!K$67</f>
        <v>0</v>
      </c>
      <c r="K277" s="72"/>
      <c r="L277" s="72">
        <f t="shared" si="32"/>
        <v>4403.9283040472101</v>
      </c>
      <c r="M277" s="72">
        <f t="shared" si="33"/>
        <v>4597.7011494252874</v>
      </c>
      <c r="N277" s="90">
        <f>IF(UPPER(Settings!$B$3)="EGY",F277,0)</f>
        <v>4800</v>
      </c>
      <c r="O277" s="72">
        <f t="shared" ref="O277:AE277" si="35">$N277*(1+$G277)^(O$274-$N$274)*(1+O$321)^$J277</f>
        <v>5011.2</v>
      </c>
      <c r="P277" s="72">
        <f t="shared" si="35"/>
        <v>5231.6927999999998</v>
      </c>
      <c r="Q277" s="72">
        <f t="shared" si="35"/>
        <v>5461.8872832000006</v>
      </c>
      <c r="R277" s="72">
        <f t="shared" si="35"/>
        <v>5702.2103236608</v>
      </c>
      <c r="S277" s="72">
        <f t="shared" si="35"/>
        <v>5953.1075779018756</v>
      </c>
      <c r="T277" s="72">
        <f t="shared" si="35"/>
        <v>6215.0443113295587</v>
      </c>
      <c r="U277" s="72">
        <f t="shared" si="35"/>
        <v>6488.5062610280602</v>
      </c>
      <c r="V277" s="72">
        <f t="shared" si="35"/>
        <v>6774.0005365132938</v>
      </c>
      <c r="W277" s="72">
        <f t="shared" si="35"/>
        <v>7072.0565601198796</v>
      </c>
      <c r="X277" s="72">
        <f t="shared" si="35"/>
        <v>7383.227048765154</v>
      </c>
      <c r="Y277" s="72">
        <f t="shared" si="35"/>
        <v>7708.0890389108217</v>
      </c>
      <c r="Z277" s="72">
        <f t="shared" si="35"/>
        <v>8047.244956622897</v>
      </c>
      <c r="AA277" s="72">
        <f t="shared" si="35"/>
        <v>8401.323734714304</v>
      </c>
      <c r="AB277" s="72">
        <f t="shared" si="35"/>
        <v>8770.981979041735</v>
      </c>
      <c r="AC277" s="72">
        <f t="shared" si="35"/>
        <v>9156.9051861195712</v>
      </c>
      <c r="AD277" s="72">
        <f t="shared" si="35"/>
        <v>9559.809014308832</v>
      </c>
      <c r="AE277" s="72">
        <f t="shared" si="35"/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1359</v>
      </c>
      <c r="E278" s="70" t="s">
        <v>1423</v>
      </c>
      <c r="F278" s="88">
        <v>0</v>
      </c>
      <c r="G278" s="89">
        <v>0</v>
      </c>
      <c r="H278" s="80"/>
      <c r="I278" s="88">
        <v>0</v>
      </c>
      <c r="J278" s="112">
        <f>'Manual inputs'!K$68</f>
        <v>0</v>
      </c>
      <c r="K278" s="72"/>
      <c r="L278" s="72">
        <f t="shared" si="32"/>
        <v>0</v>
      </c>
      <c r="M278" s="72">
        <f t="shared" si="33"/>
        <v>0</v>
      </c>
      <c r="N278" s="90">
        <f>IF(UPPER(Settings!$B$3)="EGY",F278,0)</f>
        <v>0</v>
      </c>
      <c r="O278" s="72">
        <f t="shared" ref="O278:AE278" si="36">$N278*(1+$G278)^(O$274-$N$274)*(1+O$322)^$J278</f>
        <v>0</v>
      </c>
      <c r="P278" s="72">
        <f t="shared" si="36"/>
        <v>0</v>
      </c>
      <c r="Q278" s="72">
        <f t="shared" si="36"/>
        <v>0</v>
      </c>
      <c r="R278" s="72">
        <f t="shared" si="36"/>
        <v>0</v>
      </c>
      <c r="S278" s="72">
        <f t="shared" si="36"/>
        <v>0</v>
      </c>
      <c r="T278" s="72">
        <f t="shared" si="36"/>
        <v>0</v>
      </c>
      <c r="U278" s="72">
        <f t="shared" si="36"/>
        <v>0</v>
      </c>
      <c r="V278" s="72">
        <f t="shared" si="36"/>
        <v>0</v>
      </c>
      <c r="W278" s="72">
        <f t="shared" si="36"/>
        <v>0</v>
      </c>
      <c r="X278" s="72">
        <f t="shared" si="36"/>
        <v>0</v>
      </c>
      <c r="Y278" s="72">
        <f t="shared" si="36"/>
        <v>0</v>
      </c>
      <c r="Z278" s="72">
        <f t="shared" si="36"/>
        <v>0</v>
      </c>
      <c r="AA278" s="72">
        <f t="shared" si="36"/>
        <v>0</v>
      </c>
      <c r="AB278" s="72">
        <f t="shared" si="36"/>
        <v>0</v>
      </c>
      <c r="AC278" s="72">
        <f t="shared" si="36"/>
        <v>0</v>
      </c>
      <c r="AD278" s="72">
        <f t="shared" si="36"/>
        <v>0</v>
      </c>
      <c r="AE278" s="72">
        <f t="shared" si="36"/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1363</v>
      </c>
      <c r="E279" s="70" t="s">
        <v>1424</v>
      </c>
      <c r="F279" s="88">
        <v>50000</v>
      </c>
      <c r="G279" s="89">
        <v>3.3000000000000002E-2</v>
      </c>
      <c r="H279" s="80"/>
      <c r="I279" s="88">
        <v>800</v>
      </c>
      <c r="J279" s="112">
        <f>'Manual inputs'!K$69</f>
        <v>0</v>
      </c>
      <c r="K279" s="72"/>
      <c r="L279" s="72">
        <f t="shared" si="32"/>
        <v>46856.447775209017</v>
      </c>
      <c r="M279" s="72">
        <f t="shared" si="33"/>
        <v>48402.710551790908</v>
      </c>
      <c r="N279" s="90">
        <f>IF(UPPER(Settings!$B$3)="EGY",F279,0)</f>
        <v>50000</v>
      </c>
      <c r="O279" s="72">
        <f t="shared" ref="O279:AE279" si="37">$N279*(1+$G279)^(O$274-$N$274)*(1+O$323)^$J279</f>
        <v>51649.999999999993</v>
      </c>
      <c r="P279" s="72">
        <f t="shared" si="37"/>
        <v>53354.44999999999</v>
      </c>
      <c r="Q279" s="72">
        <f t="shared" si="37"/>
        <v>55115.146849999983</v>
      </c>
      <c r="R279" s="72">
        <f t="shared" si="37"/>
        <v>56933.946696049978</v>
      </c>
      <c r="S279" s="72">
        <f t="shared" si="37"/>
        <v>58812.766937019624</v>
      </c>
      <c r="T279" s="72">
        <f t="shared" si="37"/>
        <v>60753.588245941261</v>
      </c>
      <c r="U279" s="72">
        <f t="shared" si="37"/>
        <v>62758.456658057316</v>
      </c>
      <c r="V279" s="72">
        <f t="shared" si="37"/>
        <v>64829.485727773194</v>
      </c>
      <c r="W279" s="72">
        <f t="shared" si="37"/>
        <v>66968.858756789705</v>
      </c>
      <c r="X279" s="72">
        <f t="shared" si="37"/>
        <v>69178.831095763744</v>
      </c>
      <c r="Y279" s="72">
        <f t="shared" si="37"/>
        <v>71461.732521923957</v>
      </c>
      <c r="Z279" s="72">
        <f t="shared" si="37"/>
        <v>73819.969695147433</v>
      </c>
      <c r="AA279" s="72">
        <f t="shared" si="37"/>
        <v>76256.028695087298</v>
      </c>
      <c r="AB279" s="72">
        <f t="shared" si="37"/>
        <v>78772.477642025158</v>
      </c>
      <c r="AC279" s="72">
        <f t="shared" si="37"/>
        <v>81371.969404211981</v>
      </c>
      <c r="AD279" s="72">
        <f t="shared" si="37"/>
        <v>84057.244394550973</v>
      </c>
      <c r="AE279" s="72">
        <f t="shared" si="37"/>
        <v>86831.133459571138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1425</v>
      </c>
      <c r="E280" s="70" t="s">
        <v>1426</v>
      </c>
      <c r="F280" s="88">
        <v>1785</v>
      </c>
      <c r="G280" s="89">
        <v>2.1999999999999999E-2</v>
      </c>
      <c r="H280" s="80"/>
      <c r="I280" s="88">
        <v>120</v>
      </c>
      <c r="J280" s="112">
        <f>'Manual inputs'!K$70</f>
        <v>0</v>
      </c>
      <c r="K280" s="72"/>
      <c r="L280" s="72">
        <f t="shared" si="32"/>
        <v>1708.9778302013242</v>
      </c>
      <c r="M280" s="72">
        <f t="shared" si="33"/>
        <v>1746.5753424657535</v>
      </c>
      <c r="N280" s="90">
        <f>IF(UPPER(Settings!$B$3)="EGY",F280,0)</f>
        <v>1785</v>
      </c>
      <c r="O280" s="72">
        <f t="shared" ref="O280:AE280" si="38">$N280*(1+$G280)^(O$274-$N$274)*(1+O$324)^$J280</f>
        <v>1824.27</v>
      </c>
      <c r="P280" s="72">
        <f t="shared" si="38"/>
        <v>1864.4039399999999</v>
      </c>
      <c r="Q280" s="72">
        <f t="shared" si="38"/>
        <v>1905.4208266800001</v>
      </c>
      <c r="R280" s="72">
        <f t="shared" si="38"/>
        <v>1947.3400848669601</v>
      </c>
      <c r="S280" s="72">
        <f t="shared" si="38"/>
        <v>1990.1815667340331</v>
      </c>
      <c r="T280" s="72">
        <f t="shared" si="38"/>
        <v>2033.9655612021818</v>
      </c>
      <c r="U280" s="72">
        <f t="shared" si="38"/>
        <v>2078.7128035486298</v>
      </c>
      <c r="V280" s="72">
        <f t="shared" si="38"/>
        <v>2124.4444852267002</v>
      </c>
      <c r="W280" s="72">
        <f t="shared" si="38"/>
        <v>2171.1822639016873</v>
      </c>
      <c r="X280" s="72">
        <f t="shared" si="38"/>
        <v>2218.9482737075245</v>
      </c>
      <c r="Y280" s="72">
        <f t="shared" si="38"/>
        <v>2267.7651357290902</v>
      </c>
      <c r="Z280" s="72">
        <f t="shared" si="38"/>
        <v>2317.6559687151303</v>
      </c>
      <c r="AA280" s="72">
        <f t="shared" si="38"/>
        <v>2368.644400026863</v>
      </c>
      <c r="AB280" s="72">
        <f t="shared" si="38"/>
        <v>2420.7545768274535</v>
      </c>
      <c r="AC280" s="72">
        <f t="shared" si="38"/>
        <v>2474.0111775176579</v>
      </c>
      <c r="AD280" s="72">
        <f t="shared" si="38"/>
        <v>2528.4394234230463</v>
      </c>
      <c r="AE280" s="72">
        <f t="shared" si="38"/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1373</v>
      </c>
      <c r="E281" s="70" t="s">
        <v>1427</v>
      </c>
      <c r="F281" s="88">
        <v>2800</v>
      </c>
      <c r="G281" s="89">
        <v>2.1999999999999999E-2</v>
      </c>
      <c r="H281" s="80"/>
      <c r="I281" s="88">
        <v>1600</v>
      </c>
      <c r="J281" s="112">
        <f>'Manual inputs'!K$71</f>
        <v>0</v>
      </c>
      <c r="K281" s="72"/>
      <c r="L281" s="72">
        <f t="shared" si="32"/>
        <v>2680.7495375707044</v>
      </c>
      <c r="M281" s="72">
        <f t="shared" si="33"/>
        <v>2739.7260273972602</v>
      </c>
      <c r="N281" s="90">
        <f>IF(UPPER(Settings!$B$3)="EGY",F281,0)</f>
        <v>2800</v>
      </c>
      <c r="O281" s="72">
        <f t="shared" ref="O281:AE281" si="39">$N281*(1+$G281)^(O$274-$N$274)*(1+O$325)^$J281</f>
        <v>2861.6</v>
      </c>
      <c r="P281" s="72">
        <f t="shared" si="39"/>
        <v>2924.5551999999998</v>
      </c>
      <c r="Q281" s="72">
        <f t="shared" si="39"/>
        <v>2988.8954143999999</v>
      </c>
      <c r="R281" s="72">
        <f t="shared" si="39"/>
        <v>3054.6511135168003</v>
      </c>
      <c r="S281" s="72">
        <f t="shared" si="39"/>
        <v>3121.8534380141696</v>
      </c>
      <c r="T281" s="72">
        <f t="shared" si="39"/>
        <v>3190.534213650481</v>
      </c>
      <c r="U281" s="72">
        <f t="shared" si="39"/>
        <v>3260.7259663507921</v>
      </c>
      <c r="V281" s="72">
        <f t="shared" si="39"/>
        <v>3332.4619376105097</v>
      </c>
      <c r="W281" s="72">
        <f t="shared" si="39"/>
        <v>3405.7761002379407</v>
      </c>
      <c r="X281" s="72">
        <f t="shared" si="39"/>
        <v>3480.7031744431756</v>
      </c>
      <c r="Y281" s="72">
        <f t="shared" si="39"/>
        <v>3557.2786442809256</v>
      </c>
      <c r="Z281" s="72">
        <f t="shared" si="39"/>
        <v>3635.5387744551062</v>
      </c>
      <c r="AA281" s="72">
        <f t="shared" si="39"/>
        <v>3715.5206274931184</v>
      </c>
      <c r="AB281" s="72">
        <f t="shared" si="39"/>
        <v>3797.2620812979667</v>
      </c>
      <c r="AC281" s="72">
        <f t="shared" si="39"/>
        <v>3880.8018470865222</v>
      </c>
      <c r="AD281" s="72">
        <f t="shared" si="39"/>
        <v>3966.1794877224256</v>
      </c>
      <c r="AE281" s="72">
        <f t="shared" si="39"/>
        <v>4053.4354364523192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1378</v>
      </c>
      <c r="E282" s="70" t="s">
        <v>1428</v>
      </c>
      <c r="F282" s="88">
        <v>600</v>
      </c>
      <c r="G282" s="89">
        <v>2.1999999999999999E-2</v>
      </c>
      <c r="H282" s="80"/>
      <c r="I282" s="88">
        <v>80</v>
      </c>
      <c r="J282" s="112">
        <f>'Manual inputs'!K$72</f>
        <v>0</v>
      </c>
      <c r="K282" s="72"/>
      <c r="L282" s="72">
        <f t="shared" si="32"/>
        <v>574.44632947943671</v>
      </c>
      <c r="M282" s="72">
        <f t="shared" si="33"/>
        <v>587.08414872798437</v>
      </c>
      <c r="N282" s="90">
        <f>IF(UPPER(Settings!$B$3)="EGY",F282,0)</f>
        <v>600</v>
      </c>
      <c r="O282" s="72">
        <f t="shared" ref="O282:AE282" si="40">$N282*(1+$G282)^(O$274-$N$274)*(1+O$326)^$J282</f>
        <v>613.20000000000005</v>
      </c>
      <c r="P282" s="72">
        <f t="shared" si="40"/>
        <v>626.69039999999995</v>
      </c>
      <c r="Q282" s="72">
        <f t="shared" si="40"/>
        <v>640.47758880000004</v>
      </c>
      <c r="R282" s="72">
        <f t="shared" si="40"/>
        <v>654.56809575360001</v>
      </c>
      <c r="S282" s="72">
        <f t="shared" si="40"/>
        <v>668.96859386017923</v>
      </c>
      <c r="T282" s="72">
        <f t="shared" si="40"/>
        <v>683.68590292510305</v>
      </c>
      <c r="U282" s="72">
        <f t="shared" si="40"/>
        <v>698.72699278945538</v>
      </c>
      <c r="V282" s="72">
        <f t="shared" si="40"/>
        <v>714.09898663082356</v>
      </c>
      <c r="W282" s="72">
        <f t="shared" si="40"/>
        <v>729.80916433670154</v>
      </c>
      <c r="X282" s="72">
        <f t="shared" si="40"/>
        <v>745.86496595210906</v>
      </c>
      <c r="Y282" s="72">
        <f t="shared" si="40"/>
        <v>762.27399520305551</v>
      </c>
      <c r="Z282" s="72">
        <f t="shared" si="40"/>
        <v>779.04402309752277</v>
      </c>
      <c r="AA282" s="72">
        <f t="shared" si="40"/>
        <v>796.18299160566824</v>
      </c>
      <c r="AB282" s="72">
        <f t="shared" si="40"/>
        <v>813.69901742099285</v>
      </c>
      <c r="AC282" s="72">
        <f t="shared" si="40"/>
        <v>831.60039580425473</v>
      </c>
      <c r="AD282" s="72">
        <f t="shared" si="40"/>
        <v>849.89560451194836</v>
      </c>
      <c r="AE282" s="72">
        <f t="shared" si="40"/>
        <v>868.59330781121128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1383</v>
      </c>
      <c r="E283" s="70" t="s">
        <v>1429</v>
      </c>
      <c r="F283" s="88">
        <v>300</v>
      </c>
      <c r="G283" s="89">
        <v>5.5E-2</v>
      </c>
      <c r="H283" s="80"/>
      <c r="I283" s="88">
        <v>167</v>
      </c>
      <c r="J283" s="112">
        <f>'Manual inputs'!K$73</f>
        <v>0</v>
      </c>
      <c r="K283" s="72"/>
      <c r="L283" s="72">
        <f t="shared" si="32"/>
        <v>269.53572471417982</v>
      </c>
      <c r="M283" s="72">
        <f t="shared" si="33"/>
        <v>284.36018957345971</v>
      </c>
      <c r="N283" s="90">
        <f>IF(UPPER(Settings!$B$3)="EGY",F283,0)</f>
        <v>300</v>
      </c>
      <c r="O283" s="72">
        <f t="shared" ref="O283:AE283" si="41">$N283*(1+$G283)^(O$274-$N$274)*(1+O$327)^$J283</f>
        <v>316.5</v>
      </c>
      <c r="P283" s="72">
        <f t="shared" si="41"/>
        <v>333.90749999999997</v>
      </c>
      <c r="Q283" s="72">
        <f t="shared" si="41"/>
        <v>352.27241249999992</v>
      </c>
      <c r="R283" s="72">
        <f t="shared" si="41"/>
        <v>371.64739518749997</v>
      </c>
      <c r="S283" s="72">
        <f t="shared" si="41"/>
        <v>392.0880019228124</v>
      </c>
      <c r="T283" s="72">
        <f t="shared" si="41"/>
        <v>413.65284202856708</v>
      </c>
      <c r="U283" s="72">
        <f t="shared" si="41"/>
        <v>436.40374834013824</v>
      </c>
      <c r="V283" s="72">
        <f t="shared" si="41"/>
        <v>460.40595449884586</v>
      </c>
      <c r="W283" s="72">
        <f t="shared" si="41"/>
        <v>485.72828199628236</v>
      </c>
      <c r="X283" s="72">
        <f t="shared" si="41"/>
        <v>512.44333750607791</v>
      </c>
      <c r="Y283" s="72">
        <f t="shared" si="41"/>
        <v>540.62772106891214</v>
      </c>
      <c r="Z283" s="72">
        <f t="shared" si="41"/>
        <v>570.36224572770232</v>
      </c>
      <c r="AA283" s="72">
        <f t="shared" si="41"/>
        <v>601.73216924272583</v>
      </c>
      <c r="AB283" s="72">
        <f t="shared" si="41"/>
        <v>634.82743855107583</v>
      </c>
      <c r="AC283" s="72">
        <f t="shared" si="41"/>
        <v>669.74294767138485</v>
      </c>
      <c r="AD283" s="72">
        <f t="shared" si="41"/>
        <v>706.57880979331105</v>
      </c>
      <c r="AE283" s="72">
        <f t="shared" si="41"/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 t="s">
        <v>1917</v>
      </c>
      <c r="D284" s="72" t="s">
        <v>1911</v>
      </c>
      <c r="E284" s="72" t="s">
        <v>79</v>
      </c>
      <c r="F284" s="72"/>
      <c r="G284" s="70" t="s">
        <v>1475</v>
      </c>
      <c r="H284" s="87" t="str">
        <f>Settings!$B$3&amp;".mit.cbcov."&amp;$G284&amp;"."&amp;$J$5</f>
        <v>egy.mit.cbcov.cbam.tot.1</v>
      </c>
      <c r="I284" s="72"/>
      <c r="J284" s="72"/>
      <c r="K284" s="72"/>
      <c r="L284" s="101">
        <f t="shared" ref="L284:AE284" si="42">IF((SUM(L$330:L$337)+SUM(L$341:L$348))=0,0,(SUMPRODUCT(L$330:L$337*$I$330:$I$337*(($F$299:$F$306+$G$299:$G$306)&gt;0))+SUMPRODUCT(L$341:L$348*$J$330:$J$337*(($F$310:$F$317+$G$310:$G$317)&gt;0)))/(SUM(L$330:L$337)+SUM(L$341:L$348)))</f>
        <v>0</v>
      </c>
      <c r="M284" s="101">
        <f t="shared" si="42"/>
        <v>0</v>
      </c>
      <c r="N284" s="101">
        <f t="shared" si="42"/>
        <v>0</v>
      </c>
      <c r="O284" s="101">
        <f t="shared" si="42"/>
        <v>0</v>
      </c>
      <c r="P284" s="101">
        <f t="shared" si="42"/>
        <v>0</v>
      </c>
      <c r="Q284" s="101">
        <f t="shared" si="42"/>
        <v>0</v>
      </c>
      <c r="R284" s="101">
        <f t="shared" si="42"/>
        <v>0</v>
      </c>
      <c r="S284" s="101">
        <f t="shared" si="42"/>
        <v>0</v>
      </c>
      <c r="T284" s="101">
        <f t="shared" si="42"/>
        <v>0</v>
      </c>
      <c r="U284" s="101">
        <f t="shared" si="42"/>
        <v>0</v>
      </c>
      <c r="V284" s="101">
        <f t="shared" si="42"/>
        <v>0</v>
      </c>
      <c r="W284" s="101">
        <f t="shared" si="42"/>
        <v>0</v>
      </c>
      <c r="X284" s="101">
        <f t="shared" si="42"/>
        <v>0</v>
      </c>
      <c r="Y284" s="101">
        <f t="shared" si="42"/>
        <v>0</v>
      </c>
      <c r="Z284" s="101">
        <f t="shared" si="42"/>
        <v>0</v>
      </c>
      <c r="AA284" s="101">
        <f t="shared" si="42"/>
        <v>0</v>
      </c>
      <c r="AB284" s="101">
        <f t="shared" si="42"/>
        <v>0</v>
      </c>
      <c r="AC284" s="101">
        <f t="shared" si="42"/>
        <v>0</v>
      </c>
      <c r="AD284" s="101">
        <f t="shared" si="42"/>
        <v>0</v>
      </c>
      <c r="AE284" s="101">
        <f t="shared" si="42"/>
        <v>0</v>
      </c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2" t="s">
        <v>1912</v>
      </c>
      <c r="E285" s="72" t="s">
        <v>1913</v>
      </c>
      <c r="F285" s="72"/>
      <c r="G285" s="70" t="s">
        <v>1475</v>
      </c>
      <c r="H285" s="87" t="str">
        <f>Settings!$B$3&amp;".mit.cbint."&amp;$G285&amp;"."&amp;$J$5</f>
        <v>egy.mit.cbint.cbam.tot.1</v>
      </c>
      <c r="I285" s="72"/>
      <c r="J285" s="72"/>
      <c r="K285" s="72"/>
      <c r="L285" s="76">
        <f t="shared" ref="L285:AE285" si="43">IF(SUM(L$276:L$283)=0,0,L$380*1000/SUM(L$276:L$283))</f>
        <v>0.78607862103016568</v>
      </c>
      <c r="M285" s="76">
        <f t="shared" si="43"/>
        <v>0.7854918840873516</v>
      </c>
      <c r="N285" s="76">
        <f t="shared" si="43"/>
        <v>0.78490313162040215</v>
      </c>
      <c r="O285" s="76">
        <f t="shared" si="43"/>
        <v>0.78431240712425543</v>
      </c>
      <c r="P285" s="76">
        <f t="shared" si="43"/>
        <v>0.78371975541429295</v>
      </c>
      <c r="Q285" s="76">
        <f t="shared" si="43"/>
        <v>0.78312522264570272</v>
      </c>
      <c r="R285" s="76">
        <f t="shared" si="43"/>
        <v>0.78252885633289471</v>
      </c>
      <c r="S285" s="76">
        <f t="shared" si="43"/>
        <v>0.78193070536897147</v>
      </c>
      <c r="T285" s="76">
        <f t="shared" si="43"/>
        <v>0.78133082004524113</v>
      </c>
      <c r="U285" s="76">
        <f t="shared" si="43"/>
        <v>0.78072925207077082</v>
      </c>
      <c r="V285" s="76">
        <f t="shared" si="43"/>
        <v>0.78012605459196904</v>
      </c>
      <c r="W285" s="76">
        <f t="shared" si="43"/>
        <v>0.77952128221219807</v>
      </c>
      <c r="X285" s="76">
        <f t="shared" si="43"/>
        <v>0.77891499101139872</v>
      </c>
      <c r="Y285" s="76">
        <f t="shared" si="43"/>
        <v>0.7783072385657307</v>
      </c>
      <c r="Z285" s="76">
        <f t="shared" si="43"/>
        <v>0.77769808396721452</v>
      </c>
      <c r="AA285" s="76">
        <f t="shared" si="43"/>
        <v>0.77708758784337062</v>
      </c>
      <c r="AB285" s="76">
        <f t="shared" si="43"/>
        <v>0.7764758123768456</v>
      </c>
      <c r="AC285" s="76">
        <f t="shared" si="43"/>
        <v>0.77586282132501894</v>
      </c>
      <c r="AD285" s="76">
        <f t="shared" si="43"/>
        <v>0.77524868003958436</v>
      </c>
      <c r="AE285" s="76">
        <f t="shared" si="43"/>
        <v>0.77463345548608975</v>
      </c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2" t="s">
        <v>1914</v>
      </c>
      <c r="E286" s="72" t="s">
        <v>79</v>
      </c>
      <c r="F286" s="72"/>
      <c r="G286" s="70" t="s">
        <v>1475</v>
      </c>
      <c r="H286" s="87" t="str">
        <f>Settings!$B$3&amp;".mit.cbintch."&amp;$G286&amp;"."&amp;$J$5</f>
        <v>egy.mit.cbintch.cbam.tot.1</v>
      </c>
      <c r="I286" s="72"/>
      <c r="J286" s="72"/>
      <c r="K286" s="72"/>
      <c r="L286" s="101">
        <f t="shared" ref="L286:AE286" si="44">IF((SUM(L$330:L$337)+SUM(L$341:L$348))=0,0,L$380/(SUM(L$330:L$337)+SUM(L$341:L$348))-1)</f>
        <v>0</v>
      </c>
      <c r="M286" s="101">
        <f t="shared" si="44"/>
        <v>0</v>
      </c>
      <c r="N286" s="101">
        <f t="shared" si="44"/>
        <v>0</v>
      </c>
      <c r="O286" s="101">
        <f t="shared" si="44"/>
        <v>0</v>
      </c>
      <c r="P286" s="101">
        <f t="shared" si="44"/>
        <v>-1.1102230246251565E-16</v>
      </c>
      <c r="Q286" s="101">
        <f t="shared" si="44"/>
        <v>0</v>
      </c>
      <c r="R286" s="101">
        <f t="shared" si="44"/>
        <v>2.2204460492503131E-16</v>
      </c>
      <c r="S286" s="101">
        <f t="shared" si="44"/>
        <v>-1.1102230246251565E-16</v>
      </c>
      <c r="T286" s="101">
        <f t="shared" si="44"/>
        <v>0</v>
      </c>
      <c r="U286" s="101">
        <f t="shared" si="44"/>
        <v>0</v>
      </c>
      <c r="V286" s="101">
        <f t="shared" si="44"/>
        <v>0</v>
      </c>
      <c r="W286" s="101">
        <f t="shared" si="44"/>
        <v>0</v>
      </c>
      <c r="X286" s="101">
        <f t="shared" si="44"/>
        <v>0</v>
      </c>
      <c r="Y286" s="101">
        <f t="shared" si="44"/>
        <v>0</v>
      </c>
      <c r="Z286" s="101">
        <f t="shared" si="44"/>
        <v>0</v>
      </c>
      <c r="AA286" s="101">
        <f t="shared" si="44"/>
        <v>0</v>
      </c>
      <c r="AB286" s="101">
        <f t="shared" si="44"/>
        <v>2.2204460492503131E-16</v>
      </c>
      <c r="AC286" s="101">
        <f t="shared" si="44"/>
        <v>0</v>
      </c>
      <c r="AD286" s="101">
        <f t="shared" si="44"/>
        <v>2.2204460492503131E-16</v>
      </c>
      <c r="AE286" s="101">
        <f t="shared" si="44"/>
        <v>0</v>
      </c>
      <c r="AF286" s="70"/>
      <c r="AG286" s="70"/>
      <c r="AH286" s="70"/>
      <c r="AI286" s="70"/>
    </row>
    <row r="287" spans="1:35" x14ac:dyDescent="0.45">
      <c r="A287" s="70"/>
      <c r="B287" s="52"/>
      <c r="C287" s="73" t="s">
        <v>1430</v>
      </c>
      <c r="D287" s="73" t="s">
        <v>1323</v>
      </c>
      <c r="E287" s="70" t="s">
        <v>1431</v>
      </c>
      <c r="F287" s="70" t="s">
        <v>1323</v>
      </c>
      <c r="G287" s="70" t="s">
        <v>1432</v>
      </c>
      <c r="H287" s="70"/>
      <c r="I287" s="71"/>
      <c r="J287" s="71"/>
      <c r="K287" s="72"/>
      <c r="L287" s="74">
        <f t="shared" ref="L287:AE287" si="45">L274</f>
        <v>2022</v>
      </c>
      <c r="M287" s="74">
        <f t="shared" si="45"/>
        <v>2023</v>
      </c>
      <c r="N287" s="74">
        <f t="shared" si="45"/>
        <v>2024</v>
      </c>
      <c r="O287" s="74">
        <f t="shared" si="45"/>
        <v>2025</v>
      </c>
      <c r="P287" s="74">
        <f t="shared" si="45"/>
        <v>2026</v>
      </c>
      <c r="Q287" s="74">
        <f t="shared" si="45"/>
        <v>2027</v>
      </c>
      <c r="R287" s="74">
        <f t="shared" si="45"/>
        <v>2028</v>
      </c>
      <c r="S287" s="74">
        <f t="shared" si="45"/>
        <v>2029</v>
      </c>
      <c r="T287" s="74">
        <f t="shared" si="45"/>
        <v>2030</v>
      </c>
      <c r="U287" s="74">
        <f t="shared" si="45"/>
        <v>2031</v>
      </c>
      <c r="V287" s="74">
        <f t="shared" si="45"/>
        <v>2032</v>
      </c>
      <c r="W287" s="74">
        <f t="shared" si="45"/>
        <v>2033</v>
      </c>
      <c r="X287" s="74">
        <f t="shared" si="45"/>
        <v>2034</v>
      </c>
      <c r="Y287" s="74">
        <f t="shared" si="45"/>
        <v>2035</v>
      </c>
      <c r="Z287" s="74">
        <f t="shared" si="45"/>
        <v>2036</v>
      </c>
      <c r="AA287" s="74">
        <f t="shared" si="45"/>
        <v>2037</v>
      </c>
      <c r="AB287" s="74">
        <f t="shared" si="45"/>
        <v>2038</v>
      </c>
      <c r="AC287" s="74">
        <f t="shared" si="45"/>
        <v>2039</v>
      </c>
      <c r="AD287" s="74">
        <f t="shared" si="45"/>
        <v>2040</v>
      </c>
      <c r="AE287" s="74">
        <f t="shared" si="45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1433</v>
      </c>
      <c r="E288" s="87" t="s">
        <v>1434</v>
      </c>
      <c r="F288" s="70" t="s">
        <v>1435</v>
      </c>
      <c r="G288" s="85">
        <v>750</v>
      </c>
      <c r="H288" s="72"/>
      <c r="I288" s="70"/>
      <c r="J288" s="70"/>
      <c r="K288" s="72"/>
      <c r="L288" s="72">
        <f t="shared" ref="L288:L295" si="46">G288</f>
        <v>750</v>
      </c>
      <c r="M288" s="72">
        <f t="shared" ref="M288:M295" si="47">G288</f>
        <v>750</v>
      </c>
      <c r="N288" s="72">
        <f t="shared" ref="N288:N295" si="48">G288</f>
        <v>750</v>
      </c>
      <c r="O288" s="72">
        <f t="shared" ref="O288:O295" si="49">G288</f>
        <v>750</v>
      </c>
      <c r="P288" s="72">
        <f t="shared" ref="P288:P295" si="50">G288</f>
        <v>750</v>
      </c>
      <c r="Q288" s="72">
        <f t="shared" ref="Q288:Q295" si="51">G288</f>
        <v>750</v>
      </c>
      <c r="R288" s="72">
        <f t="shared" ref="R288:R295" si="52">G288</f>
        <v>750</v>
      </c>
      <c r="S288" s="72">
        <f t="shared" ref="S288:S295" si="53">G288</f>
        <v>750</v>
      </c>
      <c r="T288" s="72">
        <f t="shared" ref="T288:T295" si="54">G288</f>
        <v>750</v>
      </c>
      <c r="U288" s="72">
        <f t="shared" ref="U288:U295" si="55">G288</f>
        <v>750</v>
      </c>
      <c r="V288" s="72">
        <f t="shared" ref="V288:V295" si="56">G288</f>
        <v>750</v>
      </c>
      <c r="W288" s="72">
        <f t="shared" ref="W288:W295" si="57">G288</f>
        <v>750</v>
      </c>
      <c r="X288" s="72">
        <f t="shared" ref="X288:X295" si="58">G288</f>
        <v>750</v>
      </c>
      <c r="Y288" s="72">
        <f t="shared" ref="Y288:Y295" si="59">G288</f>
        <v>750</v>
      </c>
      <c r="Z288" s="72">
        <f t="shared" ref="Z288:Z295" si="60">G288</f>
        <v>750</v>
      </c>
      <c r="AA288" s="72">
        <f t="shared" ref="AA288:AA295" si="61">G288</f>
        <v>750</v>
      </c>
      <c r="AB288" s="72">
        <f t="shared" ref="AB288:AB295" si="62">G288</f>
        <v>750</v>
      </c>
      <c r="AC288" s="72">
        <f t="shared" ref="AC288:AC295" si="63">G288</f>
        <v>750</v>
      </c>
      <c r="AD288" s="72">
        <f t="shared" ref="AD288:AD295" si="64">G288</f>
        <v>750</v>
      </c>
      <c r="AE288" s="72">
        <f t="shared" ref="AE288:AE295" si="65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1436</v>
      </c>
      <c r="E289" s="87" t="s">
        <v>1437</v>
      </c>
      <c r="F289" s="70" t="s">
        <v>1438</v>
      </c>
      <c r="G289" s="85">
        <v>680</v>
      </c>
      <c r="H289" s="70"/>
      <c r="I289" s="70"/>
      <c r="J289" s="70"/>
      <c r="K289" s="72"/>
      <c r="L289" s="72">
        <f t="shared" si="46"/>
        <v>680</v>
      </c>
      <c r="M289" s="72">
        <f t="shared" si="47"/>
        <v>680</v>
      </c>
      <c r="N289" s="72">
        <f t="shared" si="48"/>
        <v>680</v>
      </c>
      <c r="O289" s="72">
        <f t="shared" si="49"/>
        <v>680</v>
      </c>
      <c r="P289" s="72">
        <f t="shared" si="50"/>
        <v>680</v>
      </c>
      <c r="Q289" s="72">
        <f t="shared" si="51"/>
        <v>680</v>
      </c>
      <c r="R289" s="72">
        <f t="shared" si="52"/>
        <v>680</v>
      </c>
      <c r="S289" s="72">
        <f t="shared" si="53"/>
        <v>680</v>
      </c>
      <c r="T289" s="72">
        <f t="shared" si="54"/>
        <v>680</v>
      </c>
      <c r="U289" s="72">
        <f t="shared" si="55"/>
        <v>680</v>
      </c>
      <c r="V289" s="72">
        <f t="shared" si="56"/>
        <v>680</v>
      </c>
      <c r="W289" s="72">
        <f t="shared" si="57"/>
        <v>680</v>
      </c>
      <c r="X289" s="72">
        <f t="shared" si="58"/>
        <v>680</v>
      </c>
      <c r="Y289" s="72">
        <f t="shared" si="59"/>
        <v>680</v>
      </c>
      <c r="Z289" s="72">
        <f t="shared" si="60"/>
        <v>680</v>
      </c>
      <c r="AA289" s="72">
        <f t="shared" si="61"/>
        <v>680</v>
      </c>
      <c r="AB289" s="72">
        <f t="shared" si="62"/>
        <v>680</v>
      </c>
      <c r="AC289" s="72">
        <f t="shared" si="63"/>
        <v>680</v>
      </c>
      <c r="AD289" s="72">
        <f t="shared" si="64"/>
        <v>680</v>
      </c>
      <c r="AE289" s="72">
        <f t="shared" si="65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1439</v>
      </c>
      <c r="E290" s="87" t="s">
        <v>1440</v>
      </c>
      <c r="F290" s="70" t="s">
        <v>1441</v>
      </c>
      <c r="G290" s="85">
        <v>620</v>
      </c>
      <c r="H290" s="70"/>
      <c r="I290" s="70"/>
      <c r="J290" s="70"/>
      <c r="K290" s="72"/>
      <c r="L290" s="72">
        <f t="shared" si="46"/>
        <v>620</v>
      </c>
      <c r="M290" s="72">
        <f t="shared" si="47"/>
        <v>620</v>
      </c>
      <c r="N290" s="72">
        <f t="shared" si="48"/>
        <v>620</v>
      </c>
      <c r="O290" s="72">
        <f t="shared" si="49"/>
        <v>620</v>
      </c>
      <c r="P290" s="72">
        <f t="shared" si="50"/>
        <v>620</v>
      </c>
      <c r="Q290" s="72">
        <f t="shared" si="51"/>
        <v>620</v>
      </c>
      <c r="R290" s="72">
        <f t="shared" si="52"/>
        <v>620</v>
      </c>
      <c r="S290" s="72">
        <f t="shared" si="53"/>
        <v>620</v>
      </c>
      <c r="T290" s="72">
        <f t="shared" si="54"/>
        <v>620</v>
      </c>
      <c r="U290" s="72">
        <f t="shared" si="55"/>
        <v>620</v>
      </c>
      <c r="V290" s="72">
        <f t="shared" si="56"/>
        <v>620</v>
      </c>
      <c r="W290" s="72">
        <f t="shared" si="57"/>
        <v>620</v>
      </c>
      <c r="X290" s="72">
        <f t="shared" si="58"/>
        <v>620</v>
      </c>
      <c r="Y290" s="72">
        <f t="shared" si="59"/>
        <v>620</v>
      </c>
      <c r="Z290" s="72">
        <f t="shared" si="60"/>
        <v>620</v>
      </c>
      <c r="AA290" s="72">
        <f t="shared" si="61"/>
        <v>620</v>
      </c>
      <c r="AB290" s="72">
        <f t="shared" si="62"/>
        <v>620</v>
      </c>
      <c r="AC290" s="72">
        <f t="shared" si="63"/>
        <v>620</v>
      </c>
      <c r="AD290" s="72">
        <f t="shared" si="64"/>
        <v>620</v>
      </c>
      <c r="AE290" s="72">
        <f t="shared" si="65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1442</v>
      </c>
      <c r="E291" s="87" t="s">
        <v>1443</v>
      </c>
      <c r="F291" s="70" t="s">
        <v>1444</v>
      </c>
      <c r="G291" s="85">
        <v>110</v>
      </c>
      <c r="H291" s="70"/>
      <c r="I291" s="70"/>
      <c r="J291" s="70"/>
      <c r="K291" s="72"/>
      <c r="L291" s="72">
        <f t="shared" si="46"/>
        <v>110</v>
      </c>
      <c r="M291" s="72">
        <f t="shared" si="47"/>
        <v>110</v>
      </c>
      <c r="N291" s="72">
        <f t="shared" si="48"/>
        <v>110</v>
      </c>
      <c r="O291" s="72">
        <f t="shared" si="49"/>
        <v>110</v>
      </c>
      <c r="P291" s="72">
        <f t="shared" si="50"/>
        <v>110</v>
      </c>
      <c r="Q291" s="72">
        <f t="shared" si="51"/>
        <v>110</v>
      </c>
      <c r="R291" s="72">
        <f t="shared" si="52"/>
        <v>110</v>
      </c>
      <c r="S291" s="72">
        <f t="shared" si="53"/>
        <v>110</v>
      </c>
      <c r="T291" s="72">
        <f t="shared" si="54"/>
        <v>110</v>
      </c>
      <c r="U291" s="72">
        <f t="shared" si="55"/>
        <v>110</v>
      </c>
      <c r="V291" s="72">
        <f t="shared" si="56"/>
        <v>110</v>
      </c>
      <c r="W291" s="72">
        <f t="shared" si="57"/>
        <v>110</v>
      </c>
      <c r="X291" s="72">
        <f t="shared" si="58"/>
        <v>110</v>
      </c>
      <c r="Y291" s="72">
        <f t="shared" si="59"/>
        <v>110</v>
      </c>
      <c r="Z291" s="72">
        <f t="shared" si="60"/>
        <v>110</v>
      </c>
      <c r="AA291" s="72">
        <f t="shared" si="61"/>
        <v>110</v>
      </c>
      <c r="AB291" s="72">
        <f t="shared" si="62"/>
        <v>110</v>
      </c>
      <c r="AC291" s="72">
        <f t="shared" si="63"/>
        <v>110</v>
      </c>
      <c r="AD291" s="72">
        <f t="shared" si="64"/>
        <v>110</v>
      </c>
      <c r="AE291" s="72">
        <f t="shared" si="65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1445</v>
      </c>
      <c r="E292" s="87" t="s">
        <v>1446</v>
      </c>
      <c r="F292" s="70" t="s">
        <v>1447</v>
      </c>
      <c r="G292" s="85">
        <v>450</v>
      </c>
      <c r="H292" s="70"/>
      <c r="I292" s="70"/>
      <c r="J292" s="70"/>
      <c r="K292" s="72"/>
      <c r="L292" s="72">
        <f t="shared" si="46"/>
        <v>450</v>
      </c>
      <c r="M292" s="72">
        <f t="shared" si="47"/>
        <v>450</v>
      </c>
      <c r="N292" s="72">
        <f t="shared" si="48"/>
        <v>450</v>
      </c>
      <c r="O292" s="72">
        <f t="shared" si="49"/>
        <v>450</v>
      </c>
      <c r="P292" s="72">
        <f t="shared" si="50"/>
        <v>450</v>
      </c>
      <c r="Q292" s="72">
        <f t="shared" si="51"/>
        <v>450</v>
      </c>
      <c r="R292" s="72">
        <f t="shared" si="52"/>
        <v>450</v>
      </c>
      <c r="S292" s="72">
        <f t="shared" si="53"/>
        <v>450</v>
      </c>
      <c r="T292" s="72">
        <f t="shared" si="54"/>
        <v>450</v>
      </c>
      <c r="U292" s="72">
        <f t="shared" si="55"/>
        <v>450</v>
      </c>
      <c r="V292" s="72">
        <f t="shared" si="56"/>
        <v>450</v>
      </c>
      <c r="W292" s="72">
        <f t="shared" si="57"/>
        <v>450</v>
      </c>
      <c r="X292" s="72">
        <f t="shared" si="58"/>
        <v>450</v>
      </c>
      <c r="Y292" s="72">
        <f t="shared" si="59"/>
        <v>450</v>
      </c>
      <c r="Z292" s="72">
        <f t="shared" si="60"/>
        <v>450</v>
      </c>
      <c r="AA292" s="72">
        <f t="shared" si="61"/>
        <v>450</v>
      </c>
      <c r="AB292" s="72">
        <f t="shared" si="62"/>
        <v>450</v>
      </c>
      <c r="AC292" s="72">
        <f t="shared" si="63"/>
        <v>450</v>
      </c>
      <c r="AD292" s="72">
        <f t="shared" si="64"/>
        <v>450</v>
      </c>
      <c r="AE292" s="72">
        <f t="shared" si="65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1448</v>
      </c>
      <c r="E293" s="87" t="s">
        <v>1449</v>
      </c>
      <c r="F293" s="70" t="s">
        <v>1450</v>
      </c>
      <c r="G293" s="85">
        <v>380</v>
      </c>
      <c r="H293" s="70"/>
      <c r="I293" s="70"/>
      <c r="J293" s="70"/>
      <c r="K293" s="72"/>
      <c r="L293" s="72">
        <f t="shared" si="46"/>
        <v>380</v>
      </c>
      <c r="M293" s="72">
        <f t="shared" si="47"/>
        <v>380</v>
      </c>
      <c r="N293" s="72">
        <f t="shared" si="48"/>
        <v>380</v>
      </c>
      <c r="O293" s="72">
        <f t="shared" si="49"/>
        <v>380</v>
      </c>
      <c r="P293" s="72">
        <f t="shared" si="50"/>
        <v>380</v>
      </c>
      <c r="Q293" s="72">
        <f t="shared" si="51"/>
        <v>380</v>
      </c>
      <c r="R293" s="72">
        <f t="shared" si="52"/>
        <v>380</v>
      </c>
      <c r="S293" s="72">
        <f t="shared" si="53"/>
        <v>380</v>
      </c>
      <c r="T293" s="72">
        <f t="shared" si="54"/>
        <v>380</v>
      </c>
      <c r="U293" s="72">
        <f t="shared" si="55"/>
        <v>380</v>
      </c>
      <c r="V293" s="72">
        <f t="shared" si="56"/>
        <v>380</v>
      </c>
      <c r="W293" s="72">
        <f t="shared" si="57"/>
        <v>380</v>
      </c>
      <c r="X293" s="72">
        <f t="shared" si="58"/>
        <v>380</v>
      </c>
      <c r="Y293" s="72">
        <f t="shared" si="59"/>
        <v>380</v>
      </c>
      <c r="Z293" s="72">
        <f t="shared" si="60"/>
        <v>380</v>
      </c>
      <c r="AA293" s="72">
        <f t="shared" si="61"/>
        <v>380</v>
      </c>
      <c r="AB293" s="72">
        <f t="shared" si="62"/>
        <v>380</v>
      </c>
      <c r="AC293" s="72">
        <f t="shared" si="63"/>
        <v>380</v>
      </c>
      <c r="AD293" s="72">
        <f t="shared" si="64"/>
        <v>380</v>
      </c>
      <c r="AE293" s="72">
        <f t="shared" si="65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1451</v>
      </c>
      <c r="E294" s="87" t="s">
        <v>1452</v>
      </c>
      <c r="F294" s="70" t="s">
        <v>1453</v>
      </c>
      <c r="G294" s="85">
        <v>320</v>
      </c>
      <c r="H294" s="70"/>
      <c r="I294" s="70"/>
      <c r="J294" s="70"/>
      <c r="K294" s="72"/>
      <c r="L294" s="72">
        <f t="shared" si="46"/>
        <v>320</v>
      </c>
      <c r="M294" s="72">
        <f t="shared" si="47"/>
        <v>320</v>
      </c>
      <c r="N294" s="72">
        <f t="shared" si="48"/>
        <v>320</v>
      </c>
      <c r="O294" s="72">
        <f t="shared" si="49"/>
        <v>320</v>
      </c>
      <c r="P294" s="72">
        <f t="shared" si="50"/>
        <v>320</v>
      </c>
      <c r="Q294" s="72">
        <f t="shared" si="51"/>
        <v>320</v>
      </c>
      <c r="R294" s="72">
        <f t="shared" si="52"/>
        <v>320</v>
      </c>
      <c r="S294" s="72">
        <f t="shared" si="53"/>
        <v>320</v>
      </c>
      <c r="T294" s="72">
        <f t="shared" si="54"/>
        <v>320</v>
      </c>
      <c r="U294" s="72">
        <f t="shared" si="55"/>
        <v>320</v>
      </c>
      <c r="V294" s="72">
        <f t="shared" si="56"/>
        <v>320</v>
      </c>
      <c r="W294" s="72">
        <f t="shared" si="57"/>
        <v>320</v>
      </c>
      <c r="X294" s="72">
        <f t="shared" si="58"/>
        <v>320</v>
      </c>
      <c r="Y294" s="72">
        <f t="shared" si="59"/>
        <v>320</v>
      </c>
      <c r="Z294" s="72">
        <f t="shared" si="60"/>
        <v>320</v>
      </c>
      <c r="AA294" s="72">
        <f t="shared" si="61"/>
        <v>320</v>
      </c>
      <c r="AB294" s="72">
        <f t="shared" si="62"/>
        <v>320</v>
      </c>
      <c r="AC294" s="72">
        <f t="shared" si="63"/>
        <v>320</v>
      </c>
      <c r="AD294" s="72">
        <f t="shared" si="64"/>
        <v>320</v>
      </c>
      <c r="AE294" s="72">
        <f t="shared" si="65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1454</v>
      </c>
      <c r="E295" s="87" t="s">
        <v>1455</v>
      </c>
      <c r="F295" s="70" t="s">
        <v>1456</v>
      </c>
      <c r="G295" s="85">
        <v>2400</v>
      </c>
      <c r="H295" s="70"/>
      <c r="I295" s="70"/>
      <c r="J295" s="70"/>
      <c r="K295" s="72"/>
      <c r="L295" s="72">
        <f t="shared" si="46"/>
        <v>2400</v>
      </c>
      <c r="M295" s="72">
        <f t="shared" si="47"/>
        <v>2400</v>
      </c>
      <c r="N295" s="72">
        <f t="shared" si="48"/>
        <v>2400</v>
      </c>
      <c r="O295" s="72">
        <f t="shared" si="49"/>
        <v>2400</v>
      </c>
      <c r="P295" s="72">
        <f t="shared" si="50"/>
        <v>2400</v>
      </c>
      <c r="Q295" s="72">
        <f t="shared" si="51"/>
        <v>2400</v>
      </c>
      <c r="R295" s="72">
        <f t="shared" si="52"/>
        <v>2400</v>
      </c>
      <c r="S295" s="72">
        <f t="shared" si="53"/>
        <v>2400</v>
      </c>
      <c r="T295" s="72">
        <f t="shared" si="54"/>
        <v>2400</v>
      </c>
      <c r="U295" s="72">
        <f t="shared" si="55"/>
        <v>2400</v>
      </c>
      <c r="V295" s="72">
        <f t="shared" si="56"/>
        <v>2400</v>
      </c>
      <c r="W295" s="72">
        <f t="shared" si="57"/>
        <v>2400</v>
      </c>
      <c r="X295" s="72">
        <f t="shared" si="58"/>
        <v>2400</v>
      </c>
      <c r="Y295" s="72">
        <f t="shared" si="59"/>
        <v>2400</v>
      </c>
      <c r="Z295" s="72">
        <f t="shared" si="60"/>
        <v>2400</v>
      </c>
      <c r="AA295" s="72">
        <f t="shared" si="61"/>
        <v>2400</v>
      </c>
      <c r="AB295" s="72">
        <f t="shared" si="62"/>
        <v>2400</v>
      </c>
      <c r="AC295" s="72">
        <f t="shared" si="63"/>
        <v>2400</v>
      </c>
      <c r="AD295" s="72">
        <f t="shared" si="64"/>
        <v>2400</v>
      </c>
      <c r="AE295" s="72">
        <f t="shared" si="65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 t="s">
        <v>1918</v>
      </c>
      <c r="D296" s="72" t="s">
        <v>1915</v>
      </c>
      <c r="E296" s="72" t="s">
        <v>79</v>
      </c>
      <c r="F296" s="72"/>
      <c r="G296" s="70" t="s">
        <v>1475</v>
      </c>
      <c r="H296" s="87" t="str">
        <f>Settings!$B$3&amp;".mit.cbintchx."&amp;$G296&amp;"."&amp;$J$5</f>
        <v>egy.mit.cbintchx.cbam.tot.1</v>
      </c>
      <c r="I296" s="72"/>
      <c r="J296" s="72"/>
      <c r="K296" s="72"/>
      <c r="L296" s="101">
        <f t="shared" ref="L296:AE296" si="66">IF(SUMPRODUCT($I$276:$I$283*(L$330:L$337+L$341:L$348)/(L$276:L$283+(L$276:L$283=0)))=0,0,SUMPRODUCT($I$276:$I$283*(L$330:L$337+L$352:L$359+L$341:L$348+L$363:L$370)/(L$276:L$283+(L$276:L$283=0)))/SUMPRODUCT($I$276:$I$283*(L$330:L$337+L$341:L$348)/(L$276:L$283+(L$276:L$283=0)))-1)</f>
        <v>0</v>
      </c>
      <c r="M296" s="101">
        <f t="shared" si="66"/>
        <v>0</v>
      </c>
      <c r="N296" s="101">
        <f t="shared" si="66"/>
        <v>0</v>
      </c>
      <c r="O296" s="101">
        <f t="shared" si="66"/>
        <v>0</v>
      </c>
      <c r="P296" s="101">
        <f t="shared" si="66"/>
        <v>0</v>
      </c>
      <c r="Q296" s="101">
        <f t="shared" si="66"/>
        <v>0</v>
      </c>
      <c r="R296" s="101">
        <f t="shared" si="66"/>
        <v>0</v>
      </c>
      <c r="S296" s="101">
        <f t="shared" si="66"/>
        <v>0</v>
      </c>
      <c r="T296" s="101">
        <f t="shared" si="66"/>
        <v>0</v>
      </c>
      <c r="U296" s="101">
        <f t="shared" si="66"/>
        <v>0</v>
      </c>
      <c r="V296" s="101">
        <f t="shared" si="66"/>
        <v>0</v>
      </c>
      <c r="W296" s="101">
        <f t="shared" si="66"/>
        <v>0</v>
      </c>
      <c r="X296" s="101">
        <f t="shared" si="66"/>
        <v>0</v>
      </c>
      <c r="Y296" s="101">
        <f t="shared" si="66"/>
        <v>0</v>
      </c>
      <c r="Z296" s="101">
        <f t="shared" si="66"/>
        <v>0</v>
      </c>
      <c r="AA296" s="101">
        <f t="shared" si="66"/>
        <v>0</v>
      </c>
      <c r="AB296" s="101">
        <f t="shared" si="66"/>
        <v>0</v>
      </c>
      <c r="AC296" s="101">
        <f t="shared" si="66"/>
        <v>0</v>
      </c>
      <c r="AD296" s="101">
        <f t="shared" si="66"/>
        <v>0</v>
      </c>
      <c r="AE296" s="101">
        <f t="shared" si="66"/>
        <v>0</v>
      </c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72" t="s">
        <v>1916</v>
      </c>
      <c r="E297" s="72" t="s">
        <v>79</v>
      </c>
      <c r="F297" s="72"/>
      <c r="G297" s="70" t="s">
        <v>1475</v>
      </c>
      <c r="H297" s="87" t="str">
        <f>Settings!$B$3&amp;".mit.cbcovx."&amp;$G297&amp;"."&amp;$J$5</f>
        <v>egy.mit.cbcovx.cbam.tot.1</v>
      </c>
      <c r="I297" s="72"/>
      <c r="J297" s="72"/>
      <c r="K297" s="72"/>
      <c r="L297" s="101">
        <f t="shared" ref="L297:AE297" si="67">IF(SUMPRODUCT($I$276:$I$283*(L$330:L$337+L$341:L$348)/(L$276:L$283+(L$276:L$283=0)))=0,0,SUMPRODUCT($I$276:$I$283*(L$330:L$337*$I$330:$I$337*(($F$299:$F$306+$G$299:$G$306)&gt;0)+L$341:L$348*$J$330:$J$337*(($F$310:$F$317+$G$310:$G$317)&gt;0))/(L$276:L$283+(L$276:L$283=0)))/SUMPRODUCT($I$276:$I$283*(L$330:L$337+L$341:L$348)/(L$276:L$283+(L$276:L$283=0))))</f>
        <v>0</v>
      </c>
      <c r="M297" s="101">
        <f t="shared" si="67"/>
        <v>0</v>
      </c>
      <c r="N297" s="101">
        <f t="shared" si="67"/>
        <v>0</v>
      </c>
      <c r="O297" s="101">
        <f t="shared" si="67"/>
        <v>0</v>
      </c>
      <c r="P297" s="101">
        <f t="shared" si="67"/>
        <v>0</v>
      </c>
      <c r="Q297" s="101">
        <f t="shared" si="67"/>
        <v>0</v>
      </c>
      <c r="R297" s="101">
        <f t="shared" si="67"/>
        <v>0</v>
      </c>
      <c r="S297" s="101">
        <f t="shared" si="67"/>
        <v>0</v>
      </c>
      <c r="T297" s="101">
        <f t="shared" si="67"/>
        <v>0</v>
      </c>
      <c r="U297" s="101">
        <f t="shared" si="67"/>
        <v>0</v>
      </c>
      <c r="V297" s="101">
        <f t="shared" si="67"/>
        <v>0</v>
      </c>
      <c r="W297" s="101">
        <f t="shared" si="67"/>
        <v>0</v>
      </c>
      <c r="X297" s="101">
        <f t="shared" si="67"/>
        <v>0</v>
      </c>
      <c r="Y297" s="101">
        <f t="shared" si="67"/>
        <v>0</v>
      </c>
      <c r="Z297" s="101">
        <f t="shared" si="67"/>
        <v>0</v>
      </c>
      <c r="AA297" s="101">
        <f t="shared" si="67"/>
        <v>0</v>
      </c>
      <c r="AB297" s="101">
        <f t="shared" si="67"/>
        <v>0</v>
      </c>
      <c r="AC297" s="101">
        <f t="shared" si="67"/>
        <v>0</v>
      </c>
      <c r="AD297" s="101">
        <f t="shared" si="67"/>
        <v>0</v>
      </c>
      <c r="AE297" s="101">
        <f t="shared" si="67"/>
        <v>0</v>
      </c>
      <c r="AF297" s="70"/>
      <c r="AG297" s="70"/>
      <c r="AH297" s="70"/>
      <c r="AI297" s="70"/>
    </row>
    <row r="298" spans="1:35" x14ac:dyDescent="0.45">
      <c r="A298" s="70"/>
      <c r="B298" s="52"/>
      <c r="C298" s="73" t="s">
        <v>1457</v>
      </c>
      <c r="D298" s="73"/>
      <c r="E298" s="72" t="s">
        <v>1879</v>
      </c>
      <c r="F298" s="70" t="s">
        <v>1458</v>
      </c>
      <c r="G298" s="70" t="s">
        <v>1459</v>
      </c>
      <c r="H298" s="71"/>
      <c r="I298" s="71"/>
      <c r="J298" s="71"/>
      <c r="K298" s="72"/>
      <c r="L298" s="74">
        <f t="shared" ref="L298:AE298" si="68">L246</f>
        <v>2022</v>
      </c>
      <c r="M298" s="74">
        <f t="shared" si="68"/>
        <v>2023</v>
      </c>
      <c r="N298" s="74">
        <f t="shared" si="68"/>
        <v>2024</v>
      </c>
      <c r="O298" s="74">
        <f t="shared" si="68"/>
        <v>2025</v>
      </c>
      <c r="P298" s="74">
        <f t="shared" si="68"/>
        <v>2026</v>
      </c>
      <c r="Q298" s="74">
        <f t="shared" si="68"/>
        <v>2027</v>
      </c>
      <c r="R298" s="74">
        <f t="shared" si="68"/>
        <v>2028</v>
      </c>
      <c r="S298" s="74">
        <f t="shared" si="68"/>
        <v>2029</v>
      </c>
      <c r="T298" s="74">
        <f t="shared" si="68"/>
        <v>2030</v>
      </c>
      <c r="U298" s="74">
        <f t="shared" si="68"/>
        <v>2031</v>
      </c>
      <c r="V298" s="74">
        <f t="shared" si="68"/>
        <v>2032</v>
      </c>
      <c r="W298" s="74">
        <f t="shared" si="68"/>
        <v>2033</v>
      </c>
      <c r="X298" s="74">
        <f t="shared" si="68"/>
        <v>2034</v>
      </c>
      <c r="Y298" s="74">
        <f t="shared" si="68"/>
        <v>2035</v>
      </c>
      <c r="Z298" s="74">
        <f t="shared" si="68"/>
        <v>2036</v>
      </c>
      <c r="AA298" s="74">
        <f t="shared" si="68"/>
        <v>2037</v>
      </c>
      <c r="AB298" s="74">
        <f t="shared" si="68"/>
        <v>2038</v>
      </c>
      <c r="AC298" s="74">
        <f t="shared" si="68"/>
        <v>2039</v>
      </c>
      <c r="AD298" s="74">
        <f t="shared" si="68"/>
        <v>2040</v>
      </c>
      <c r="AE298" s="74">
        <f t="shared" si="68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1433</v>
      </c>
      <c r="E299" s="72">
        <f t="shared" ref="E299:E306" si="69">$H264*$H$273+$I264*$I$273</f>
        <v>0.57099076999999998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1436</v>
      </c>
      <c r="E300" s="72">
        <f t="shared" si="69"/>
        <v>4.4880000000000003E-2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1439</v>
      </c>
      <c r="E301" s="72">
        <f t="shared" si="69"/>
        <v>1.4249802699999998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1442</v>
      </c>
      <c r="E302" s="72">
        <f t="shared" si="69"/>
        <v>0.31356849999999997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1445</v>
      </c>
      <c r="E303" s="72">
        <f t="shared" si="69"/>
        <v>1.97472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1448</v>
      </c>
      <c r="E304" s="72">
        <f t="shared" si="69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1451</v>
      </c>
      <c r="E305" s="72">
        <f t="shared" si="69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1454</v>
      </c>
      <c r="E306" s="72">
        <f t="shared" si="69"/>
        <v>0.12342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2" t="s">
        <v>1982</v>
      </c>
      <c r="E307" s="72" t="s">
        <v>79</v>
      </c>
      <c r="F307" s="72"/>
      <c r="G307" s="70" t="s">
        <v>1475</v>
      </c>
      <c r="H307" s="87" t="str">
        <f>Settings!$B$3&amp;".mit.cbqch."&amp;$G307&amp;"."&amp;$J$5</f>
        <v>egy.mit.cbqch.cbam.tot.1</v>
      </c>
      <c r="I307" s="72"/>
      <c r="J307" s="72"/>
      <c r="K307" s="72"/>
      <c r="L307" s="101">
        <f t="shared" ref="L307:AE307" si="70">IF(SUMPRODUCT((L$330:L$337+L$341:L$348)*(1+L$320:L$327)^(-$J$276:$J$283))=0,0,L$318/SUMPRODUCT((L$330:L$337+L$341:L$348)*(1+L$320:L$327)^(-$J$276:$J$283)))</f>
        <v>0</v>
      </c>
      <c r="M307" s="101">
        <f t="shared" si="70"/>
        <v>0</v>
      </c>
      <c r="N307" s="101">
        <f t="shared" si="70"/>
        <v>0</v>
      </c>
      <c r="O307" s="101">
        <f t="shared" si="70"/>
        <v>0</v>
      </c>
      <c r="P307" s="101">
        <f t="shared" si="70"/>
        <v>0</v>
      </c>
      <c r="Q307" s="101">
        <f t="shared" si="70"/>
        <v>0</v>
      </c>
      <c r="R307" s="101">
        <f t="shared" si="70"/>
        <v>0</v>
      </c>
      <c r="S307" s="101">
        <f t="shared" si="70"/>
        <v>0</v>
      </c>
      <c r="T307" s="101">
        <f t="shared" si="70"/>
        <v>0</v>
      </c>
      <c r="U307" s="101">
        <f t="shared" si="70"/>
        <v>0</v>
      </c>
      <c r="V307" s="101">
        <f t="shared" si="70"/>
        <v>0</v>
      </c>
      <c r="W307" s="101">
        <f t="shared" si="70"/>
        <v>0</v>
      </c>
      <c r="X307" s="101">
        <f t="shared" si="70"/>
        <v>0</v>
      </c>
      <c r="Y307" s="101">
        <f t="shared" si="70"/>
        <v>0</v>
      </c>
      <c r="Z307" s="101">
        <f t="shared" si="70"/>
        <v>0</v>
      </c>
      <c r="AA307" s="101">
        <f t="shared" si="70"/>
        <v>0</v>
      </c>
      <c r="AB307" s="101">
        <f t="shared" si="70"/>
        <v>0</v>
      </c>
      <c r="AC307" s="101">
        <f t="shared" si="70"/>
        <v>0</v>
      </c>
      <c r="AD307" s="101">
        <f t="shared" si="70"/>
        <v>0</v>
      </c>
      <c r="AE307" s="101">
        <f t="shared" si="70"/>
        <v>0</v>
      </c>
      <c r="AF307" s="70"/>
      <c r="AG307" s="70"/>
      <c r="AH307" s="70"/>
      <c r="AI307" s="70"/>
    </row>
    <row r="308" spans="1:35" x14ac:dyDescent="0.45">
      <c r="A308" s="71"/>
      <c r="B308" s="52"/>
      <c r="C308" s="70"/>
      <c r="D308" s="73" t="s">
        <v>1900</v>
      </c>
      <c r="E308" s="71" t="s">
        <v>1398</v>
      </c>
      <c r="F308" s="71" t="s">
        <v>26</v>
      </c>
      <c r="G308" s="86" t="str">
        <f>Settings!$B$3&amp;".mit.pptraj."&amp;$J$5</f>
        <v>egy.mit.pptraj.1</v>
      </c>
      <c r="H308" s="71"/>
      <c r="I308" s="71" t="s">
        <v>1901</v>
      </c>
      <c r="J308" s="71"/>
      <c r="K308" s="72"/>
      <c r="L308" s="71">
        <f>INDEX(Data_Prices!L:L,MATCH($G308,Data_Prices!$A:$A,0))</f>
        <v>0</v>
      </c>
      <c r="M308" s="71">
        <f>INDEX(Data_Prices!M:M,MATCH($G308,Data_Prices!$A:$A,0))</f>
        <v>0</v>
      </c>
      <c r="N308" s="71">
        <f>INDEX(Data_Prices!N:N,MATCH($G308,Data_Prices!$A:$A,0))</f>
        <v>0</v>
      </c>
      <c r="O308" s="71">
        <f>INDEX(Data_Prices!O:O,MATCH($G308,Data_Prices!$A:$A,0))</f>
        <v>0</v>
      </c>
      <c r="P308" s="71">
        <f>INDEX(Data_Prices!P:P,MATCH($G308,Data_Prices!$A:$A,0))</f>
        <v>0</v>
      </c>
      <c r="Q308" s="71">
        <f>INDEX(Data_Prices!Q:Q,MATCH($G308,Data_Prices!$A:$A,0))</f>
        <v>0</v>
      </c>
      <c r="R308" s="71">
        <f>INDEX(Data_Prices!R:R,MATCH($G308,Data_Prices!$A:$A,0))</f>
        <v>0</v>
      </c>
      <c r="S308" s="71">
        <f>INDEX(Data_Prices!S:S,MATCH($G308,Data_Prices!$A:$A,0))</f>
        <v>0</v>
      </c>
      <c r="T308" s="71">
        <f>INDEX(Data_Prices!T:T,MATCH($G308,Data_Prices!$A:$A,0))</f>
        <v>0</v>
      </c>
      <c r="U308" s="71">
        <f>INDEX(Data_Prices!U:U,MATCH($G308,Data_Prices!$A:$A,0))</f>
        <v>0</v>
      </c>
      <c r="V308" s="71">
        <f>INDEX(Data_Prices!V:V,MATCH($G308,Data_Prices!$A:$A,0))</f>
        <v>0</v>
      </c>
      <c r="W308" s="71">
        <f>INDEX(Data_Prices!W:W,MATCH($G308,Data_Prices!$A:$A,0))</f>
        <v>0</v>
      </c>
      <c r="X308" s="71">
        <f>INDEX(Data_Prices!X:X,MATCH($G308,Data_Prices!$A:$A,0))</f>
        <v>0</v>
      </c>
      <c r="Y308" s="71">
        <f>INDEX(Data_Prices!Y:Y,MATCH($G308,Data_Prices!$A:$A,0))</f>
        <v>0</v>
      </c>
      <c r="Z308" s="71">
        <f>INDEX(Data_Prices!Z:Z,MATCH($G308,Data_Prices!$A:$A,0))</f>
        <v>0</v>
      </c>
      <c r="AA308" s="71">
        <f>INDEX(Data_Prices!AA:AA,MATCH($G308,Data_Prices!$A:$A,0))</f>
        <v>0</v>
      </c>
      <c r="AB308" s="71">
        <f>INDEX(Data_Prices!AB:AB,MATCH($G308,Data_Prices!$A:$A,0))</f>
        <v>0</v>
      </c>
      <c r="AC308" s="71">
        <f>INDEX(Data_Prices!AC:AC,MATCH($G308,Data_Prices!$A:$A,0))</f>
        <v>0</v>
      </c>
      <c r="AD308" s="71">
        <f>INDEX(Data_Prices!AD:AD,MATCH($G308,Data_Prices!$A:$A,0))</f>
        <v>0</v>
      </c>
      <c r="AE308" s="71">
        <f>INDEX(Data_Prices!AE:AE,MATCH($G308,Data_Prices!$A:$A,0))</f>
        <v>0</v>
      </c>
      <c r="AF308" s="71"/>
      <c r="AG308" s="70"/>
      <c r="AH308" s="70"/>
      <c r="AI308" s="70"/>
    </row>
    <row r="309" spans="1:35" x14ac:dyDescent="0.45">
      <c r="A309" s="70"/>
      <c r="B309" s="52"/>
      <c r="C309" s="73" t="s">
        <v>1460</v>
      </c>
      <c r="D309" s="73"/>
      <c r="E309" s="72" t="s">
        <v>1880</v>
      </c>
      <c r="F309" s="70" t="s">
        <v>1461</v>
      </c>
      <c r="G309" s="70" t="s">
        <v>1462</v>
      </c>
      <c r="H309" s="71"/>
      <c r="I309" s="71"/>
      <c r="J309" s="71"/>
      <c r="K309" s="72"/>
      <c r="L309" s="74">
        <f t="shared" ref="L309:AE309" si="71">L298</f>
        <v>2022</v>
      </c>
      <c r="M309" s="74">
        <f t="shared" si="71"/>
        <v>2023</v>
      </c>
      <c r="N309" s="74">
        <f t="shared" si="71"/>
        <v>2024</v>
      </c>
      <c r="O309" s="74">
        <f t="shared" si="71"/>
        <v>2025</v>
      </c>
      <c r="P309" s="74">
        <f t="shared" si="71"/>
        <v>2026</v>
      </c>
      <c r="Q309" s="74">
        <f t="shared" si="71"/>
        <v>2027</v>
      </c>
      <c r="R309" s="74">
        <f t="shared" si="71"/>
        <v>2028</v>
      </c>
      <c r="S309" s="74">
        <f t="shared" si="71"/>
        <v>2029</v>
      </c>
      <c r="T309" s="74">
        <f t="shared" si="71"/>
        <v>2030</v>
      </c>
      <c r="U309" s="74">
        <f t="shared" si="71"/>
        <v>2031</v>
      </c>
      <c r="V309" s="74">
        <f t="shared" si="71"/>
        <v>2032</v>
      </c>
      <c r="W309" s="74">
        <f t="shared" si="71"/>
        <v>2033</v>
      </c>
      <c r="X309" s="74">
        <f t="shared" si="71"/>
        <v>2034</v>
      </c>
      <c r="Y309" s="74">
        <f t="shared" si="71"/>
        <v>2035</v>
      </c>
      <c r="Z309" s="74">
        <f t="shared" si="71"/>
        <v>2036</v>
      </c>
      <c r="AA309" s="74">
        <f t="shared" si="71"/>
        <v>2037</v>
      </c>
      <c r="AB309" s="74">
        <f t="shared" si="71"/>
        <v>2038</v>
      </c>
      <c r="AC309" s="74">
        <f t="shared" si="71"/>
        <v>2039</v>
      </c>
      <c r="AD309" s="74">
        <f t="shared" si="71"/>
        <v>2040</v>
      </c>
      <c r="AE309" s="74">
        <f t="shared" si="71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1433</v>
      </c>
      <c r="E310" s="72">
        <f t="shared" ref="E310:E317" si="72">MAX($J264,0)*$J$273+MAX($K264,0)*$K$273</f>
        <v>3.7901020000000001E-2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 t="shared" ref="L310:U317" si="73">($F310*L$308+$G310*L$248)*$E310</f>
        <v>0</v>
      </c>
      <c r="M310" s="81">
        <f t="shared" si="73"/>
        <v>0</v>
      </c>
      <c r="N310" s="81">
        <f t="shared" si="73"/>
        <v>0</v>
      </c>
      <c r="O310" s="81">
        <f t="shared" si="73"/>
        <v>0</v>
      </c>
      <c r="P310" s="81">
        <f t="shared" si="73"/>
        <v>0</v>
      </c>
      <c r="Q310" s="81">
        <f t="shared" si="73"/>
        <v>0</v>
      </c>
      <c r="R310" s="81">
        <f t="shared" si="73"/>
        <v>0</v>
      </c>
      <c r="S310" s="81">
        <f t="shared" si="73"/>
        <v>0</v>
      </c>
      <c r="T310" s="81">
        <f t="shared" si="73"/>
        <v>0</v>
      </c>
      <c r="U310" s="81">
        <f t="shared" si="73"/>
        <v>0</v>
      </c>
      <c r="V310" s="81">
        <f t="shared" ref="V310:AE317" si="74">($F310*V$308+$G310*V$248)*$E310</f>
        <v>0</v>
      </c>
      <c r="W310" s="81">
        <f t="shared" si="74"/>
        <v>0</v>
      </c>
      <c r="X310" s="81">
        <f t="shared" si="74"/>
        <v>0</v>
      </c>
      <c r="Y310" s="81">
        <f t="shared" si="74"/>
        <v>0</v>
      </c>
      <c r="Z310" s="81">
        <f t="shared" si="74"/>
        <v>0</v>
      </c>
      <c r="AA310" s="81">
        <f t="shared" si="74"/>
        <v>0</v>
      </c>
      <c r="AB310" s="81">
        <f t="shared" si="74"/>
        <v>0</v>
      </c>
      <c r="AC310" s="81">
        <f t="shared" si="74"/>
        <v>0</v>
      </c>
      <c r="AD310" s="81">
        <f t="shared" si="74"/>
        <v>0</v>
      </c>
      <c r="AE310" s="81">
        <f t="shared" si="74"/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1436</v>
      </c>
      <c r="E311" s="72">
        <f t="shared" si="72"/>
        <v>4.3981149999999997E-2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 t="shared" si="73"/>
        <v>0</v>
      </c>
      <c r="M311" s="81">
        <f t="shared" si="73"/>
        <v>0</v>
      </c>
      <c r="N311" s="81">
        <f t="shared" si="73"/>
        <v>0</v>
      </c>
      <c r="O311" s="81">
        <f t="shared" si="73"/>
        <v>0</v>
      </c>
      <c r="P311" s="81">
        <f t="shared" si="73"/>
        <v>0</v>
      </c>
      <c r="Q311" s="81">
        <f t="shared" si="73"/>
        <v>0</v>
      </c>
      <c r="R311" s="81">
        <f t="shared" si="73"/>
        <v>0</v>
      </c>
      <c r="S311" s="81">
        <f t="shared" si="73"/>
        <v>0</v>
      </c>
      <c r="T311" s="81">
        <f t="shared" si="73"/>
        <v>0</v>
      </c>
      <c r="U311" s="81">
        <f t="shared" si="73"/>
        <v>0</v>
      </c>
      <c r="V311" s="81">
        <f t="shared" si="74"/>
        <v>0</v>
      </c>
      <c r="W311" s="81">
        <f t="shared" si="74"/>
        <v>0</v>
      </c>
      <c r="X311" s="81">
        <f t="shared" si="74"/>
        <v>0</v>
      </c>
      <c r="Y311" s="81">
        <f t="shared" si="74"/>
        <v>0</v>
      </c>
      <c r="Z311" s="81">
        <f t="shared" si="74"/>
        <v>0</v>
      </c>
      <c r="AA311" s="81">
        <f t="shared" si="74"/>
        <v>0</v>
      </c>
      <c r="AB311" s="81">
        <f t="shared" si="74"/>
        <v>0</v>
      </c>
      <c r="AC311" s="81">
        <f t="shared" si="74"/>
        <v>0</v>
      </c>
      <c r="AD311" s="81">
        <f t="shared" si="74"/>
        <v>0</v>
      </c>
      <c r="AE311" s="81">
        <f t="shared" si="74"/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1439</v>
      </c>
      <c r="E312" s="72">
        <f t="shared" si="72"/>
        <v>5.276542E-2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 t="shared" si="73"/>
        <v>0</v>
      </c>
      <c r="M312" s="81">
        <f t="shared" si="73"/>
        <v>0</v>
      </c>
      <c r="N312" s="81">
        <f t="shared" si="73"/>
        <v>0</v>
      </c>
      <c r="O312" s="81">
        <f t="shared" si="73"/>
        <v>0</v>
      </c>
      <c r="P312" s="81">
        <f t="shared" si="73"/>
        <v>0</v>
      </c>
      <c r="Q312" s="81">
        <f t="shared" si="73"/>
        <v>0</v>
      </c>
      <c r="R312" s="81">
        <f t="shared" si="73"/>
        <v>0</v>
      </c>
      <c r="S312" s="81">
        <f t="shared" si="73"/>
        <v>0</v>
      </c>
      <c r="T312" s="81">
        <f t="shared" si="73"/>
        <v>0</v>
      </c>
      <c r="U312" s="81">
        <f t="shared" si="73"/>
        <v>0</v>
      </c>
      <c r="V312" s="81">
        <f t="shared" si="74"/>
        <v>0</v>
      </c>
      <c r="W312" s="81">
        <f t="shared" si="74"/>
        <v>0</v>
      </c>
      <c r="X312" s="81">
        <f t="shared" si="74"/>
        <v>0</v>
      </c>
      <c r="Y312" s="81">
        <f t="shared" si="74"/>
        <v>0</v>
      </c>
      <c r="Z312" s="81">
        <f t="shared" si="74"/>
        <v>0</v>
      </c>
      <c r="AA312" s="81">
        <f t="shared" si="74"/>
        <v>0</v>
      </c>
      <c r="AB312" s="81">
        <f t="shared" si="74"/>
        <v>0</v>
      </c>
      <c r="AC312" s="81">
        <f t="shared" si="74"/>
        <v>0</v>
      </c>
      <c r="AD312" s="81">
        <f t="shared" si="74"/>
        <v>0</v>
      </c>
      <c r="AE312" s="81">
        <f t="shared" si="74"/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1442</v>
      </c>
      <c r="E313" s="72">
        <f t="shared" si="72"/>
        <v>0.53702616000000003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 t="shared" si="73"/>
        <v>0</v>
      </c>
      <c r="M313" s="81">
        <f t="shared" si="73"/>
        <v>0</v>
      </c>
      <c r="N313" s="81">
        <f t="shared" si="73"/>
        <v>0</v>
      </c>
      <c r="O313" s="81">
        <f t="shared" si="73"/>
        <v>0</v>
      </c>
      <c r="P313" s="81">
        <f t="shared" si="73"/>
        <v>0</v>
      </c>
      <c r="Q313" s="81">
        <f t="shared" si="73"/>
        <v>0</v>
      </c>
      <c r="R313" s="81">
        <f t="shared" si="73"/>
        <v>0</v>
      </c>
      <c r="S313" s="81">
        <f t="shared" si="73"/>
        <v>0</v>
      </c>
      <c r="T313" s="81">
        <f t="shared" si="73"/>
        <v>0</v>
      </c>
      <c r="U313" s="81">
        <f t="shared" si="73"/>
        <v>0</v>
      </c>
      <c r="V313" s="81">
        <f t="shared" si="74"/>
        <v>0</v>
      </c>
      <c r="W313" s="81">
        <f t="shared" si="74"/>
        <v>0</v>
      </c>
      <c r="X313" s="81">
        <f t="shared" si="74"/>
        <v>0</v>
      </c>
      <c r="Y313" s="81">
        <f t="shared" si="74"/>
        <v>0</v>
      </c>
      <c r="Z313" s="81">
        <f t="shared" si="74"/>
        <v>0</v>
      </c>
      <c r="AA313" s="81">
        <f t="shared" si="74"/>
        <v>0</v>
      </c>
      <c r="AB313" s="81">
        <f t="shared" si="74"/>
        <v>0</v>
      </c>
      <c r="AC313" s="81">
        <f t="shared" si="74"/>
        <v>0</v>
      </c>
      <c r="AD313" s="81">
        <f t="shared" si="74"/>
        <v>0</v>
      </c>
      <c r="AE313" s="81">
        <f t="shared" si="74"/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1445</v>
      </c>
      <c r="E314" s="72">
        <f t="shared" si="72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 t="shared" si="73"/>
        <v>0</v>
      </c>
      <c r="M314" s="81">
        <f t="shared" si="73"/>
        <v>0</v>
      </c>
      <c r="N314" s="81">
        <f t="shared" si="73"/>
        <v>0</v>
      </c>
      <c r="O314" s="81">
        <f t="shared" si="73"/>
        <v>0</v>
      </c>
      <c r="P314" s="81">
        <f t="shared" si="73"/>
        <v>0</v>
      </c>
      <c r="Q314" s="81">
        <f t="shared" si="73"/>
        <v>0</v>
      </c>
      <c r="R314" s="81">
        <f t="shared" si="73"/>
        <v>0</v>
      </c>
      <c r="S314" s="81">
        <f t="shared" si="73"/>
        <v>0</v>
      </c>
      <c r="T314" s="81">
        <f t="shared" si="73"/>
        <v>0</v>
      </c>
      <c r="U314" s="81">
        <f t="shared" si="73"/>
        <v>0</v>
      </c>
      <c r="V314" s="81">
        <f t="shared" si="74"/>
        <v>0</v>
      </c>
      <c r="W314" s="81">
        <f t="shared" si="74"/>
        <v>0</v>
      </c>
      <c r="X314" s="81">
        <f t="shared" si="74"/>
        <v>0</v>
      </c>
      <c r="Y314" s="81">
        <f t="shared" si="74"/>
        <v>0</v>
      </c>
      <c r="Z314" s="81">
        <f t="shared" si="74"/>
        <v>0</v>
      </c>
      <c r="AA314" s="81">
        <f t="shared" si="74"/>
        <v>0</v>
      </c>
      <c r="AB314" s="81">
        <f t="shared" si="74"/>
        <v>0</v>
      </c>
      <c r="AC314" s="81">
        <f t="shared" si="74"/>
        <v>0</v>
      </c>
      <c r="AD314" s="81">
        <f t="shared" si="74"/>
        <v>0</v>
      </c>
      <c r="AE314" s="81">
        <f t="shared" si="74"/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1448</v>
      </c>
      <c r="E315" s="72">
        <f t="shared" si="72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 t="shared" si="73"/>
        <v>0</v>
      </c>
      <c r="M315" s="81">
        <f t="shared" si="73"/>
        <v>0</v>
      </c>
      <c r="N315" s="81">
        <f t="shared" si="73"/>
        <v>0</v>
      </c>
      <c r="O315" s="81">
        <f t="shared" si="73"/>
        <v>0</v>
      </c>
      <c r="P315" s="81">
        <f t="shared" si="73"/>
        <v>0</v>
      </c>
      <c r="Q315" s="81">
        <f t="shared" si="73"/>
        <v>0</v>
      </c>
      <c r="R315" s="81">
        <f t="shared" si="73"/>
        <v>0</v>
      </c>
      <c r="S315" s="81">
        <f t="shared" si="73"/>
        <v>0</v>
      </c>
      <c r="T315" s="81">
        <f t="shared" si="73"/>
        <v>0</v>
      </c>
      <c r="U315" s="81">
        <f t="shared" si="73"/>
        <v>0</v>
      </c>
      <c r="V315" s="81">
        <f t="shared" si="74"/>
        <v>0</v>
      </c>
      <c r="W315" s="81">
        <f t="shared" si="74"/>
        <v>0</v>
      </c>
      <c r="X315" s="81">
        <f t="shared" si="74"/>
        <v>0</v>
      </c>
      <c r="Y315" s="81">
        <f t="shared" si="74"/>
        <v>0</v>
      </c>
      <c r="Z315" s="81">
        <f t="shared" si="74"/>
        <v>0</v>
      </c>
      <c r="AA315" s="81">
        <f t="shared" si="74"/>
        <v>0</v>
      </c>
      <c r="AB315" s="81">
        <f t="shared" si="74"/>
        <v>0</v>
      </c>
      <c r="AC315" s="81">
        <f t="shared" si="74"/>
        <v>0</v>
      </c>
      <c r="AD315" s="81">
        <f t="shared" si="74"/>
        <v>0</v>
      </c>
      <c r="AE315" s="81">
        <f t="shared" si="74"/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1451</v>
      </c>
      <c r="E316" s="72">
        <f t="shared" si="72"/>
        <v>0.99441250000000003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 t="shared" si="73"/>
        <v>0</v>
      </c>
      <c r="M316" s="81">
        <f t="shared" si="73"/>
        <v>0</v>
      </c>
      <c r="N316" s="81">
        <f t="shared" si="73"/>
        <v>0</v>
      </c>
      <c r="O316" s="81">
        <f t="shared" si="73"/>
        <v>0</v>
      </c>
      <c r="P316" s="81">
        <f t="shared" si="73"/>
        <v>0</v>
      </c>
      <c r="Q316" s="81">
        <f t="shared" si="73"/>
        <v>0</v>
      </c>
      <c r="R316" s="81">
        <f t="shared" si="73"/>
        <v>0</v>
      </c>
      <c r="S316" s="81">
        <f t="shared" si="73"/>
        <v>0</v>
      </c>
      <c r="T316" s="81">
        <f t="shared" si="73"/>
        <v>0</v>
      </c>
      <c r="U316" s="81">
        <f t="shared" si="73"/>
        <v>0</v>
      </c>
      <c r="V316" s="81">
        <f t="shared" si="74"/>
        <v>0</v>
      </c>
      <c r="W316" s="81">
        <f t="shared" si="74"/>
        <v>0</v>
      </c>
      <c r="X316" s="81">
        <f t="shared" si="74"/>
        <v>0</v>
      </c>
      <c r="Y316" s="81">
        <f t="shared" si="74"/>
        <v>0</v>
      </c>
      <c r="Z316" s="81">
        <f t="shared" si="74"/>
        <v>0</v>
      </c>
      <c r="AA316" s="81">
        <f t="shared" si="74"/>
        <v>0</v>
      </c>
      <c r="AB316" s="81">
        <f t="shared" si="74"/>
        <v>0</v>
      </c>
      <c r="AC316" s="81">
        <f t="shared" si="74"/>
        <v>0</v>
      </c>
      <c r="AD316" s="81">
        <f t="shared" si="74"/>
        <v>0</v>
      </c>
      <c r="AE316" s="81">
        <f t="shared" si="74"/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1454</v>
      </c>
      <c r="E317" s="72">
        <f t="shared" si="72"/>
        <v>2.3974930400000001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 t="shared" si="73"/>
        <v>0</v>
      </c>
      <c r="M317" s="81">
        <f t="shared" si="73"/>
        <v>0</v>
      </c>
      <c r="N317" s="81">
        <f t="shared" si="73"/>
        <v>0</v>
      </c>
      <c r="O317" s="81">
        <f t="shared" si="73"/>
        <v>0</v>
      </c>
      <c r="P317" s="81">
        <f t="shared" si="73"/>
        <v>0</v>
      </c>
      <c r="Q317" s="81">
        <f t="shared" si="73"/>
        <v>0</v>
      </c>
      <c r="R317" s="81">
        <f t="shared" si="73"/>
        <v>0</v>
      </c>
      <c r="S317" s="81">
        <f t="shared" si="73"/>
        <v>0</v>
      </c>
      <c r="T317" s="81">
        <f t="shared" si="73"/>
        <v>0</v>
      </c>
      <c r="U317" s="81">
        <f t="shared" si="73"/>
        <v>0</v>
      </c>
      <c r="V317" s="81">
        <f t="shared" si="74"/>
        <v>0</v>
      </c>
      <c r="W317" s="81">
        <f t="shared" si="74"/>
        <v>0</v>
      </c>
      <c r="X317" s="81">
        <f t="shared" si="74"/>
        <v>0</v>
      </c>
      <c r="Y317" s="81">
        <f t="shared" si="74"/>
        <v>0</v>
      </c>
      <c r="Z317" s="81">
        <f t="shared" si="74"/>
        <v>0</v>
      </c>
      <c r="AA317" s="81">
        <f t="shared" si="74"/>
        <v>0</v>
      </c>
      <c r="AB317" s="81">
        <f t="shared" si="74"/>
        <v>0</v>
      </c>
      <c r="AC317" s="81">
        <f t="shared" si="74"/>
        <v>0</v>
      </c>
      <c r="AD317" s="81">
        <f t="shared" si="74"/>
        <v>0</v>
      </c>
      <c r="AE317" s="81">
        <f t="shared" si="74"/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72" t="s">
        <v>1983</v>
      </c>
      <c r="E318" s="72" t="s">
        <v>1852</v>
      </c>
      <c r="F318" s="72"/>
      <c r="G318" s="70" t="s">
        <v>1475</v>
      </c>
      <c r="H318" s="87" t="str">
        <f>Settings!$B$3&amp;".mit.emrq."&amp;$G318&amp;"."&amp;$J$5</f>
        <v>egy.mit.emrq.cbam.tot.1</v>
      </c>
      <c r="I318" s="72"/>
      <c r="J318" s="72"/>
      <c r="K318" s="72"/>
      <c r="L318" s="72">
        <f t="shared" ref="L318:AE318" si="75">SUMPRODUCT((L$330:L$337+L$341:L$348)*(1-(1+L$320:L$327)^(-$J$276:$J$283)))</f>
        <v>0</v>
      </c>
      <c r="M318" s="72">
        <f t="shared" si="75"/>
        <v>0</v>
      </c>
      <c r="N318" s="72">
        <f t="shared" si="75"/>
        <v>0</v>
      </c>
      <c r="O318" s="72">
        <f t="shared" si="75"/>
        <v>0</v>
      </c>
      <c r="P318" s="72">
        <f t="shared" si="75"/>
        <v>0</v>
      </c>
      <c r="Q318" s="72">
        <f t="shared" si="75"/>
        <v>0</v>
      </c>
      <c r="R318" s="72">
        <f t="shared" si="75"/>
        <v>0</v>
      </c>
      <c r="S318" s="72">
        <f t="shared" si="75"/>
        <v>0</v>
      </c>
      <c r="T318" s="72">
        <f t="shared" si="75"/>
        <v>0</v>
      </c>
      <c r="U318" s="72">
        <f t="shared" si="75"/>
        <v>0</v>
      </c>
      <c r="V318" s="72">
        <f t="shared" si="75"/>
        <v>0</v>
      </c>
      <c r="W318" s="72">
        <f t="shared" si="75"/>
        <v>0</v>
      </c>
      <c r="X318" s="72">
        <f t="shared" si="75"/>
        <v>0</v>
      </c>
      <c r="Y318" s="72">
        <f t="shared" si="75"/>
        <v>0</v>
      </c>
      <c r="Z318" s="72">
        <f t="shared" si="75"/>
        <v>0</v>
      </c>
      <c r="AA318" s="72">
        <f t="shared" si="75"/>
        <v>0</v>
      </c>
      <c r="AB318" s="72">
        <f t="shared" si="75"/>
        <v>0</v>
      </c>
      <c r="AC318" s="72">
        <f t="shared" si="75"/>
        <v>0</v>
      </c>
      <c r="AD318" s="72">
        <f t="shared" si="75"/>
        <v>0</v>
      </c>
      <c r="AE318" s="72">
        <f t="shared" si="75"/>
        <v>0</v>
      </c>
      <c r="AF318" s="70"/>
      <c r="AG318" s="70"/>
      <c r="AH318" s="70"/>
      <c r="AI318" s="70"/>
    </row>
    <row r="319" spans="1:35" x14ac:dyDescent="0.45">
      <c r="A319" s="70"/>
      <c r="B319" s="52"/>
      <c r="C319" s="73" t="s">
        <v>1979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76">L309</f>
        <v>2022</v>
      </c>
      <c r="M319" s="74">
        <f t="shared" si="76"/>
        <v>2023</v>
      </c>
      <c r="N319" s="74">
        <f t="shared" si="76"/>
        <v>2024</v>
      </c>
      <c r="O319" s="74">
        <f t="shared" si="76"/>
        <v>2025</v>
      </c>
      <c r="P319" s="74">
        <f t="shared" si="76"/>
        <v>2026</v>
      </c>
      <c r="Q319" s="74">
        <f t="shared" si="76"/>
        <v>2027</v>
      </c>
      <c r="R319" s="74">
        <f t="shared" si="76"/>
        <v>2028</v>
      </c>
      <c r="S319" s="74">
        <f t="shared" si="76"/>
        <v>2029</v>
      </c>
      <c r="T319" s="74">
        <f t="shared" si="76"/>
        <v>2030</v>
      </c>
      <c r="U319" s="74">
        <f t="shared" si="76"/>
        <v>2031</v>
      </c>
      <c r="V319" s="74">
        <f t="shared" si="76"/>
        <v>2032</v>
      </c>
      <c r="W319" s="74">
        <f t="shared" si="76"/>
        <v>2033</v>
      </c>
      <c r="X319" s="74">
        <f t="shared" si="76"/>
        <v>2034</v>
      </c>
      <c r="Y319" s="74">
        <f t="shared" si="76"/>
        <v>2035</v>
      </c>
      <c r="Z319" s="74">
        <f t="shared" si="76"/>
        <v>2036</v>
      </c>
      <c r="AA319" s="74">
        <f t="shared" si="76"/>
        <v>2037</v>
      </c>
      <c r="AB319" s="74">
        <f t="shared" si="76"/>
        <v>2038</v>
      </c>
      <c r="AC319" s="74">
        <f t="shared" si="76"/>
        <v>2039</v>
      </c>
      <c r="AD319" s="74">
        <f t="shared" si="76"/>
        <v>2040</v>
      </c>
      <c r="AE319" s="74">
        <f t="shared" si="76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1433</v>
      </c>
      <c r="E320" s="70"/>
      <c r="F320" s="70"/>
      <c r="G320" s="70"/>
      <c r="H320" s="70"/>
      <c r="I320" s="70"/>
      <c r="J320" s="70"/>
      <c r="K320" s="72"/>
      <c r="L320" s="78">
        <f t="shared" ref="L320:AE320" si="77">(L$310+L$299-MIN(L$251,L$247)*$F$299*$E$299-MIN(L$251,L$308)*$F$310*$E$310)/L$288</f>
        <v>0</v>
      </c>
      <c r="M320" s="78">
        <f t="shared" si="77"/>
        <v>0</v>
      </c>
      <c r="N320" s="78">
        <f t="shared" si="77"/>
        <v>0</v>
      </c>
      <c r="O320" s="78">
        <f t="shared" si="77"/>
        <v>0</v>
      </c>
      <c r="P320" s="78">
        <f t="shared" si="77"/>
        <v>0</v>
      </c>
      <c r="Q320" s="78">
        <f t="shared" si="77"/>
        <v>0</v>
      </c>
      <c r="R320" s="78">
        <f t="shared" si="77"/>
        <v>0</v>
      </c>
      <c r="S320" s="78">
        <f t="shared" si="77"/>
        <v>0</v>
      </c>
      <c r="T320" s="78">
        <f t="shared" si="77"/>
        <v>0</v>
      </c>
      <c r="U320" s="78">
        <f t="shared" si="77"/>
        <v>0</v>
      </c>
      <c r="V320" s="78">
        <f t="shared" si="77"/>
        <v>0</v>
      </c>
      <c r="W320" s="78">
        <f t="shared" si="77"/>
        <v>0</v>
      </c>
      <c r="X320" s="78">
        <f t="shared" si="77"/>
        <v>0</v>
      </c>
      <c r="Y320" s="78">
        <f t="shared" si="77"/>
        <v>0</v>
      </c>
      <c r="Z320" s="78">
        <f t="shared" si="77"/>
        <v>0</v>
      </c>
      <c r="AA320" s="78">
        <f t="shared" si="77"/>
        <v>0</v>
      </c>
      <c r="AB320" s="78">
        <f t="shared" si="77"/>
        <v>0</v>
      </c>
      <c r="AC320" s="78">
        <f t="shared" si="77"/>
        <v>0</v>
      </c>
      <c r="AD320" s="78">
        <f t="shared" si="77"/>
        <v>0</v>
      </c>
      <c r="AE320" s="78">
        <f t="shared" si="77"/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1436</v>
      </c>
      <c r="E321" s="70"/>
      <c r="F321" s="70"/>
      <c r="G321" s="70"/>
      <c r="H321" s="70"/>
      <c r="I321" s="70"/>
      <c r="J321" s="70"/>
      <c r="K321" s="72"/>
      <c r="L321" s="78">
        <f t="shared" ref="L321:AE321" si="78">(L$311+L$300-MIN(L$251,L$247)*$F$300*$E$300-MIN(L$251,L$308)*$F$311*$E$311)/L$289</f>
        <v>0</v>
      </c>
      <c r="M321" s="78">
        <f t="shared" si="78"/>
        <v>0</v>
      </c>
      <c r="N321" s="78">
        <f t="shared" si="78"/>
        <v>0</v>
      </c>
      <c r="O321" s="78">
        <f t="shared" si="78"/>
        <v>0</v>
      </c>
      <c r="P321" s="78">
        <f t="shared" si="78"/>
        <v>0</v>
      </c>
      <c r="Q321" s="78">
        <f t="shared" si="78"/>
        <v>0</v>
      </c>
      <c r="R321" s="78">
        <f t="shared" si="78"/>
        <v>0</v>
      </c>
      <c r="S321" s="78">
        <f t="shared" si="78"/>
        <v>0</v>
      </c>
      <c r="T321" s="78">
        <f t="shared" si="78"/>
        <v>0</v>
      </c>
      <c r="U321" s="78">
        <f t="shared" si="78"/>
        <v>0</v>
      </c>
      <c r="V321" s="78">
        <f t="shared" si="78"/>
        <v>0</v>
      </c>
      <c r="W321" s="78">
        <f t="shared" si="78"/>
        <v>0</v>
      </c>
      <c r="X321" s="78">
        <f t="shared" si="78"/>
        <v>0</v>
      </c>
      <c r="Y321" s="78">
        <f t="shared" si="78"/>
        <v>0</v>
      </c>
      <c r="Z321" s="78">
        <f t="shared" si="78"/>
        <v>0</v>
      </c>
      <c r="AA321" s="78">
        <f t="shared" si="78"/>
        <v>0</v>
      </c>
      <c r="AB321" s="78">
        <f t="shared" si="78"/>
        <v>0</v>
      </c>
      <c r="AC321" s="78">
        <f t="shared" si="78"/>
        <v>0</v>
      </c>
      <c r="AD321" s="78">
        <f t="shared" si="78"/>
        <v>0</v>
      </c>
      <c r="AE321" s="78">
        <f t="shared" si="78"/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1439</v>
      </c>
      <c r="E322" s="70"/>
      <c r="F322" s="70"/>
      <c r="G322" s="70"/>
      <c r="H322" s="70"/>
      <c r="I322" s="70"/>
      <c r="J322" s="70"/>
      <c r="K322" s="72"/>
      <c r="L322" s="78">
        <f t="shared" ref="L322:AE322" si="79">(L$312+L$301-MIN(L$251,L$247)*$F$301*$E$301-MIN(L$251,L$308)*$F$312*$E$312)/L$290</f>
        <v>0</v>
      </c>
      <c r="M322" s="78">
        <f t="shared" si="79"/>
        <v>0</v>
      </c>
      <c r="N322" s="78">
        <f t="shared" si="79"/>
        <v>0</v>
      </c>
      <c r="O322" s="78">
        <f t="shared" si="79"/>
        <v>0</v>
      </c>
      <c r="P322" s="78">
        <f t="shared" si="79"/>
        <v>0</v>
      </c>
      <c r="Q322" s="78">
        <f t="shared" si="79"/>
        <v>0</v>
      </c>
      <c r="R322" s="78">
        <f t="shared" si="79"/>
        <v>0</v>
      </c>
      <c r="S322" s="78">
        <f t="shared" si="79"/>
        <v>0</v>
      </c>
      <c r="T322" s="78">
        <f t="shared" si="79"/>
        <v>0</v>
      </c>
      <c r="U322" s="78">
        <f t="shared" si="79"/>
        <v>0</v>
      </c>
      <c r="V322" s="78">
        <f t="shared" si="79"/>
        <v>0</v>
      </c>
      <c r="W322" s="78">
        <f t="shared" si="79"/>
        <v>0</v>
      </c>
      <c r="X322" s="78">
        <f t="shared" si="79"/>
        <v>0</v>
      </c>
      <c r="Y322" s="78">
        <f t="shared" si="79"/>
        <v>0</v>
      </c>
      <c r="Z322" s="78">
        <f t="shared" si="79"/>
        <v>0</v>
      </c>
      <c r="AA322" s="78">
        <f t="shared" si="79"/>
        <v>0</v>
      </c>
      <c r="AB322" s="78">
        <f t="shared" si="79"/>
        <v>0</v>
      </c>
      <c r="AC322" s="78">
        <f t="shared" si="79"/>
        <v>0</v>
      </c>
      <c r="AD322" s="78">
        <f t="shared" si="79"/>
        <v>0</v>
      </c>
      <c r="AE322" s="78">
        <f t="shared" si="79"/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1442</v>
      </c>
      <c r="E323" s="70"/>
      <c r="F323" s="70"/>
      <c r="G323" s="70"/>
      <c r="H323" s="70"/>
      <c r="I323" s="70"/>
      <c r="J323" s="70"/>
      <c r="K323" s="72"/>
      <c r="L323" s="78">
        <f t="shared" ref="L323:AE323" si="80">(L$313+L$302-MIN(L$251,L$247)*$F$302*$E$302-MIN(L$251,L$308)*$F$313*$E$313)/L$291</f>
        <v>0</v>
      </c>
      <c r="M323" s="78">
        <f t="shared" si="80"/>
        <v>0</v>
      </c>
      <c r="N323" s="78">
        <f t="shared" si="80"/>
        <v>0</v>
      </c>
      <c r="O323" s="78">
        <f t="shared" si="80"/>
        <v>0</v>
      </c>
      <c r="P323" s="78">
        <f t="shared" si="80"/>
        <v>0</v>
      </c>
      <c r="Q323" s="78">
        <f t="shared" si="80"/>
        <v>0</v>
      </c>
      <c r="R323" s="78">
        <f t="shared" si="80"/>
        <v>0</v>
      </c>
      <c r="S323" s="78">
        <f t="shared" si="80"/>
        <v>0</v>
      </c>
      <c r="T323" s="78">
        <f t="shared" si="80"/>
        <v>0</v>
      </c>
      <c r="U323" s="78">
        <f t="shared" si="80"/>
        <v>0</v>
      </c>
      <c r="V323" s="78">
        <f t="shared" si="80"/>
        <v>0</v>
      </c>
      <c r="W323" s="78">
        <f t="shared" si="80"/>
        <v>0</v>
      </c>
      <c r="X323" s="78">
        <f t="shared" si="80"/>
        <v>0</v>
      </c>
      <c r="Y323" s="78">
        <f t="shared" si="80"/>
        <v>0</v>
      </c>
      <c r="Z323" s="78">
        <f t="shared" si="80"/>
        <v>0</v>
      </c>
      <c r="AA323" s="78">
        <f t="shared" si="80"/>
        <v>0</v>
      </c>
      <c r="AB323" s="78">
        <f t="shared" si="80"/>
        <v>0</v>
      </c>
      <c r="AC323" s="78">
        <f t="shared" si="80"/>
        <v>0</v>
      </c>
      <c r="AD323" s="78">
        <f t="shared" si="80"/>
        <v>0</v>
      </c>
      <c r="AE323" s="78">
        <f t="shared" si="80"/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1445</v>
      </c>
      <c r="E324" s="70"/>
      <c r="F324" s="70"/>
      <c r="G324" s="70"/>
      <c r="H324" s="70"/>
      <c r="I324" s="70"/>
      <c r="J324" s="70"/>
      <c r="K324" s="72"/>
      <c r="L324" s="78">
        <f t="shared" ref="L324:AE324" si="81">(L$314+L$303-MIN(L$251,L$247)*$F$303*$E$303-MIN(L$251,L$308)*$F$314*$E$314)/L$292</f>
        <v>0</v>
      </c>
      <c r="M324" s="78">
        <f t="shared" si="81"/>
        <v>0</v>
      </c>
      <c r="N324" s="78">
        <f t="shared" si="81"/>
        <v>0</v>
      </c>
      <c r="O324" s="78">
        <f t="shared" si="81"/>
        <v>0</v>
      </c>
      <c r="P324" s="78">
        <f t="shared" si="81"/>
        <v>0</v>
      </c>
      <c r="Q324" s="78">
        <f t="shared" si="81"/>
        <v>0</v>
      </c>
      <c r="R324" s="78">
        <f t="shared" si="81"/>
        <v>0</v>
      </c>
      <c r="S324" s="78">
        <f t="shared" si="81"/>
        <v>0</v>
      </c>
      <c r="T324" s="78">
        <f t="shared" si="81"/>
        <v>0</v>
      </c>
      <c r="U324" s="78">
        <f t="shared" si="81"/>
        <v>0</v>
      </c>
      <c r="V324" s="78">
        <f t="shared" si="81"/>
        <v>0</v>
      </c>
      <c r="W324" s="78">
        <f t="shared" si="81"/>
        <v>0</v>
      </c>
      <c r="X324" s="78">
        <f t="shared" si="81"/>
        <v>0</v>
      </c>
      <c r="Y324" s="78">
        <f t="shared" si="81"/>
        <v>0</v>
      </c>
      <c r="Z324" s="78">
        <f t="shared" si="81"/>
        <v>0</v>
      </c>
      <c r="AA324" s="78">
        <f t="shared" si="81"/>
        <v>0</v>
      </c>
      <c r="AB324" s="78">
        <f t="shared" si="81"/>
        <v>0</v>
      </c>
      <c r="AC324" s="78">
        <f t="shared" si="81"/>
        <v>0</v>
      </c>
      <c r="AD324" s="78">
        <f t="shared" si="81"/>
        <v>0</v>
      </c>
      <c r="AE324" s="78">
        <f t="shared" si="81"/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1448</v>
      </c>
      <c r="E325" s="70"/>
      <c r="F325" s="70"/>
      <c r="G325" s="70"/>
      <c r="H325" s="70"/>
      <c r="I325" s="70"/>
      <c r="J325" s="70"/>
      <c r="K325" s="72"/>
      <c r="L325" s="78">
        <f t="shared" ref="L325:AE325" si="82">(L$315+L$304-MIN(L$251,L$247)*$F$304*$E$304-MIN(L$251,L$308)*$F$315*$E$315)/L$293</f>
        <v>0</v>
      </c>
      <c r="M325" s="78">
        <f t="shared" si="82"/>
        <v>0</v>
      </c>
      <c r="N325" s="78">
        <f t="shared" si="82"/>
        <v>0</v>
      </c>
      <c r="O325" s="78">
        <f t="shared" si="82"/>
        <v>0</v>
      </c>
      <c r="P325" s="78">
        <f t="shared" si="82"/>
        <v>0</v>
      </c>
      <c r="Q325" s="78">
        <f t="shared" si="82"/>
        <v>0</v>
      </c>
      <c r="R325" s="78">
        <f t="shared" si="82"/>
        <v>0</v>
      </c>
      <c r="S325" s="78">
        <f t="shared" si="82"/>
        <v>0</v>
      </c>
      <c r="T325" s="78">
        <f t="shared" si="82"/>
        <v>0</v>
      </c>
      <c r="U325" s="78">
        <f t="shared" si="82"/>
        <v>0</v>
      </c>
      <c r="V325" s="78">
        <f t="shared" si="82"/>
        <v>0</v>
      </c>
      <c r="W325" s="78">
        <f t="shared" si="82"/>
        <v>0</v>
      </c>
      <c r="X325" s="78">
        <f t="shared" si="82"/>
        <v>0</v>
      </c>
      <c r="Y325" s="78">
        <f t="shared" si="82"/>
        <v>0</v>
      </c>
      <c r="Z325" s="78">
        <f t="shared" si="82"/>
        <v>0</v>
      </c>
      <c r="AA325" s="78">
        <f t="shared" si="82"/>
        <v>0</v>
      </c>
      <c r="AB325" s="78">
        <f t="shared" si="82"/>
        <v>0</v>
      </c>
      <c r="AC325" s="78">
        <f t="shared" si="82"/>
        <v>0</v>
      </c>
      <c r="AD325" s="78">
        <f t="shared" si="82"/>
        <v>0</v>
      </c>
      <c r="AE325" s="78">
        <f t="shared" si="82"/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1451</v>
      </c>
      <c r="E326" s="70"/>
      <c r="F326" s="70"/>
      <c r="G326" s="70"/>
      <c r="H326" s="70"/>
      <c r="I326" s="70"/>
      <c r="J326" s="70"/>
      <c r="K326" s="72"/>
      <c r="L326" s="78">
        <f t="shared" ref="L326:AE326" si="83">(L$316+L$305-MIN(L$251,L$247)*$F$305*$E$305-MIN(L$251,L$308)*$F$316*$E$316)/L$294</f>
        <v>0</v>
      </c>
      <c r="M326" s="78">
        <f t="shared" si="83"/>
        <v>0</v>
      </c>
      <c r="N326" s="78">
        <f t="shared" si="83"/>
        <v>0</v>
      </c>
      <c r="O326" s="78">
        <f t="shared" si="83"/>
        <v>0</v>
      </c>
      <c r="P326" s="78">
        <f t="shared" si="83"/>
        <v>0</v>
      </c>
      <c r="Q326" s="78">
        <f t="shared" si="83"/>
        <v>0</v>
      </c>
      <c r="R326" s="78">
        <f t="shared" si="83"/>
        <v>0</v>
      </c>
      <c r="S326" s="78">
        <f t="shared" si="83"/>
        <v>0</v>
      </c>
      <c r="T326" s="78">
        <f t="shared" si="83"/>
        <v>0</v>
      </c>
      <c r="U326" s="78">
        <f t="shared" si="83"/>
        <v>0</v>
      </c>
      <c r="V326" s="78">
        <f t="shared" si="83"/>
        <v>0</v>
      </c>
      <c r="W326" s="78">
        <f t="shared" si="83"/>
        <v>0</v>
      </c>
      <c r="X326" s="78">
        <f t="shared" si="83"/>
        <v>0</v>
      </c>
      <c r="Y326" s="78">
        <f t="shared" si="83"/>
        <v>0</v>
      </c>
      <c r="Z326" s="78">
        <f t="shared" si="83"/>
        <v>0</v>
      </c>
      <c r="AA326" s="78">
        <f t="shared" si="83"/>
        <v>0</v>
      </c>
      <c r="AB326" s="78">
        <f t="shared" si="83"/>
        <v>0</v>
      </c>
      <c r="AC326" s="78">
        <f t="shared" si="83"/>
        <v>0</v>
      </c>
      <c r="AD326" s="78">
        <f t="shared" si="83"/>
        <v>0</v>
      </c>
      <c r="AE326" s="78">
        <f t="shared" si="83"/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1454</v>
      </c>
      <c r="E327" s="70"/>
      <c r="F327" s="70"/>
      <c r="G327" s="70"/>
      <c r="H327" s="70"/>
      <c r="I327" s="70"/>
      <c r="J327" s="70"/>
      <c r="K327" s="72"/>
      <c r="L327" s="78">
        <f t="shared" ref="L327:AE327" si="84">(L$317+L$306-MIN(L$251,L$247)*$F$306*$E$306-MIN(L$251,L$308)*$F$317*$E$317)/L$295</f>
        <v>0</v>
      </c>
      <c r="M327" s="78">
        <f t="shared" si="84"/>
        <v>0</v>
      </c>
      <c r="N327" s="78">
        <f t="shared" si="84"/>
        <v>0</v>
      </c>
      <c r="O327" s="78">
        <f t="shared" si="84"/>
        <v>0</v>
      </c>
      <c r="P327" s="78">
        <f t="shared" si="84"/>
        <v>0</v>
      </c>
      <c r="Q327" s="78">
        <f t="shared" si="84"/>
        <v>0</v>
      </c>
      <c r="R327" s="78">
        <f t="shared" si="84"/>
        <v>0</v>
      </c>
      <c r="S327" s="78">
        <f t="shared" si="84"/>
        <v>0</v>
      </c>
      <c r="T327" s="78">
        <f t="shared" si="84"/>
        <v>0</v>
      </c>
      <c r="U327" s="78">
        <f t="shared" si="84"/>
        <v>0</v>
      </c>
      <c r="V327" s="78">
        <f t="shared" si="84"/>
        <v>0</v>
      </c>
      <c r="W327" s="78">
        <f t="shared" si="84"/>
        <v>0</v>
      </c>
      <c r="X327" s="78">
        <f t="shared" si="84"/>
        <v>0</v>
      </c>
      <c r="Y327" s="78">
        <f t="shared" si="84"/>
        <v>0</v>
      </c>
      <c r="Z327" s="78">
        <f t="shared" si="84"/>
        <v>0</v>
      </c>
      <c r="AA327" s="78">
        <f t="shared" si="84"/>
        <v>0</v>
      </c>
      <c r="AB327" s="78">
        <f t="shared" si="84"/>
        <v>0</v>
      </c>
      <c r="AC327" s="78">
        <f t="shared" si="84"/>
        <v>0</v>
      </c>
      <c r="AD327" s="78">
        <f t="shared" si="84"/>
        <v>0</v>
      </c>
      <c r="AE327" s="78">
        <f t="shared" si="84"/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72" t="s">
        <v>1984</v>
      </c>
      <c r="E328" s="72" t="s">
        <v>1852</v>
      </c>
      <c r="F328" s="72"/>
      <c r="G328" s="70" t="s">
        <v>1475</v>
      </c>
      <c r="H328" s="87" t="str">
        <f>Settings!$B$3&amp;".mit.emrt."&amp;$G328&amp;"."&amp;$J$5</f>
        <v>egy.mit.emrt.cbam.tot.1</v>
      </c>
      <c r="I328" s="72"/>
      <c r="J328" s="72"/>
      <c r="K328" s="72"/>
      <c r="L328" s="72">
        <f t="shared" ref="L328:AE328" si="85">L$318+L$381</f>
        <v>0</v>
      </c>
      <c r="M328" s="72">
        <f t="shared" si="85"/>
        <v>0</v>
      </c>
      <c r="N328" s="72">
        <f t="shared" si="85"/>
        <v>0</v>
      </c>
      <c r="O328" s="72">
        <f t="shared" si="85"/>
        <v>0</v>
      </c>
      <c r="P328" s="72">
        <f t="shared" si="85"/>
        <v>0</v>
      </c>
      <c r="Q328" s="72">
        <f t="shared" si="85"/>
        <v>0</v>
      </c>
      <c r="R328" s="72">
        <f t="shared" si="85"/>
        <v>0</v>
      </c>
      <c r="S328" s="72">
        <f t="shared" si="85"/>
        <v>0</v>
      </c>
      <c r="T328" s="72">
        <f t="shared" si="85"/>
        <v>0</v>
      </c>
      <c r="U328" s="72">
        <f t="shared" si="85"/>
        <v>0</v>
      </c>
      <c r="V328" s="72">
        <f t="shared" si="85"/>
        <v>0</v>
      </c>
      <c r="W328" s="72">
        <f t="shared" si="85"/>
        <v>0</v>
      </c>
      <c r="X328" s="72">
        <f t="shared" si="85"/>
        <v>0</v>
      </c>
      <c r="Y328" s="72">
        <f t="shared" si="85"/>
        <v>0</v>
      </c>
      <c r="Z328" s="72">
        <f t="shared" si="85"/>
        <v>0</v>
      </c>
      <c r="AA328" s="72">
        <f t="shared" si="85"/>
        <v>0</v>
      </c>
      <c r="AB328" s="72">
        <f t="shared" si="85"/>
        <v>0</v>
      </c>
      <c r="AC328" s="72">
        <f t="shared" si="85"/>
        <v>0</v>
      </c>
      <c r="AD328" s="72">
        <f t="shared" si="85"/>
        <v>0</v>
      </c>
      <c r="AE328" s="72">
        <f t="shared" si="85"/>
        <v>0</v>
      </c>
      <c r="AF328" s="70"/>
      <c r="AG328" s="70"/>
      <c r="AH328" s="70"/>
      <c r="AI328" s="70"/>
    </row>
    <row r="329" spans="1:35" x14ac:dyDescent="0.45">
      <c r="A329" s="71"/>
      <c r="B329" s="52"/>
      <c r="C329" s="73" t="s">
        <v>1980</v>
      </c>
      <c r="D329" s="73"/>
      <c r="E329" s="70"/>
      <c r="F329" s="72" t="s">
        <v>1465</v>
      </c>
      <c r="G329" s="72" t="s">
        <v>1466</v>
      </c>
      <c r="H329" s="72" t="s">
        <v>1467</v>
      </c>
      <c r="I329" s="72" t="s">
        <v>1881</v>
      </c>
      <c r="J329" s="72" t="s">
        <v>1882</v>
      </c>
      <c r="K329" s="72"/>
      <c r="L329" s="74">
        <f t="shared" ref="L329:AE329" si="86">L340</f>
        <v>2022</v>
      </c>
      <c r="M329" s="74">
        <f t="shared" si="86"/>
        <v>2023</v>
      </c>
      <c r="N329" s="74">
        <f t="shared" si="86"/>
        <v>2024</v>
      </c>
      <c r="O329" s="74">
        <f t="shared" si="86"/>
        <v>2025</v>
      </c>
      <c r="P329" s="74">
        <f t="shared" si="86"/>
        <v>2026</v>
      </c>
      <c r="Q329" s="74">
        <f t="shared" si="86"/>
        <v>2027</v>
      </c>
      <c r="R329" s="74">
        <f t="shared" si="86"/>
        <v>2028</v>
      </c>
      <c r="S329" s="74">
        <f t="shared" si="86"/>
        <v>2029</v>
      </c>
      <c r="T329" s="74">
        <f t="shared" si="86"/>
        <v>2030</v>
      </c>
      <c r="U329" s="74">
        <f t="shared" si="86"/>
        <v>2031</v>
      </c>
      <c r="V329" s="74">
        <f t="shared" si="86"/>
        <v>2032</v>
      </c>
      <c r="W329" s="74">
        <f t="shared" si="86"/>
        <v>2033</v>
      </c>
      <c r="X329" s="74">
        <f t="shared" si="86"/>
        <v>2034</v>
      </c>
      <c r="Y329" s="74">
        <f t="shared" si="86"/>
        <v>2035</v>
      </c>
      <c r="Z329" s="74">
        <f t="shared" si="86"/>
        <v>2036</v>
      </c>
      <c r="AA329" s="74">
        <f t="shared" si="86"/>
        <v>2037</v>
      </c>
      <c r="AB329" s="74">
        <f t="shared" si="86"/>
        <v>2038</v>
      </c>
      <c r="AC329" s="74">
        <f t="shared" si="86"/>
        <v>2039</v>
      </c>
      <c r="AD329" s="74">
        <f t="shared" si="86"/>
        <v>2040</v>
      </c>
      <c r="AE329" s="74">
        <f t="shared" si="86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1468</v>
      </c>
      <c r="F330" s="72">
        <f t="shared" ref="F330:F337" si="87">H264+I264</f>
        <v>0.57099076999999998</v>
      </c>
      <c r="G330" s="72">
        <f t="shared" ref="G330:G337" si="88">MAX($J264,0)+MAX($K264,0)</f>
        <v>3.7901020000000001E-2</v>
      </c>
      <c r="H330" s="72">
        <f t="shared" ref="H330:H337" si="89">G330/F330</f>
        <v>6.6377640395132831E-2</v>
      </c>
      <c r="I330" s="100">
        <f t="shared" ref="I330:I337" si="90">IF($F330=0,0,$E299/$F330)</f>
        <v>1</v>
      </c>
      <c r="J330" s="100">
        <f t="shared" ref="J330:J337" si="91">IF($G330=0,0,$E310/$G330)</f>
        <v>1</v>
      </c>
      <c r="K330" s="72"/>
      <c r="L330" s="72">
        <f t="shared" ref="L330:AE330" si="92">L276*$F330/1000</f>
        <v>2.6717650641872548</v>
      </c>
      <c r="M330" s="72">
        <f t="shared" si="92"/>
        <v>2.789322727011494</v>
      </c>
      <c r="N330" s="72">
        <f t="shared" si="92"/>
        <v>2.9120529269999995</v>
      </c>
      <c r="O330" s="72">
        <f t="shared" si="92"/>
        <v>3.0401832557880004</v>
      </c>
      <c r="P330" s="72">
        <f t="shared" si="92"/>
        <v>3.173951319042672</v>
      </c>
      <c r="Q330" s="72">
        <f t="shared" si="92"/>
        <v>3.3136051770805501</v>
      </c>
      <c r="R330" s="72">
        <f t="shared" si="92"/>
        <v>3.4594038048720939</v>
      </c>
      <c r="S330" s="72">
        <f t="shared" si="92"/>
        <v>3.6116175722864661</v>
      </c>
      <c r="T330" s="72">
        <f t="shared" si="92"/>
        <v>3.7705287454670713</v>
      </c>
      <c r="U330" s="72">
        <f t="shared" si="92"/>
        <v>3.9364320102676222</v>
      </c>
      <c r="V330" s="72">
        <f t="shared" si="92"/>
        <v>4.1096350187193975</v>
      </c>
      <c r="W330" s="72">
        <f t="shared" si="92"/>
        <v>4.2904589595430505</v>
      </c>
      <c r="X330" s="72">
        <f t="shared" si="92"/>
        <v>4.4792391537629452</v>
      </c>
      <c r="Y330" s="72">
        <f t="shared" si="92"/>
        <v>4.6763256765285162</v>
      </c>
      <c r="Z330" s="72">
        <f t="shared" si="92"/>
        <v>4.8820840062957691</v>
      </c>
      <c r="AA330" s="72">
        <f t="shared" si="92"/>
        <v>5.096895702572783</v>
      </c>
      <c r="AB330" s="72">
        <f t="shared" si="92"/>
        <v>5.3211591134859875</v>
      </c>
      <c r="AC330" s="72">
        <f t="shared" si="92"/>
        <v>5.5552901144793703</v>
      </c>
      <c r="AD330" s="72">
        <f t="shared" si="92"/>
        <v>5.7997228795164624</v>
      </c>
      <c r="AE330" s="72">
        <f t="shared" si="92"/>
        <v>6.0549106862151856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1355</v>
      </c>
      <c r="E331" s="71" t="s">
        <v>1468</v>
      </c>
      <c r="F331" s="72">
        <f t="shared" si="87"/>
        <v>4.4880000000000003E-2</v>
      </c>
      <c r="G331" s="72">
        <f t="shared" si="88"/>
        <v>4.3981149999999997E-2</v>
      </c>
      <c r="H331" s="72">
        <f t="shared" si="89"/>
        <v>0.97997214795008902</v>
      </c>
      <c r="I331" s="100">
        <f t="shared" si="90"/>
        <v>1</v>
      </c>
      <c r="J331" s="100">
        <f t="shared" si="91"/>
        <v>1</v>
      </c>
      <c r="K331" s="72"/>
      <c r="L331" s="72">
        <f t="shared" ref="L331:AE331" si="93">L277*$F331/1000</f>
        <v>0.19764830228563882</v>
      </c>
      <c r="M331" s="72">
        <f t="shared" si="93"/>
        <v>0.20634482758620692</v>
      </c>
      <c r="N331" s="72">
        <f t="shared" si="93"/>
        <v>0.215424</v>
      </c>
      <c r="O331" s="72">
        <f t="shared" si="93"/>
        <v>0.22490265600000001</v>
      </c>
      <c r="P331" s="72">
        <f t="shared" si="93"/>
        <v>0.23479837286400002</v>
      </c>
      <c r="Q331" s="72">
        <f t="shared" si="93"/>
        <v>0.24512950127001604</v>
      </c>
      <c r="R331" s="72">
        <f t="shared" si="93"/>
        <v>0.25591519932589668</v>
      </c>
      <c r="S331" s="72">
        <f t="shared" si="93"/>
        <v>0.26717546809623621</v>
      </c>
      <c r="T331" s="72">
        <f t="shared" si="93"/>
        <v>0.27893118869247063</v>
      </c>
      <c r="U331" s="72">
        <f t="shared" si="93"/>
        <v>0.29120416099493934</v>
      </c>
      <c r="V331" s="72">
        <f t="shared" si="93"/>
        <v>0.30401714407871661</v>
      </c>
      <c r="W331" s="72">
        <f t="shared" si="93"/>
        <v>0.31739389841818022</v>
      </c>
      <c r="X331" s="72">
        <f t="shared" si="93"/>
        <v>0.33135922994858014</v>
      </c>
      <c r="Y331" s="72">
        <f t="shared" si="93"/>
        <v>0.34593903606631771</v>
      </c>
      <c r="Z331" s="72">
        <f t="shared" si="93"/>
        <v>0.36116035365323562</v>
      </c>
      <c r="AA331" s="72">
        <f t="shared" si="93"/>
        <v>0.37705140921397801</v>
      </c>
      <c r="AB331" s="72">
        <f t="shared" si="93"/>
        <v>0.39364167121939314</v>
      </c>
      <c r="AC331" s="72">
        <f t="shared" si="93"/>
        <v>0.41096190475304639</v>
      </c>
      <c r="AD331" s="72">
        <f t="shared" si="93"/>
        <v>0.42904422856218044</v>
      </c>
      <c r="AE331" s="72">
        <f t="shared" si="93"/>
        <v>0.44792217461891631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1359</v>
      </c>
      <c r="E332" s="71" t="s">
        <v>1468</v>
      </c>
      <c r="F332" s="72">
        <f t="shared" si="87"/>
        <v>1.4249802699999998</v>
      </c>
      <c r="G332" s="72">
        <f t="shared" si="88"/>
        <v>5.276542E-2</v>
      </c>
      <c r="H332" s="72">
        <f t="shared" si="89"/>
        <v>3.7028877599828106E-2</v>
      </c>
      <c r="I332" s="100">
        <f t="shared" si="90"/>
        <v>1</v>
      </c>
      <c r="J332" s="100">
        <f t="shared" si="91"/>
        <v>1</v>
      </c>
      <c r="K332" s="72"/>
      <c r="L332" s="72">
        <f t="shared" ref="L332:AE332" si="94">L278*$F332/1000</f>
        <v>0</v>
      </c>
      <c r="M332" s="72">
        <f t="shared" si="94"/>
        <v>0</v>
      </c>
      <c r="N332" s="72">
        <f t="shared" si="94"/>
        <v>0</v>
      </c>
      <c r="O332" s="72">
        <f t="shared" si="94"/>
        <v>0</v>
      </c>
      <c r="P332" s="72">
        <f t="shared" si="94"/>
        <v>0</v>
      </c>
      <c r="Q332" s="72">
        <f t="shared" si="94"/>
        <v>0</v>
      </c>
      <c r="R332" s="72">
        <f t="shared" si="94"/>
        <v>0</v>
      </c>
      <c r="S332" s="72">
        <f t="shared" si="94"/>
        <v>0</v>
      </c>
      <c r="T332" s="72">
        <f t="shared" si="94"/>
        <v>0</v>
      </c>
      <c r="U332" s="72">
        <f t="shared" si="94"/>
        <v>0</v>
      </c>
      <c r="V332" s="72">
        <f t="shared" si="94"/>
        <v>0</v>
      </c>
      <c r="W332" s="72">
        <f t="shared" si="94"/>
        <v>0</v>
      </c>
      <c r="X332" s="72">
        <f t="shared" si="94"/>
        <v>0</v>
      </c>
      <c r="Y332" s="72">
        <f t="shared" si="94"/>
        <v>0</v>
      </c>
      <c r="Z332" s="72">
        <f t="shared" si="94"/>
        <v>0</v>
      </c>
      <c r="AA332" s="72">
        <f t="shared" si="94"/>
        <v>0</v>
      </c>
      <c r="AB332" s="72">
        <f t="shared" si="94"/>
        <v>0</v>
      </c>
      <c r="AC332" s="72">
        <f t="shared" si="94"/>
        <v>0</v>
      </c>
      <c r="AD332" s="72">
        <f t="shared" si="94"/>
        <v>0</v>
      </c>
      <c r="AE332" s="72">
        <f t="shared" si="94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1363</v>
      </c>
      <c r="E333" s="71" t="s">
        <v>1468</v>
      </c>
      <c r="F333" s="72">
        <f t="shared" si="87"/>
        <v>0.31356849999999997</v>
      </c>
      <c r="G333" s="72">
        <f t="shared" si="88"/>
        <v>0.53702616000000003</v>
      </c>
      <c r="H333" s="72">
        <f t="shared" si="89"/>
        <v>1.7126278947024336</v>
      </c>
      <c r="I333" s="100">
        <f t="shared" si="90"/>
        <v>1</v>
      </c>
      <c r="J333" s="100">
        <f t="shared" si="91"/>
        <v>1</v>
      </c>
      <c r="K333" s="72"/>
      <c r="L333" s="72">
        <f t="shared" ref="L333:AE333" si="95">L279*$F333/1000</f>
        <v>14.692706044200628</v>
      </c>
      <c r="M333" s="72">
        <f t="shared" si="95"/>
        <v>15.177565343659246</v>
      </c>
      <c r="N333" s="72">
        <f t="shared" si="95"/>
        <v>15.678424999999999</v>
      </c>
      <c r="O333" s="72">
        <f t="shared" si="95"/>
        <v>16.195813024999996</v>
      </c>
      <c r="P333" s="72">
        <f t="shared" si="95"/>
        <v>16.730274854824994</v>
      </c>
      <c r="Q333" s="72">
        <f t="shared" si="95"/>
        <v>17.282373925034218</v>
      </c>
      <c r="R333" s="72">
        <f t="shared" si="95"/>
        <v>17.852692264560343</v>
      </c>
      <c r="S333" s="72">
        <f t="shared" si="95"/>
        <v>18.441831109290838</v>
      </c>
      <c r="T333" s="72">
        <f t="shared" si="95"/>
        <v>19.050411535897432</v>
      </c>
      <c r="U333" s="72">
        <f t="shared" si="95"/>
        <v>19.679075116582045</v>
      </c>
      <c r="V333" s="72">
        <f t="shared" si="95"/>
        <v>20.328484595429249</v>
      </c>
      <c r="W333" s="72">
        <f t="shared" si="95"/>
        <v>20.999324587078412</v>
      </c>
      <c r="X333" s="72">
        <f t="shared" si="95"/>
        <v>21.692302298451992</v>
      </c>
      <c r="Y333" s="72">
        <f t="shared" si="95"/>
        <v>22.40814827430091</v>
      </c>
      <c r="Z333" s="72">
        <f t="shared" si="95"/>
        <v>23.147617167352838</v>
      </c>
      <c r="AA333" s="72">
        <f t="shared" si="95"/>
        <v>23.911488533875481</v>
      </c>
      <c r="AB333" s="72">
        <f t="shared" si="95"/>
        <v>24.700567655493362</v>
      </c>
      <c r="AC333" s="72">
        <f t="shared" si="95"/>
        <v>25.515686388124642</v>
      </c>
      <c r="AD333" s="72">
        <f t="shared" si="95"/>
        <v>26.357704038932756</v>
      </c>
      <c r="AE333" s="72">
        <f t="shared" si="95"/>
        <v>27.227508272217527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1425</v>
      </c>
      <c r="E334" s="71" t="s">
        <v>1468</v>
      </c>
      <c r="F334" s="72">
        <f t="shared" si="87"/>
        <v>1.97472</v>
      </c>
      <c r="G334" s="72">
        <f t="shared" si="88"/>
        <v>0</v>
      </c>
      <c r="H334" s="72">
        <f t="shared" si="89"/>
        <v>0</v>
      </c>
      <c r="I334" s="100">
        <f t="shared" si="90"/>
        <v>1</v>
      </c>
      <c r="J334" s="100">
        <f t="shared" si="91"/>
        <v>0</v>
      </c>
      <c r="K334" s="72"/>
      <c r="L334" s="72">
        <f t="shared" ref="L334:AE334" si="96">L280*$F334/1000</f>
        <v>3.3747527008551588</v>
      </c>
      <c r="M334" s="72">
        <f t="shared" si="96"/>
        <v>3.4489972602739725</v>
      </c>
      <c r="N334" s="72">
        <f t="shared" si="96"/>
        <v>3.5248751999999999</v>
      </c>
      <c r="O334" s="72">
        <f t="shared" si="96"/>
        <v>3.6024224544000001</v>
      </c>
      <c r="P334" s="72">
        <f t="shared" si="96"/>
        <v>3.6816757483967999</v>
      </c>
      <c r="Q334" s="72">
        <f t="shared" si="96"/>
        <v>3.7626726148615299</v>
      </c>
      <c r="R334" s="72">
        <f t="shared" si="96"/>
        <v>3.8454514123884831</v>
      </c>
      <c r="S334" s="72">
        <f t="shared" si="96"/>
        <v>3.9300513434610296</v>
      </c>
      <c r="T334" s="72">
        <f t="shared" si="96"/>
        <v>4.0165124730171726</v>
      </c>
      <c r="U334" s="72">
        <f t="shared" si="96"/>
        <v>4.1048757474235504</v>
      </c>
      <c r="V334" s="72">
        <f t="shared" si="96"/>
        <v>4.1951830138668695</v>
      </c>
      <c r="W334" s="72">
        <f t="shared" si="96"/>
        <v>4.2874770401719395</v>
      </c>
      <c r="X334" s="72">
        <f t="shared" si="96"/>
        <v>4.3818015350557227</v>
      </c>
      <c r="Y334" s="72">
        <f t="shared" si="96"/>
        <v>4.4782011688269483</v>
      </c>
      <c r="Z334" s="72">
        <f t="shared" si="96"/>
        <v>4.5767215945411417</v>
      </c>
      <c r="AA334" s="72">
        <f t="shared" si="96"/>
        <v>4.6774094696210469</v>
      </c>
      <c r="AB334" s="72">
        <f t="shared" si="96"/>
        <v>4.7803124779527089</v>
      </c>
      <c r="AC334" s="72">
        <f t="shared" si="96"/>
        <v>4.8854793524676694</v>
      </c>
      <c r="AD334" s="72">
        <f t="shared" si="96"/>
        <v>4.9929598982219581</v>
      </c>
      <c r="AE334" s="72">
        <f t="shared" si="96"/>
        <v>5.1028050159828409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1373</v>
      </c>
      <c r="E335" s="71" t="s">
        <v>1468</v>
      </c>
      <c r="F335" s="72">
        <f t="shared" si="87"/>
        <v>0.11219999999999999</v>
      </c>
      <c r="G335" s="72">
        <f t="shared" si="88"/>
        <v>0</v>
      </c>
      <c r="H335" s="72">
        <f t="shared" si="89"/>
        <v>0</v>
      </c>
      <c r="I335" s="100">
        <f t="shared" si="90"/>
        <v>1</v>
      </c>
      <c r="J335" s="100">
        <f t="shared" si="91"/>
        <v>0</v>
      </c>
      <c r="K335" s="72"/>
      <c r="L335" s="72">
        <f t="shared" ref="L335:AE335" si="97">L281*$F335/1000</f>
        <v>0.30078009811543305</v>
      </c>
      <c r="M335" s="72">
        <f t="shared" si="97"/>
        <v>0.30739726027397257</v>
      </c>
      <c r="N335" s="72">
        <f t="shared" si="97"/>
        <v>0.31415999999999999</v>
      </c>
      <c r="O335" s="72">
        <f t="shared" si="97"/>
        <v>0.32107151999999994</v>
      </c>
      <c r="P335" s="72">
        <f t="shared" si="97"/>
        <v>0.32813509343999991</v>
      </c>
      <c r="Q335" s="72">
        <f t="shared" si="97"/>
        <v>0.33535406549567992</v>
      </c>
      <c r="R335" s="72">
        <f t="shared" si="97"/>
        <v>0.34273185493658498</v>
      </c>
      <c r="S335" s="72">
        <f t="shared" si="97"/>
        <v>0.35027195574518982</v>
      </c>
      <c r="T335" s="72">
        <f t="shared" si="97"/>
        <v>0.3579779387715839</v>
      </c>
      <c r="U335" s="72">
        <f t="shared" si="97"/>
        <v>0.36585345342455883</v>
      </c>
      <c r="V335" s="72">
        <f t="shared" si="97"/>
        <v>0.37390222939989914</v>
      </c>
      <c r="W335" s="72">
        <f t="shared" si="97"/>
        <v>0.38212807844669694</v>
      </c>
      <c r="X335" s="72">
        <f t="shared" si="97"/>
        <v>0.39053489617252429</v>
      </c>
      <c r="Y335" s="72">
        <f t="shared" si="97"/>
        <v>0.39912666388831985</v>
      </c>
      <c r="Z335" s="72">
        <f t="shared" si="97"/>
        <v>0.4079074504938629</v>
      </c>
      <c r="AA335" s="72">
        <f t="shared" si="97"/>
        <v>0.41688141440472787</v>
      </c>
      <c r="AB335" s="72">
        <f t="shared" si="97"/>
        <v>0.42605280552163183</v>
      </c>
      <c r="AC335" s="72">
        <f t="shared" si="97"/>
        <v>0.43542596724310778</v>
      </c>
      <c r="AD335" s="72">
        <f t="shared" si="97"/>
        <v>0.44500533852245616</v>
      </c>
      <c r="AE335" s="72">
        <f t="shared" si="97"/>
        <v>0.45479545596995019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1378</v>
      </c>
      <c r="E336" s="71" t="s">
        <v>1468</v>
      </c>
      <c r="F336" s="72">
        <f t="shared" si="87"/>
        <v>0.11219999999999999</v>
      </c>
      <c r="G336" s="72">
        <f t="shared" si="88"/>
        <v>0.99441250000000003</v>
      </c>
      <c r="H336" s="72">
        <f t="shared" si="89"/>
        <v>8.8628565062388596</v>
      </c>
      <c r="I336" s="100">
        <f t="shared" si="90"/>
        <v>1</v>
      </c>
      <c r="J336" s="100">
        <f t="shared" si="91"/>
        <v>1</v>
      </c>
      <c r="K336" s="72"/>
      <c r="L336" s="72">
        <f t="shared" ref="L336:AE336" si="98">L282*$F336/1000</f>
        <v>6.4452878167592806E-2</v>
      </c>
      <c r="M336" s="72">
        <f t="shared" si="98"/>
        <v>6.5870841487279841E-2</v>
      </c>
      <c r="N336" s="72">
        <f t="shared" si="98"/>
        <v>6.7319999999999991E-2</v>
      </c>
      <c r="O336" s="72">
        <f t="shared" si="98"/>
        <v>6.8801039999999994E-2</v>
      </c>
      <c r="P336" s="72">
        <f t="shared" si="98"/>
        <v>7.031466287999999E-2</v>
      </c>
      <c r="Q336" s="72">
        <f t="shared" si="98"/>
        <v>7.1861585463359995E-2</v>
      </c>
      <c r="R336" s="72">
        <f t="shared" si="98"/>
        <v>7.3442540343553922E-2</v>
      </c>
      <c r="S336" s="72">
        <f t="shared" si="98"/>
        <v>7.5058276231112109E-2</v>
      </c>
      <c r="T336" s="72">
        <f t="shared" si="98"/>
        <v>7.6709558308196563E-2</v>
      </c>
      <c r="U336" s="72">
        <f t="shared" si="98"/>
        <v>7.8397168590976896E-2</v>
      </c>
      <c r="V336" s="72">
        <f t="shared" si="98"/>
        <v>8.012190629997841E-2</v>
      </c>
      <c r="W336" s="72">
        <f t="shared" si="98"/>
        <v>8.1884588238577902E-2</v>
      </c>
      <c r="X336" s="72">
        <f t="shared" si="98"/>
        <v>8.3686049179826624E-2</v>
      </c>
      <c r="Y336" s="72">
        <f t="shared" si="98"/>
        <v>8.5527142261782832E-2</v>
      </c>
      <c r="Z336" s="72">
        <f t="shared" si="98"/>
        <v>8.7408739391542062E-2</v>
      </c>
      <c r="AA336" s="72">
        <f t="shared" si="98"/>
        <v>8.9331731658155972E-2</v>
      </c>
      <c r="AB336" s="72">
        <f t="shared" si="98"/>
        <v>9.1297029754635384E-2</v>
      </c>
      <c r="AC336" s="72">
        <f t="shared" si="98"/>
        <v>9.3305564409237374E-2</v>
      </c>
      <c r="AD336" s="72">
        <f t="shared" si="98"/>
        <v>9.5358286826240604E-2</v>
      </c>
      <c r="AE336" s="72">
        <f t="shared" si="98"/>
        <v>9.74561691364179E-2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1383</v>
      </c>
      <c r="E337" s="71" t="s">
        <v>1468</v>
      </c>
      <c r="F337" s="72">
        <f t="shared" si="87"/>
        <v>0.12342</v>
      </c>
      <c r="G337" s="72">
        <f t="shared" si="88"/>
        <v>2.3974930400000001</v>
      </c>
      <c r="H337" s="72">
        <f t="shared" si="89"/>
        <v>19.425482417760492</v>
      </c>
      <c r="I337" s="100">
        <f t="shared" si="90"/>
        <v>1</v>
      </c>
      <c r="J337" s="100">
        <f t="shared" si="91"/>
        <v>1</v>
      </c>
      <c r="K337" s="72"/>
      <c r="L337" s="72">
        <f t="shared" ref="L337:AE337" si="99">L283*$F337/1000</f>
        <v>3.3266099144224071E-2</v>
      </c>
      <c r="M337" s="72">
        <f t="shared" si="99"/>
        <v>3.5095734597156404E-2</v>
      </c>
      <c r="N337" s="72">
        <f t="shared" si="99"/>
        <v>3.7026000000000003E-2</v>
      </c>
      <c r="O337" s="72">
        <f t="shared" si="99"/>
        <v>3.9062430000000002E-2</v>
      </c>
      <c r="P337" s="72">
        <f t="shared" si="99"/>
        <v>4.1210863649999999E-2</v>
      </c>
      <c r="Q337" s="72">
        <f t="shared" si="99"/>
        <v>4.3477461150749991E-2</v>
      </c>
      <c r="R337" s="72">
        <f t="shared" si="99"/>
        <v>4.5868721514041248E-2</v>
      </c>
      <c r="S337" s="72">
        <f t="shared" si="99"/>
        <v>4.8391501197313509E-2</v>
      </c>
      <c r="T337" s="72">
        <f t="shared" si="99"/>
        <v>5.105303376316575E-2</v>
      </c>
      <c r="U337" s="72">
        <f t="shared" si="99"/>
        <v>5.3860950620139861E-2</v>
      </c>
      <c r="V337" s="72">
        <f t="shared" si="99"/>
        <v>5.6823302904247558E-2</v>
      </c>
      <c r="W337" s="72">
        <f t="shared" si="99"/>
        <v>5.9948584563981173E-2</v>
      </c>
      <c r="X337" s="72">
        <f t="shared" si="99"/>
        <v>6.3245756715000129E-2</v>
      </c>
      <c r="Y337" s="72">
        <f t="shared" si="99"/>
        <v>6.6724273334325138E-2</v>
      </c>
      <c r="Z337" s="72">
        <f t="shared" si="99"/>
        <v>7.039410836771301E-2</v>
      </c>
      <c r="AA337" s="72">
        <f t="shared" si="99"/>
        <v>7.426578432793722E-2</v>
      </c>
      <c r="AB337" s="72">
        <f t="shared" si="99"/>
        <v>7.8350402465973787E-2</v>
      </c>
      <c r="AC337" s="72">
        <f t="shared" si="99"/>
        <v>8.2659674601602312E-2</v>
      </c>
      <c r="AD337" s="72">
        <f t="shared" si="99"/>
        <v>8.7205956704690446E-2</v>
      </c>
      <c r="AE337" s="72">
        <f t="shared" si="99"/>
        <v>9.2002284323448424E-2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1469</v>
      </c>
      <c r="E338" s="70"/>
      <c r="F338" s="70"/>
      <c r="G338" s="70"/>
      <c r="H338" s="70"/>
      <c r="I338" s="70"/>
      <c r="J338" s="70"/>
      <c r="K338" s="72"/>
      <c r="L338" s="72">
        <f t="shared" ref="L338:AE338" si="100">SUM(L330:L337)</f>
        <v>21.335371186955928</v>
      </c>
      <c r="M338" s="72">
        <f t="shared" si="100"/>
        <v>22.03059399488933</v>
      </c>
      <c r="N338" s="72">
        <f t="shared" si="100"/>
        <v>22.749283126999998</v>
      </c>
      <c r="O338" s="72">
        <f t="shared" si="100"/>
        <v>23.492256381187996</v>
      </c>
      <c r="P338" s="72">
        <f t="shared" si="100"/>
        <v>24.260360915098467</v>
      </c>
      <c r="Q338" s="72">
        <f t="shared" si="100"/>
        <v>25.054474330356101</v>
      </c>
      <c r="R338" s="72">
        <f t="shared" si="100"/>
        <v>25.875505797940995</v>
      </c>
      <c r="S338" s="72">
        <f t="shared" si="100"/>
        <v>26.724397226308188</v>
      </c>
      <c r="T338" s="72">
        <f t="shared" si="100"/>
        <v>27.60212447391709</v>
      </c>
      <c r="U338" s="72">
        <f t="shared" si="100"/>
        <v>28.509698607903836</v>
      </c>
      <c r="V338" s="72">
        <f t="shared" si="100"/>
        <v>29.448167210698362</v>
      </c>
      <c r="W338" s="72">
        <f t="shared" si="100"/>
        <v>30.418615736460836</v>
      </c>
      <c r="X338" s="72">
        <f t="shared" si="100"/>
        <v>31.422168919286591</v>
      </c>
      <c r="Y338" s="72">
        <f t="shared" si="100"/>
        <v>32.459992235207118</v>
      </c>
      <c r="Z338" s="72">
        <f t="shared" si="100"/>
        <v>33.533293420096108</v>
      </c>
      <c r="AA338" s="72">
        <f t="shared" si="100"/>
        <v>34.643324045674106</v>
      </c>
      <c r="AB338" s="72">
        <f t="shared" si="100"/>
        <v>35.791381155893689</v>
      </c>
      <c r="AC338" s="72">
        <f t="shared" si="100"/>
        <v>36.978808966078674</v>
      </c>
      <c r="AD338" s="72">
        <f t="shared" si="100"/>
        <v>38.207000627286739</v>
      </c>
      <c r="AE338" s="72">
        <f t="shared" si="100"/>
        <v>39.477400058464283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52" t="s">
        <v>2012</v>
      </c>
      <c r="E339" s="70" t="s">
        <v>1854</v>
      </c>
      <c r="F339" s="70"/>
      <c r="G339" s="70" t="s">
        <v>1475</v>
      </c>
      <c r="H339" s="87" t="str">
        <f>Settings!$B$3&amp;".mit.cbobl."&amp;$G339&amp;"."&amp;$J$5</f>
        <v>egy.mit.cbobl.cbam.tot.1</v>
      </c>
      <c r="I339" s="70"/>
      <c r="J339" s="70"/>
      <c r="K339" s="72"/>
      <c r="L339" s="72">
        <f>SUMPRODUCT($I$276:$I$283*L$276:L$283/($N$276:$N$283+($N$276:$N$283=0))*((('Manual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1000</f>
        <v>0</v>
      </c>
      <c r="M339" s="72">
        <f>SUMPRODUCT($I$276:$I$283*M$276:M$283/($N$276:$N$283+($N$276:$N$283=0))*((('Manual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1000</f>
        <v>0</v>
      </c>
      <c r="N339" s="72">
        <f>SUMPRODUCT($I$276:$I$283*N$276:N$283/($N$276:$N$283+($N$276:$N$283=0))*((('Manual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1000</f>
        <v>0</v>
      </c>
      <c r="O339" s="72">
        <f>SUMPRODUCT($I$276:$I$283*O$276:O$283/($N$276:$N$283+($N$276:$N$283=0))*((('Manual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1000</f>
        <v>0</v>
      </c>
      <c r="P339" s="72">
        <f>SUMPRODUCT($I$276:$I$283*P$276:P$283/($N$276:$N$283+($N$276:$N$283=0))*((('Manual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1000</f>
        <v>5.3403962478246232</v>
      </c>
      <c r="Q339" s="72">
        <f>SUMPRODUCT($I$276:$I$283*Q$276:Q$283/($N$276:$N$283+($N$276:$N$283=0))*((('Manual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1000</f>
        <v>11.078559094261385</v>
      </c>
      <c r="R339" s="72">
        <f>SUMPRODUCT($I$276:$I$283*R$276:R$283/($N$276:$N$283+($N$276:$N$283=0))*((('Manual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1000</f>
        <v>22.985300875217163</v>
      </c>
      <c r="S339" s="72">
        <f>SUMPRODUCT($I$276:$I$283*S$276:S$283/($N$276:$N$283+($N$276:$N$283=0))*((('Manual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1000</f>
        <v>53.657060396137588</v>
      </c>
      <c r="T339" s="72">
        <f>SUMPRODUCT($I$276:$I$283*T$276:T$283/($N$276:$N$283+($N$276:$N$283=0))*((('Manual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1000</f>
        <v>120.01557967474193</v>
      </c>
      <c r="U339" s="72">
        <f>SUMPRODUCT($I$276:$I$283*U$276:U$283/($N$276:$N$283+($N$276:$N$283=0))*((('Manual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1000</f>
        <v>156.65156177105959</v>
      </c>
      <c r="V339" s="72">
        <f>SUMPRODUCT($I$276:$I$283*V$276:V$283/($N$276:$N$283+($N$276:$N$283=0))*((('Manual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1000</f>
        <v>195.9109965131199</v>
      </c>
      <c r="W339" s="72">
        <f>SUMPRODUCT($I$276:$I$283*W$276:W$283/($N$276:$N$283+($N$276:$N$283=0))*((('Manual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1000</f>
        <v>237.95463678403513</v>
      </c>
      <c r="X339" s="72">
        <f>SUMPRODUCT($I$276:$I$283*X$276:X$283/($N$276:$N$283+($N$276:$N$283=0))*((('Manual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1000</f>
        <v>287.26169102231933</v>
      </c>
      <c r="Y339" s="72">
        <f>SUMPRODUCT($I$276:$I$283*Y$276:Y$283/($N$276:$N$283+($N$276:$N$283=0))*((('Manual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1000</f>
        <v>298.27545824009263</v>
      </c>
      <c r="Z339" s="72">
        <f>SUMPRODUCT($I$276:$I$283*Z$276:Z$283/($N$276:$N$283+($N$276:$N$283=0))*((('Manual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1000</f>
        <v>309.75277665421953</v>
      </c>
      <c r="AA339" s="72">
        <f>SUMPRODUCT($I$276:$I$283*AA$276:AA$283/($N$276:$N$283+($N$276:$N$283=0))*((('Manual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1000</f>
        <v>321.71463909494184</v>
      </c>
      <c r="AB339" s="72">
        <f>SUMPRODUCT($I$276:$I$283*AB$276:AB$283/($N$276:$N$283+($N$276:$N$283=0))*((('Manual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1000</f>
        <v>334.18304176014226</v>
      </c>
      <c r="AC339" s="72">
        <f>SUMPRODUCT($I$276:$I$283*AC$276:AC$283/($N$276:$N$283+($N$276:$N$283=0))*((('Manual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1000</f>
        <v>347.18103405019116</v>
      </c>
      <c r="AD339" s="72">
        <f>SUMPRODUCT($I$276:$I$283*AD$276:AD$283/($N$276:$N$283+($N$276:$N$283=0))*((('Manual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1000</f>
        <v>360.73277094599149</v>
      </c>
      <c r="AE339" s="72">
        <f>SUMPRODUCT($I$276:$I$283*AE$276:AE$283/($N$276:$N$283+($N$276:$N$283=0))*((('Manual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1000</f>
        <v>374.86356806252201</v>
      </c>
      <c r="AF339" s="70"/>
      <c r="AG339" s="70"/>
      <c r="AH339" s="70"/>
      <c r="AI339" s="70"/>
    </row>
    <row r="340" spans="1:35" x14ac:dyDescent="0.45">
      <c r="A340" s="71"/>
      <c r="B340" s="52"/>
      <c r="C340" s="73" t="s">
        <v>1981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101">L274</f>
        <v>2022</v>
      </c>
      <c r="M340" s="74">
        <f t="shared" si="101"/>
        <v>2023</v>
      </c>
      <c r="N340" s="74">
        <f t="shared" si="101"/>
        <v>2024</v>
      </c>
      <c r="O340" s="74">
        <f t="shared" si="101"/>
        <v>2025</v>
      </c>
      <c r="P340" s="74">
        <f t="shared" si="101"/>
        <v>2026</v>
      </c>
      <c r="Q340" s="74">
        <f t="shared" si="101"/>
        <v>2027</v>
      </c>
      <c r="R340" s="74">
        <f t="shared" si="101"/>
        <v>2028</v>
      </c>
      <c r="S340" s="74">
        <f t="shared" si="101"/>
        <v>2029</v>
      </c>
      <c r="T340" s="74">
        <f t="shared" si="101"/>
        <v>2030</v>
      </c>
      <c r="U340" s="74">
        <f t="shared" si="101"/>
        <v>2031</v>
      </c>
      <c r="V340" s="74">
        <f t="shared" si="101"/>
        <v>2032</v>
      </c>
      <c r="W340" s="74">
        <f t="shared" si="101"/>
        <v>2033</v>
      </c>
      <c r="X340" s="74">
        <f t="shared" si="101"/>
        <v>2034</v>
      </c>
      <c r="Y340" s="74">
        <f t="shared" si="101"/>
        <v>2035</v>
      </c>
      <c r="Z340" s="74">
        <f t="shared" si="101"/>
        <v>2036</v>
      </c>
      <c r="AA340" s="74">
        <f t="shared" si="101"/>
        <v>2037</v>
      </c>
      <c r="AB340" s="74">
        <f t="shared" si="101"/>
        <v>2038</v>
      </c>
      <c r="AC340" s="74">
        <f t="shared" si="101"/>
        <v>2039</v>
      </c>
      <c r="AD340" s="74">
        <f t="shared" si="101"/>
        <v>2040</v>
      </c>
      <c r="AE340" s="74">
        <f t="shared" si="101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1468</v>
      </c>
      <c r="F341" s="70"/>
      <c r="G341" s="70"/>
      <c r="H341" s="70"/>
      <c r="I341" s="70"/>
      <c r="J341" s="70"/>
      <c r="K341" s="72"/>
      <c r="L341" s="72">
        <f t="shared" ref="L341:L348" si="102">L276*G330/1000</f>
        <v>0.17734546065090059</v>
      </c>
      <c r="M341" s="72">
        <f t="shared" ref="M341:M348" si="103">M276*G330/1000</f>
        <v>0.18514866091954021</v>
      </c>
      <c r="N341" s="72">
        <f t="shared" ref="N341:N348" si="104">N276*G330/1000</f>
        <v>0.193295202</v>
      </c>
      <c r="O341" s="72">
        <f t="shared" ref="O341:O348" si="105">O276*G330/1000</f>
        <v>0.20180019088800003</v>
      </c>
      <c r="P341" s="72">
        <f t="shared" ref="P341:P348" si="106">P276*G330/1000</f>
        <v>0.21067939928707202</v>
      </c>
      <c r="Q341" s="72">
        <f t="shared" ref="Q341:Q348" si="107">Q276*G330/1000</f>
        <v>0.21994929285570322</v>
      </c>
      <c r="R341" s="72">
        <f t="shared" ref="R341:R348" si="108">R276*G330/1000</f>
        <v>0.22962706174135414</v>
      </c>
      <c r="S341" s="72">
        <f t="shared" ref="S341:S348" si="109">S276*G330/1000</f>
        <v>0.2397306524579737</v>
      </c>
      <c r="T341" s="72">
        <f t="shared" ref="T341:T348" si="110">T276*G330/1000</f>
        <v>0.25027880116612461</v>
      </c>
      <c r="U341" s="72">
        <f t="shared" ref="U341:U348" si="111">U276*G330/1000</f>
        <v>0.2612910684174341</v>
      </c>
      <c r="V341" s="72">
        <f t="shared" ref="V341:V348" si="112">V276*G330/1000</f>
        <v>0.27278787542780114</v>
      </c>
      <c r="W341" s="72">
        <f t="shared" ref="W341:W348" si="113">W276*G330/1000</f>
        <v>0.28479054194662445</v>
      </c>
      <c r="X341" s="72">
        <f t="shared" ref="X341:X348" si="114">X276*G330/1000</f>
        <v>0.29732132579227588</v>
      </c>
      <c r="Y341" s="72">
        <f t="shared" ref="Y341:Y348" si="115">Y276*G330/1000</f>
        <v>0.3104034641271361</v>
      </c>
      <c r="Z341" s="72">
        <f t="shared" ref="Z341:Z348" si="116">Z276*G330/1000</f>
        <v>0.32406121654872999</v>
      </c>
      <c r="AA341" s="72">
        <f t="shared" ref="AA341:AA348" si="117">AA276*G330/1000</f>
        <v>0.33831991007687412</v>
      </c>
      <c r="AB341" s="72">
        <f t="shared" ref="AB341:AB348" si="118">AB276*G330/1000</f>
        <v>0.35320598612025667</v>
      </c>
      <c r="AC341" s="72">
        <f t="shared" ref="AC341:AC348" si="119">AC276*G330/1000</f>
        <v>0.36874704950954795</v>
      </c>
      <c r="AD341" s="72">
        <f t="shared" ref="AD341:AD348" si="120">AD276*G330/1000</f>
        <v>0.38497191968796801</v>
      </c>
      <c r="AE341" s="72">
        <f t="shared" ref="AE341:AE348" si="121">AE276*G330/1000</f>
        <v>0.40191068415423858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1355</v>
      </c>
      <c r="E342" s="71" t="s">
        <v>1468</v>
      </c>
      <c r="F342" s="70"/>
      <c r="G342" s="70"/>
      <c r="H342" s="70"/>
      <c r="I342" s="70"/>
      <c r="J342" s="70"/>
      <c r="K342" s="72"/>
      <c r="L342" s="72">
        <f t="shared" si="102"/>
        <v>0.19368983132954593</v>
      </c>
      <c r="M342" s="72">
        <f t="shared" si="103"/>
        <v>0.20221218390804596</v>
      </c>
      <c r="N342" s="72">
        <f t="shared" si="104"/>
        <v>0.21110951999999997</v>
      </c>
      <c r="O342" s="72">
        <f t="shared" si="105"/>
        <v>0.22039833887999999</v>
      </c>
      <c r="P342" s="72">
        <f t="shared" si="106"/>
        <v>0.23009586579071997</v>
      </c>
      <c r="Q342" s="72">
        <f t="shared" si="107"/>
        <v>0.24022008388551169</v>
      </c>
      <c r="R342" s="72">
        <f t="shared" si="108"/>
        <v>0.25078976757647414</v>
      </c>
      <c r="S342" s="72">
        <f t="shared" si="109"/>
        <v>0.26182451734983908</v>
      </c>
      <c r="T342" s="72">
        <f t="shared" si="110"/>
        <v>0.27334479611323198</v>
      </c>
      <c r="U342" s="72">
        <f t="shared" si="111"/>
        <v>0.28537196714221424</v>
      </c>
      <c r="V342" s="72">
        <f t="shared" si="112"/>
        <v>0.29792833369647159</v>
      </c>
      <c r="W342" s="72">
        <f t="shared" si="113"/>
        <v>0.31103718037911643</v>
      </c>
      <c r="X342" s="72">
        <f t="shared" si="114"/>
        <v>0.32472281631579752</v>
      </c>
      <c r="Y342" s="72">
        <f t="shared" si="115"/>
        <v>0.33901062023369266</v>
      </c>
      <c r="Z342" s="72">
        <f t="shared" si="116"/>
        <v>0.35392708752397511</v>
      </c>
      <c r="AA342" s="72">
        <f t="shared" si="117"/>
        <v>0.36949987937502998</v>
      </c>
      <c r="AB342" s="72">
        <f t="shared" si="118"/>
        <v>0.38575787406753137</v>
      </c>
      <c r="AC342" s="72">
        <f t="shared" si="119"/>
        <v>0.40273122052650273</v>
      </c>
      <c r="AD342" s="72">
        <f t="shared" si="120"/>
        <v>0.42045139422966882</v>
      </c>
      <c r="AE342" s="72">
        <f t="shared" si="121"/>
        <v>0.43895125557577425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1359</v>
      </c>
      <c r="E343" s="71" t="s">
        <v>1468</v>
      </c>
      <c r="F343" s="70"/>
      <c r="G343" s="70"/>
      <c r="H343" s="70"/>
      <c r="I343" s="70"/>
      <c r="J343" s="70"/>
      <c r="K343" s="72"/>
      <c r="L343" s="72">
        <f t="shared" si="102"/>
        <v>0</v>
      </c>
      <c r="M343" s="72">
        <f t="shared" si="103"/>
        <v>0</v>
      </c>
      <c r="N343" s="72">
        <f t="shared" si="104"/>
        <v>0</v>
      </c>
      <c r="O343" s="72">
        <f t="shared" si="105"/>
        <v>0</v>
      </c>
      <c r="P343" s="72">
        <f t="shared" si="106"/>
        <v>0</v>
      </c>
      <c r="Q343" s="72">
        <f t="shared" si="107"/>
        <v>0</v>
      </c>
      <c r="R343" s="72">
        <f t="shared" si="108"/>
        <v>0</v>
      </c>
      <c r="S343" s="72">
        <f t="shared" si="109"/>
        <v>0</v>
      </c>
      <c r="T343" s="72">
        <f t="shared" si="110"/>
        <v>0</v>
      </c>
      <c r="U343" s="72">
        <f t="shared" si="111"/>
        <v>0</v>
      </c>
      <c r="V343" s="72">
        <f t="shared" si="112"/>
        <v>0</v>
      </c>
      <c r="W343" s="72">
        <f t="shared" si="113"/>
        <v>0</v>
      </c>
      <c r="X343" s="72">
        <f t="shared" si="114"/>
        <v>0</v>
      </c>
      <c r="Y343" s="72">
        <f t="shared" si="115"/>
        <v>0</v>
      </c>
      <c r="Z343" s="72">
        <f t="shared" si="116"/>
        <v>0</v>
      </c>
      <c r="AA343" s="72">
        <f t="shared" si="117"/>
        <v>0</v>
      </c>
      <c r="AB343" s="72">
        <f t="shared" si="118"/>
        <v>0</v>
      </c>
      <c r="AC343" s="72">
        <f t="shared" si="119"/>
        <v>0</v>
      </c>
      <c r="AD343" s="72">
        <f t="shared" si="120"/>
        <v>0</v>
      </c>
      <c r="AE343" s="72">
        <f t="shared" si="121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1363</v>
      </c>
      <c r="E344" s="71" t="s">
        <v>1468</v>
      </c>
      <c r="F344" s="70"/>
      <c r="G344" s="70"/>
      <c r="H344" s="70"/>
      <c r="I344" s="70"/>
      <c r="J344" s="70"/>
      <c r="K344" s="72"/>
      <c r="L344" s="72">
        <f t="shared" si="102"/>
        <v>25.163138219961041</v>
      </c>
      <c r="M344" s="72">
        <f t="shared" si="103"/>
        <v>25.993521781219755</v>
      </c>
      <c r="N344" s="72">
        <f t="shared" si="104"/>
        <v>26.851308</v>
      </c>
      <c r="O344" s="72">
        <f t="shared" si="105"/>
        <v>27.737401163999998</v>
      </c>
      <c r="P344" s="72">
        <f t="shared" si="106"/>
        <v>28.652735402411995</v>
      </c>
      <c r="Q344" s="72">
        <f t="shared" si="107"/>
        <v>29.598275670691589</v>
      </c>
      <c r="R344" s="72">
        <f t="shared" si="108"/>
        <v>30.575018767824407</v>
      </c>
      <c r="S344" s="72">
        <f t="shared" si="109"/>
        <v>31.583994387162612</v>
      </c>
      <c r="T344" s="72">
        <f t="shared" si="110"/>
        <v>32.626266201938975</v>
      </c>
      <c r="U344" s="72">
        <f t="shared" si="111"/>
        <v>33.70293298660296</v>
      </c>
      <c r="V344" s="72">
        <f t="shared" si="112"/>
        <v>34.815129775160841</v>
      </c>
      <c r="W344" s="72">
        <f t="shared" si="113"/>
        <v>35.964029057741151</v>
      </c>
      <c r="X344" s="72">
        <f t="shared" si="114"/>
        <v>37.150842016646592</v>
      </c>
      <c r="Y344" s="72">
        <f t="shared" si="115"/>
        <v>38.376819803195943</v>
      </c>
      <c r="Z344" s="72">
        <f t="shared" si="116"/>
        <v>39.643254856701404</v>
      </c>
      <c r="AA344" s="72">
        <f t="shared" si="117"/>
        <v>40.951482266972548</v>
      </c>
      <c r="AB344" s="72">
        <f t="shared" si="118"/>
        <v>42.302881181782631</v>
      </c>
      <c r="AC344" s="72">
        <f t="shared" si="119"/>
        <v>43.698876260781446</v>
      </c>
      <c r="AD344" s="72">
        <f t="shared" si="120"/>
        <v>45.140939177387231</v>
      </c>
      <c r="AE344" s="72">
        <f t="shared" si="121"/>
        <v>46.630590170241007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1425</v>
      </c>
      <c r="E345" s="71" t="s">
        <v>1468</v>
      </c>
      <c r="F345" s="70"/>
      <c r="G345" s="70"/>
      <c r="H345" s="70"/>
      <c r="I345" s="70"/>
      <c r="J345" s="70"/>
      <c r="K345" s="72"/>
      <c r="L345" s="72">
        <f t="shared" si="102"/>
        <v>0</v>
      </c>
      <c r="M345" s="72">
        <f t="shared" si="103"/>
        <v>0</v>
      </c>
      <c r="N345" s="72">
        <f t="shared" si="104"/>
        <v>0</v>
      </c>
      <c r="O345" s="72">
        <f t="shared" si="105"/>
        <v>0</v>
      </c>
      <c r="P345" s="72">
        <f t="shared" si="106"/>
        <v>0</v>
      </c>
      <c r="Q345" s="72">
        <f t="shared" si="107"/>
        <v>0</v>
      </c>
      <c r="R345" s="72">
        <f t="shared" si="108"/>
        <v>0</v>
      </c>
      <c r="S345" s="72">
        <f t="shared" si="109"/>
        <v>0</v>
      </c>
      <c r="T345" s="72">
        <f t="shared" si="110"/>
        <v>0</v>
      </c>
      <c r="U345" s="72">
        <f t="shared" si="111"/>
        <v>0</v>
      </c>
      <c r="V345" s="72">
        <f t="shared" si="112"/>
        <v>0</v>
      </c>
      <c r="W345" s="72">
        <f t="shared" si="113"/>
        <v>0</v>
      </c>
      <c r="X345" s="72">
        <f t="shared" si="114"/>
        <v>0</v>
      </c>
      <c r="Y345" s="72">
        <f t="shared" si="115"/>
        <v>0</v>
      </c>
      <c r="Z345" s="72">
        <f t="shared" si="116"/>
        <v>0</v>
      </c>
      <c r="AA345" s="72">
        <f t="shared" si="117"/>
        <v>0</v>
      </c>
      <c r="AB345" s="72">
        <f t="shared" si="118"/>
        <v>0</v>
      </c>
      <c r="AC345" s="72">
        <f t="shared" si="119"/>
        <v>0</v>
      </c>
      <c r="AD345" s="72">
        <f t="shared" si="120"/>
        <v>0</v>
      </c>
      <c r="AE345" s="72">
        <f t="shared" si="121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1373</v>
      </c>
      <c r="E346" s="71" t="s">
        <v>1468</v>
      </c>
      <c r="F346" s="70"/>
      <c r="G346" s="70"/>
      <c r="H346" s="70"/>
      <c r="I346" s="70"/>
      <c r="J346" s="70"/>
      <c r="K346" s="72"/>
      <c r="L346" s="72">
        <f t="shared" si="102"/>
        <v>0</v>
      </c>
      <c r="M346" s="72">
        <f t="shared" si="103"/>
        <v>0</v>
      </c>
      <c r="N346" s="72">
        <f t="shared" si="104"/>
        <v>0</v>
      </c>
      <c r="O346" s="72">
        <f t="shared" si="105"/>
        <v>0</v>
      </c>
      <c r="P346" s="72">
        <f t="shared" si="106"/>
        <v>0</v>
      </c>
      <c r="Q346" s="72">
        <f t="shared" si="107"/>
        <v>0</v>
      </c>
      <c r="R346" s="72">
        <f t="shared" si="108"/>
        <v>0</v>
      </c>
      <c r="S346" s="72">
        <f t="shared" si="109"/>
        <v>0</v>
      </c>
      <c r="T346" s="72">
        <f t="shared" si="110"/>
        <v>0</v>
      </c>
      <c r="U346" s="72">
        <f t="shared" si="111"/>
        <v>0</v>
      </c>
      <c r="V346" s="72">
        <f t="shared" si="112"/>
        <v>0</v>
      </c>
      <c r="W346" s="72">
        <f t="shared" si="113"/>
        <v>0</v>
      </c>
      <c r="X346" s="72">
        <f t="shared" si="114"/>
        <v>0</v>
      </c>
      <c r="Y346" s="72">
        <f t="shared" si="115"/>
        <v>0</v>
      </c>
      <c r="Z346" s="72">
        <f t="shared" si="116"/>
        <v>0</v>
      </c>
      <c r="AA346" s="72">
        <f t="shared" si="117"/>
        <v>0</v>
      </c>
      <c r="AB346" s="72">
        <f t="shared" si="118"/>
        <v>0</v>
      </c>
      <c r="AC346" s="72">
        <f t="shared" si="119"/>
        <v>0</v>
      </c>
      <c r="AD346" s="72">
        <f t="shared" si="120"/>
        <v>0</v>
      </c>
      <c r="AE346" s="72">
        <f t="shared" si="121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1378</v>
      </c>
      <c r="E347" s="71" t="s">
        <v>1468</v>
      </c>
      <c r="F347" s="70"/>
      <c r="G347" s="70"/>
      <c r="H347" s="70"/>
      <c r="I347" s="70"/>
      <c r="J347" s="70"/>
      <c r="K347" s="72"/>
      <c r="L347" s="72">
        <f t="shared" si="102"/>
        <v>0.57123661061347031</v>
      </c>
      <c r="M347" s="72">
        <f t="shared" si="103"/>
        <v>0.58380381604696674</v>
      </c>
      <c r="N347" s="72">
        <f t="shared" si="104"/>
        <v>0.5966475</v>
      </c>
      <c r="O347" s="72">
        <f t="shared" si="105"/>
        <v>0.60977374500000003</v>
      </c>
      <c r="P347" s="72">
        <f t="shared" si="106"/>
        <v>0.62318876738999995</v>
      </c>
      <c r="Q347" s="72">
        <f t="shared" si="107"/>
        <v>0.6368989202725801</v>
      </c>
      <c r="R347" s="72">
        <f t="shared" si="108"/>
        <v>0.65091069651857669</v>
      </c>
      <c r="S347" s="72">
        <f t="shared" si="109"/>
        <v>0.66523073184198556</v>
      </c>
      <c r="T347" s="72">
        <f t="shared" si="110"/>
        <v>0.67986580794250906</v>
      </c>
      <c r="U347" s="72">
        <f t="shared" si="111"/>
        <v>0.69482285571724434</v>
      </c>
      <c r="V347" s="72">
        <f t="shared" si="112"/>
        <v>0.7101089585430238</v>
      </c>
      <c r="W347" s="72">
        <f t="shared" si="113"/>
        <v>0.72573135563097024</v>
      </c>
      <c r="X347" s="72">
        <f t="shared" si="114"/>
        <v>0.74169744545485172</v>
      </c>
      <c r="Y347" s="72">
        <f t="shared" si="115"/>
        <v>0.75801478925485843</v>
      </c>
      <c r="Z347" s="72">
        <f t="shared" si="116"/>
        <v>0.7746911146184654</v>
      </c>
      <c r="AA347" s="72">
        <f t="shared" si="117"/>
        <v>0.79173431914007153</v>
      </c>
      <c r="AB347" s="72">
        <f t="shared" si="118"/>
        <v>0.8091524741611531</v>
      </c>
      <c r="AC347" s="72">
        <f t="shared" si="119"/>
        <v>0.8269538285926985</v>
      </c>
      <c r="AD347" s="72">
        <f t="shared" si="120"/>
        <v>0.84514681282173787</v>
      </c>
      <c r="AE347" s="72">
        <f t="shared" si="121"/>
        <v>0.8637400427038161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1383</v>
      </c>
      <c r="E348" s="71" t="s">
        <v>1468</v>
      </c>
      <c r="F348" s="70"/>
      <c r="G348" s="70"/>
      <c r="H348" s="70"/>
      <c r="I348" s="70"/>
      <c r="J348" s="70"/>
      <c r="K348" s="72"/>
      <c r="L348" s="72">
        <f t="shared" si="102"/>
        <v>0.64621002403360217</v>
      </c>
      <c r="M348" s="72">
        <f t="shared" si="103"/>
        <v>0.68175157535545017</v>
      </c>
      <c r="N348" s="72">
        <f t="shared" si="104"/>
        <v>0.71924791200000004</v>
      </c>
      <c r="O348" s="72">
        <f t="shared" si="105"/>
        <v>0.75880654716000007</v>
      </c>
      <c r="P348" s="72">
        <f t="shared" si="106"/>
        <v>0.80054090725379989</v>
      </c>
      <c r="Q348" s="72">
        <f t="shared" si="107"/>
        <v>0.84457065715275881</v>
      </c>
      <c r="R348" s="72">
        <f t="shared" si="108"/>
        <v>0.89102204329616075</v>
      </c>
      <c r="S348" s="72">
        <f t="shared" si="109"/>
        <v>0.9400282556774493</v>
      </c>
      <c r="T348" s="72">
        <f t="shared" si="110"/>
        <v>0.99172980973970914</v>
      </c>
      <c r="U348" s="72">
        <f t="shared" si="111"/>
        <v>1.0462749492753931</v>
      </c>
      <c r="V348" s="72">
        <f t="shared" si="112"/>
        <v>1.1038200714855397</v>
      </c>
      <c r="W348" s="72">
        <f t="shared" si="113"/>
        <v>1.1645301754172441</v>
      </c>
      <c r="X348" s="72">
        <f t="shared" si="114"/>
        <v>1.2285793350651928</v>
      </c>
      <c r="Y348" s="72">
        <f t="shared" si="115"/>
        <v>1.2961511984937784</v>
      </c>
      <c r="Z348" s="72">
        <f t="shared" si="116"/>
        <v>1.3674395144109359</v>
      </c>
      <c r="AA348" s="72">
        <f t="shared" si="117"/>
        <v>1.4426486877035372</v>
      </c>
      <c r="AB348" s="72">
        <f t="shared" si="118"/>
        <v>1.5219943655272321</v>
      </c>
      <c r="AC348" s="72">
        <f t="shared" si="119"/>
        <v>1.6057040556312294</v>
      </c>
      <c r="AD348" s="72">
        <f t="shared" si="120"/>
        <v>1.6940177786909472</v>
      </c>
      <c r="AE348" s="72">
        <f t="shared" si="121"/>
        <v>1.787188756518949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1469</v>
      </c>
      <c r="E349" s="70"/>
      <c r="F349" s="70"/>
      <c r="G349" s="70"/>
      <c r="H349" s="70"/>
      <c r="I349" s="70"/>
      <c r="J349" s="70"/>
      <c r="K349" s="72"/>
      <c r="L349" s="72">
        <f t="shared" ref="L349:AE349" si="122">SUM(L341:L348)</f>
        <v>26.751620146588564</v>
      </c>
      <c r="M349" s="72">
        <f t="shared" si="122"/>
        <v>27.646438017449757</v>
      </c>
      <c r="N349" s="72">
        <f t="shared" si="122"/>
        <v>28.571608133999998</v>
      </c>
      <c r="O349" s="72">
        <f t="shared" si="122"/>
        <v>29.528179985927999</v>
      </c>
      <c r="P349" s="72">
        <f t="shared" si="122"/>
        <v>30.51724034213359</v>
      </c>
      <c r="Q349" s="72">
        <f t="shared" si="122"/>
        <v>31.539914624858142</v>
      </c>
      <c r="R349" s="72">
        <f t="shared" si="122"/>
        <v>32.597368336956968</v>
      </c>
      <c r="S349" s="72">
        <f t="shared" si="122"/>
        <v>33.690808544489862</v>
      </c>
      <c r="T349" s="72">
        <f t="shared" si="122"/>
        <v>34.821485416900551</v>
      </c>
      <c r="U349" s="72">
        <f t="shared" si="122"/>
        <v>35.990693827155241</v>
      </c>
      <c r="V349" s="72">
        <f t="shared" si="122"/>
        <v>37.199775014313673</v>
      </c>
      <c r="W349" s="72">
        <f t="shared" si="122"/>
        <v>38.450118311115105</v>
      </c>
      <c r="X349" s="72">
        <f t="shared" si="122"/>
        <v>39.743162939274711</v>
      </c>
      <c r="Y349" s="72">
        <f t="shared" si="122"/>
        <v>41.08039987530541</v>
      </c>
      <c r="Z349" s="72">
        <f t="shared" si="122"/>
        <v>42.463373789803505</v>
      </c>
      <c r="AA349" s="72">
        <f t="shared" si="122"/>
        <v>43.893685063268059</v>
      </c>
      <c r="AB349" s="72">
        <f t="shared" si="122"/>
        <v>45.372991881658805</v>
      </c>
      <c r="AC349" s="72">
        <f t="shared" si="122"/>
        <v>46.903012415041424</v>
      </c>
      <c r="AD349" s="72">
        <f t="shared" si="122"/>
        <v>48.485527082817555</v>
      </c>
      <c r="AE349" s="72">
        <f t="shared" si="122"/>
        <v>50.122380909193787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 t="s">
        <v>2013</v>
      </c>
      <c r="E350" s="70" t="s">
        <v>1854</v>
      </c>
      <c r="F350" s="70"/>
      <c r="G350" s="70" t="s">
        <v>1475</v>
      </c>
      <c r="H350" s="87" t="str">
        <f>Settings!$B$3&amp;".mit.cbobl0."&amp;$G350&amp;"."&amp;$J$5</f>
        <v>egy.mit.cbobl0.cbam.tot.1</v>
      </c>
      <c r="I350" s="70"/>
      <c r="J350" s="70"/>
      <c r="K350" s="72"/>
      <c r="L350" s="72">
        <f>SUMPRODUCT($I$276:$I$283*$N$276:$N$283*(1+$G$276:$G$283)^(L$274-$N$274)/($N$276:$N$283+($N$276:$N$283=0))*'Manual inputs'!L$81*'Manual inputs'!L$79*($F$330:$F$337+$G$330:$G$337))/1000</f>
        <v>0</v>
      </c>
      <c r="M350" s="72">
        <f>SUMPRODUCT($I$276:$I$283*$N$276:$N$283*(1+$G$276:$G$283)^(M$274-$N$274)/($N$276:$N$283+($N$276:$N$283=0))*'Manual inputs'!M$81*'Manual inputs'!M$79*($F$330:$F$337+$G$330:$G$337))/1000</f>
        <v>0</v>
      </c>
      <c r="N350" s="72">
        <f>SUMPRODUCT($I$276:$I$283*$N$276:$N$283*(1+$G$276:$G$283)^(N$274-$N$274)/($N$276:$N$283+($N$276:$N$283=0))*'Manual inputs'!N$81*'Manual inputs'!N$79*($F$330:$F$337+$G$330:$G$337))/1000</f>
        <v>0</v>
      </c>
      <c r="O350" s="72">
        <f>SUMPRODUCT($I$276:$I$283*$N$276:$N$283*(1+$G$276:$G$283)^(O$274-$N$274)/($N$276:$N$283+($N$276:$N$283=0))*'Manual inputs'!O$81*'Manual inputs'!O$79*($F$330:$F$337+$G$330:$G$337))/1000</f>
        <v>0</v>
      </c>
      <c r="P350" s="72">
        <f>SUMPRODUCT($I$276:$I$283*$N$276:$N$283*(1+$G$276:$G$283)^(P$274-$N$274)/($N$276:$N$283+($N$276:$N$283=0))*'Manual inputs'!P$81*'Manual inputs'!P$79*($F$330:$F$337+$G$330:$G$337))/1000</f>
        <v>5.3403962478246232</v>
      </c>
      <c r="Q350" s="72">
        <f>SUMPRODUCT($I$276:$I$283*$N$276:$N$283*(1+$G$276:$G$283)^(Q$274-$N$274)/($N$276:$N$283+($N$276:$N$283=0))*'Manual inputs'!Q$81*'Manual inputs'!Q$79*($F$330:$F$337+$G$330:$G$337))/1000</f>
        <v>11.078559094261385</v>
      </c>
      <c r="R350" s="72">
        <f>SUMPRODUCT($I$276:$I$283*$N$276:$N$283*(1+$G$276:$G$283)^(R$274-$N$274)/($N$276:$N$283+($N$276:$N$283=0))*'Manual inputs'!R$81*'Manual inputs'!R$79*($F$330:$F$337+$G$330:$G$337))/1000</f>
        <v>22.98530087521716</v>
      </c>
      <c r="S350" s="72">
        <f>SUMPRODUCT($I$276:$I$283*$N$276:$N$283*(1+$G$276:$G$283)^(S$274-$N$274)/($N$276:$N$283+($N$276:$N$283=0))*'Manual inputs'!S$81*'Manual inputs'!S$79*($F$330:$F$337+$G$330:$G$337))/1000</f>
        <v>53.657060396137581</v>
      </c>
      <c r="T350" s="72">
        <f>SUMPRODUCT($I$276:$I$283*$N$276:$N$283*(1+$G$276:$G$283)^(T$274-$N$274)/($N$276:$N$283+($N$276:$N$283=0))*'Manual inputs'!T$81*'Manual inputs'!T$79*($F$330:$F$337+$G$330:$G$337))/1000</f>
        <v>120.0155796747419</v>
      </c>
      <c r="U350" s="72">
        <f>SUMPRODUCT($I$276:$I$283*$N$276:$N$283*(1+$G$276:$G$283)^(U$274-$N$274)/($N$276:$N$283+($N$276:$N$283=0))*'Manual inputs'!U$81*'Manual inputs'!U$79*($F$330:$F$337+$G$330:$G$337))/1000</f>
        <v>156.65156177105959</v>
      </c>
      <c r="V350" s="72">
        <f>SUMPRODUCT($I$276:$I$283*$N$276:$N$283*(1+$G$276:$G$283)^(V$274-$N$274)/($N$276:$N$283+($N$276:$N$283=0))*'Manual inputs'!V$81*'Manual inputs'!V$79*($F$330:$F$337+$G$330:$G$337))/1000</f>
        <v>195.91099651311984</v>
      </c>
      <c r="W350" s="72">
        <f>SUMPRODUCT($I$276:$I$283*$N$276:$N$283*(1+$G$276:$G$283)^(W$274-$N$274)/($N$276:$N$283+($N$276:$N$283=0))*'Manual inputs'!W$81*'Manual inputs'!W$79*($F$330:$F$337+$G$330:$G$337))/1000</f>
        <v>237.95463678403516</v>
      </c>
      <c r="X350" s="72">
        <f>SUMPRODUCT($I$276:$I$283*$N$276:$N$283*(1+$G$276:$G$283)^(X$274-$N$274)/($N$276:$N$283+($N$276:$N$283=0))*'Manual inputs'!X$81*'Manual inputs'!X$79*($F$330:$F$337+$G$330:$G$337))/1000</f>
        <v>287.26169102231927</v>
      </c>
      <c r="Y350" s="72">
        <f>SUMPRODUCT($I$276:$I$283*$N$276:$N$283*(1+$G$276:$G$283)^(Y$274-$N$274)/($N$276:$N$283+($N$276:$N$283=0))*'Manual inputs'!Y$81*'Manual inputs'!Y$79*($F$330:$F$337+$G$330:$G$337))/1000</f>
        <v>298.27545824009263</v>
      </c>
      <c r="Z350" s="72">
        <f>SUMPRODUCT($I$276:$I$283*$N$276:$N$283*(1+$G$276:$G$283)^(Z$274-$N$274)/($N$276:$N$283+($N$276:$N$283=0))*'Manual inputs'!Z$81*'Manual inputs'!Z$79*($F$330:$F$337+$G$330:$G$337))/1000</f>
        <v>309.75277665421947</v>
      </c>
      <c r="AA350" s="72">
        <f>SUMPRODUCT($I$276:$I$283*$N$276:$N$283*(1+$G$276:$G$283)^(AA$274-$N$274)/($N$276:$N$283+($N$276:$N$283=0))*'Manual inputs'!AA$81*'Manual inputs'!AA$79*($F$330:$F$337+$G$330:$G$337))/1000</f>
        <v>321.71463909494184</v>
      </c>
      <c r="AB350" s="72">
        <f>SUMPRODUCT($I$276:$I$283*$N$276:$N$283*(1+$G$276:$G$283)^(AB$274-$N$274)/($N$276:$N$283+($N$276:$N$283=0))*'Manual inputs'!AB$81*'Manual inputs'!AB$79*($F$330:$F$337+$G$330:$G$337))/1000</f>
        <v>334.1830417601422</v>
      </c>
      <c r="AC350" s="72">
        <f>SUMPRODUCT($I$276:$I$283*$N$276:$N$283*(1+$G$276:$G$283)^(AC$274-$N$274)/($N$276:$N$283+($N$276:$N$283=0))*'Manual inputs'!AC$81*'Manual inputs'!AC$79*($F$330:$F$337+$G$330:$G$337))/1000</f>
        <v>347.18103405019116</v>
      </c>
      <c r="AD350" s="72">
        <f>SUMPRODUCT($I$276:$I$283*$N$276:$N$283*(1+$G$276:$G$283)^(AD$274-$N$274)/($N$276:$N$283+($N$276:$N$283=0))*'Manual inputs'!AD$81*'Manual inputs'!AD$79*($F$330:$F$337+$G$330:$G$337))/1000</f>
        <v>360.73277094599149</v>
      </c>
      <c r="AE350" s="72">
        <f>SUMPRODUCT($I$276:$I$283*$N$276:$N$283*(1+$G$276:$G$283)^(AE$274-$N$274)/($N$276:$N$283+($N$276:$N$283=0))*'Manual inputs'!AE$81*'Manual inputs'!AE$79*($F$330:$F$337+$G$330:$G$337))/1000</f>
        <v>374.86356806252212</v>
      </c>
      <c r="AF350" s="70"/>
      <c r="AG350" s="70"/>
      <c r="AH350" s="70"/>
      <c r="AI350" s="70"/>
    </row>
    <row r="351" spans="1:35" x14ac:dyDescent="0.45">
      <c r="A351" s="70"/>
      <c r="B351" s="52"/>
      <c r="C351" s="73" t="s">
        <v>1471</v>
      </c>
      <c r="D351" s="73"/>
      <c r="E351" s="72" t="s">
        <v>1472</v>
      </c>
      <c r="F351" s="72" t="s">
        <v>1390</v>
      </c>
      <c r="G351" s="72" t="s">
        <v>1473</v>
      </c>
      <c r="H351" s="74"/>
      <c r="I351" s="74"/>
      <c r="J351" s="74"/>
      <c r="K351" s="74"/>
      <c r="L351" s="74">
        <f t="shared" ref="L351:AE351" si="123">L298</f>
        <v>2022</v>
      </c>
      <c r="M351" s="74">
        <f t="shared" si="123"/>
        <v>2023</v>
      </c>
      <c r="N351" s="74">
        <f t="shared" si="123"/>
        <v>2024</v>
      </c>
      <c r="O351" s="74">
        <f t="shared" si="123"/>
        <v>2025</v>
      </c>
      <c r="P351" s="74">
        <f t="shared" si="123"/>
        <v>2026</v>
      </c>
      <c r="Q351" s="74">
        <f t="shared" si="123"/>
        <v>2027</v>
      </c>
      <c r="R351" s="74">
        <f t="shared" si="123"/>
        <v>2028</v>
      </c>
      <c r="S351" s="74">
        <f t="shared" si="123"/>
        <v>2029</v>
      </c>
      <c r="T351" s="74">
        <f t="shared" si="123"/>
        <v>2030</v>
      </c>
      <c r="U351" s="74">
        <f t="shared" si="123"/>
        <v>2031</v>
      </c>
      <c r="V351" s="74">
        <f t="shared" si="123"/>
        <v>2032</v>
      </c>
      <c r="W351" s="74">
        <f t="shared" si="123"/>
        <v>2033</v>
      </c>
      <c r="X351" s="74">
        <f t="shared" si="123"/>
        <v>2034</v>
      </c>
      <c r="Y351" s="74">
        <f t="shared" si="123"/>
        <v>2035</v>
      </c>
      <c r="Z351" s="74">
        <f t="shared" si="123"/>
        <v>2036</v>
      </c>
      <c r="AA351" s="74">
        <f t="shared" si="123"/>
        <v>2037</v>
      </c>
      <c r="AB351" s="74">
        <f t="shared" si="123"/>
        <v>2038</v>
      </c>
      <c r="AC351" s="74">
        <f t="shared" si="123"/>
        <v>2039</v>
      </c>
      <c r="AD351" s="74">
        <f t="shared" si="123"/>
        <v>2040</v>
      </c>
      <c r="AE351" s="74">
        <f t="shared" si="123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24">L330*(EXP(-($E352)*(L249))-1)</f>
        <v>0</v>
      </c>
      <c r="M352" s="72">
        <f t="shared" si="124"/>
        <v>0</v>
      </c>
      <c r="N352" s="72">
        <f t="shared" si="124"/>
        <v>0</v>
      </c>
      <c r="O352" s="72">
        <f t="shared" si="124"/>
        <v>0</v>
      </c>
      <c r="P352" s="72">
        <f t="shared" si="124"/>
        <v>0</v>
      </c>
      <c r="Q352" s="72">
        <f t="shared" si="124"/>
        <v>0</v>
      </c>
      <c r="R352" s="72">
        <f t="shared" si="124"/>
        <v>0</v>
      </c>
      <c r="S352" s="72">
        <f t="shared" si="124"/>
        <v>0</v>
      </c>
      <c r="T352" s="72">
        <f t="shared" si="124"/>
        <v>0</v>
      </c>
      <c r="U352" s="72">
        <f t="shared" si="124"/>
        <v>0</v>
      </c>
      <c r="V352" s="72">
        <f t="shared" si="124"/>
        <v>0</v>
      </c>
      <c r="W352" s="72">
        <f t="shared" si="124"/>
        <v>0</v>
      </c>
      <c r="X352" s="72">
        <f t="shared" si="124"/>
        <v>0</v>
      </c>
      <c r="Y352" s="72">
        <f t="shared" si="124"/>
        <v>0</v>
      </c>
      <c r="Z352" s="72">
        <f t="shared" si="124"/>
        <v>0</v>
      </c>
      <c r="AA352" s="72">
        <f t="shared" si="124"/>
        <v>0</v>
      </c>
      <c r="AB352" s="72">
        <f t="shared" si="124"/>
        <v>0</v>
      </c>
      <c r="AC352" s="72">
        <f t="shared" si="124"/>
        <v>0</v>
      </c>
      <c r="AD352" s="72">
        <f t="shared" si="124"/>
        <v>0</v>
      </c>
      <c r="AE352" s="72">
        <f t="shared" si="124"/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1355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25">L331*(EXP(-($E353)*(L249))-1)</f>
        <v>0</v>
      </c>
      <c r="M353" s="72">
        <f t="shared" si="125"/>
        <v>0</v>
      </c>
      <c r="N353" s="72">
        <f t="shared" si="125"/>
        <v>0</v>
      </c>
      <c r="O353" s="72">
        <f t="shared" si="125"/>
        <v>0</v>
      </c>
      <c r="P353" s="72">
        <f t="shared" si="125"/>
        <v>0</v>
      </c>
      <c r="Q353" s="72">
        <f t="shared" si="125"/>
        <v>0</v>
      </c>
      <c r="R353" s="72">
        <f t="shared" si="125"/>
        <v>0</v>
      </c>
      <c r="S353" s="72">
        <f t="shared" si="125"/>
        <v>0</v>
      </c>
      <c r="T353" s="72">
        <f t="shared" si="125"/>
        <v>0</v>
      </c>
      <c r="U353" s="72">
        <f t="shared" si="125"/>
        <v>0</v>
      </c>
      <c r="V353" s="72">
        <f t="shared" si="125"/>
        <v>0</v>
      </c>
      <c r="W353" s="72">
        <f t="shared" si="125"/>
        <v>0</v>
      </c>
      <c r="X353" s="72">
        <f t="shared" si="125"/>
        <v>0</v>
      </c>
      <c r="Y353" s="72">
        <f t="shared" si="125"/>
        <v>0</v>
      </c>
      <c r="Z353" s="72">
        <f t="shared" si="125"/>
        <v>0</v>
      </c>
      <c r="AA353" s="72">
        <f t="shared" si="125"/>
        <v>0</v>
      </c>
      <c r="AB353" s="72">
        <f t="shared" si="125"/>
        <v>0</v>
      </c>
      <c r="AC353" s="72">
        <f t="shared" si="125"/>
        <v>0</v>
      </c>
      <c r="AD353" s="72">
        <f t="shared" si="125"/>
        <v>0</v>
      </c>
      <c r="AE353" s="72">
        <f t="shared" si="125"/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1391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26">L332*(EXP(-($E354)*(L249))-1)</f>
        <v>0</v>
      </c>
      <c r="M354" s="72">
        <f t="shared" si="126"/>
        <v>0</v>
      </c>
      <c r="N354" s="72">
        <f t="shared" si="126"/>
        <v>0</v>
      </c>
      <c r="O354" s="72">
        <f t="shared" si="126"/>
        <v>0</v>
      </c>
      <c r="P354" s="72">
        <f t="shared" si="126"/>
        <v>0</v>
      </c>
      <c r="Q354" s="72">
        <f t="shared" si="126"/>
        <v>0</v>
      </c>
      <c r="R354" s="72">
        <f t="shared" si="126"/>
        <v>0</v>
      </c>
      <c r="S354" s="72">
        <f t="shared" si="126"/>
        <v>0</v>
      </c>
      <c r="T354" s="72">
        <f t="shared" si="126"/>
        <v>0</v>
      </c>
      <c r="U354" s="72">
        <f t="shared" si="126"/>
        <v>0</v>
      </c>
      <c r="V354" s="72">
        <f t="shared" si="126"/>
        <v>0</v>
      </c>
      <c r="W354" s="72">
        <f t="shared" si="126"/>
        <v>0</v>
      </c>
      <c r="X354" s="72">
        <f t="shared" si="126"/>
        <v>0</v>
      </c>
      <c r="Y354" s="72">
        <f t="shared" si="126"/>
        <v>0</v>
      </c>
      <c r="Z354" s="72">
        <f t="shared" si="126"/>
        <v>0</v>
      </c>
      <c r="AA354" s="72">
        <f t="shared" si="126"/>
        <v>0</v>
      </c>
      <c r="AB354" s="72">
        <f t="shared" si="126"/>
        <v>0</v>
      </c>
      <c r="AC354" s="72">
        <f t="shared" si="126"/>
        <v>0</v>
      </c>
      <c r="AD354" s="72">
        <f t="shared" si="126"/>
        <v>0</v>
      </c>
      <c r="AE354" s="72">
        <f t="shared" si="126"/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1392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27">L333*(EXP(-($E355)*(L249))-1)</f>
        <v>0</v>
      </c>
      <c r="M355" s="72">
        <f t="shared" si="127"/>
        <v>0</v>
      </c>
      <c r="N355" s="72">
        <f t="shared" si="127"/>
        <v>0</v>
      </c>
      <c r="O355" s="72">
        <f t="shared" si="127"/>
        <v>0</v>
      </c>
      <c r="P355" s="72">
        <f t="shared" si="127"/>
        <v>0</v>
      </c>
      <c r="Q355" s="72">
        <f t="shared" si="127"/>
        <v>0</v>
      </c>
      <c r="R355" s="72">
        <f t="shared" si="127"/>
        <v>0</v>
      </c>
      <c r="S355" s="72">
        <f t="shared" si="127"/>
        <v>0</v>
      </c>
      <c r="T355" s="72">
        <f t="shared" si="127"/>
        <v>0</v>
      </c>
      <c r="U355" s="72">
        <f t="shared" si="127"/>
        <v>0</v>
      </c>
      <c r="V355" s="72">
        <f t="shared" si="127"/>
        <v>0</v>
      </c>
      <c r="W355" s="72">
        <f t="shared" si="127"/>
        <v>0</v>
      </c>
      <c r="X355" s="72">
        <f t="shared" si="127"/>
        <v>0</v>
      </c>
      <c r="Y355" s="72">
        <f t="shared" si="127"/>
        <v>0</v>
      </c>
      <c r="Z355" s="72">
        <f t="shared" si="127"/>
        <v>0</v>
      </c>
      <c r="AA355" s="72">
        <f t="shared" si="127"/>
        <v>0</v>
      </c>
      <c r="AB355" s="72">
        <f t="shared" si="127"/>
        <v>0</v>
      </c>
      <c r="AC355" s="72">
        <f t="shared" si="127"/>
        <v>0</v>
      </c>
      <c r="AD355" s="72">
        <f t="shared" si="127"/>
        <v>0</v>
      </c>
      <c r="AE355" s="72">
        <f t="shared" si="127"/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1393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28">L334*(EXP(-($E356)*(L249))-1)</f>
        <v>0</v>
      </c>
      <c r="M356" s="72">
        <f t="shared" si="128"/>
        <v>0</v>
      </c>
      <c r="N356" s="72">
        <f t="shared" si="128"/>
        <v>0</v>
      </c>
      <c r="O356" s="72">
        <f t="shared" si="128"/>
        <v>0</v>
      </c>
      <c r="P356" s="72">
        <f t="shared" si="128"/>
        <v>0</v>
      </c>
      <c r="Q356" s="72">
        <f t="shared" si="128"/>
        <v>0</v>
      </c>
      <c r="R356" s="72">
        <f t="shared" si="128"/>
        <v>0</v>
      </c>
      <c r="S356" s="72">
        <f t="shared" si="128"/>
        <v>0</v>
      </c>
      <c r="T356" s="72">
        <f t="shared" si="128"/>
        <v>0</v>
      </c>
      <c r="U356" s="72">
        <f t="shared" si="128"/>
        <v>0</v>
      </c>
      <c r="V356" s="72">
        <f t="shared" si="128"/>
        <v>0</v>
      </c>
      <c r="W356" s="72">
        <f t="shared" si="128"/>
        <v>0</v>
      </c>
      <c r="X356" s="72">
        <f t="shared" si="128"/>
        <v>0</v>
      </c>
      <c r="Y356" s="72">
        <f t="shared" si="128"/>
        <v>0</v>
      </c>
      <c r="Z356" s="72">
        <f t="shared" si="128"/>
        <v>0</v>
      </c>
      <c r="AA356" s="72">
        <f t="shared" si="128"/>
        <v>0</v>
      </c>
      <c r="AB356" s="72">
        <f t="shared" si="128"/>
        <v>0</v>
      </c>
      <c r="AC356" s="72">
        <f t="shared" si="128"/>
        <v>0</v>
      </c>
      <c r="AD356" s="72">
        <f t="shared" si="128"/>
        <v>0</v>
      </c>
      <c r="AE356" s="72">
        <f t="shared" si="128"/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1373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29">L335*(EXP(-($E357)*(L249))-1)</f>
        <v>0</v>
      </c>
      <c r="M357" s="72">
        <f t="shared" si="129"/>
        <v>0</v>
      </c>
      <c r="N357" s="72">
        <f t="shared" si="129"/>
        <v>0</v>
      </c>
      <c r="O357" s="72">
        <f t="shared" si="129"/>
        <v>0</v>
      </c>
      <c r="P357" s="72">
        <f t="shared" si="129"/>
        <v>0</v>
      </c>
      <c r="Q357" s="72">
        <f t="shared" si="129"/>
        <v>0</v>
      </c>
      <c r="R357" s="72">
        <f t="shared" si="129"/>
        <v>0</v>
      </c>
      <c r="S357" s="72">
        <f t="shared" si="129"/>
        <v>0</v>
      </c>
      <c r="T357" s="72">
        <f t="shared" si="129"/>
        <v>0</v>
      </c>
      <c r="U357" s="72">
        <f t="shared" si="129"/>
        <v>0</v>
      </c>
      <c r="V357" s="72">
        <f t="shared" si="129"/>
        <v>0</v>
      </c>
      <c r="W357" s="72">
        <f t="shared" si="129"/>
        <v>0</v>
      </c>
      <c r="X357" s="72">
        <f t="shared" si="129"/>
        <v>0</v>
      </c>
      <c r="Y357" s="72">
        <f t="shared" si="129"/>
        <v>0</v>
      </c>
      <c r="Z357" s="72">
        <f t="shared" si="129"/>
        <v>0</v>
      </c>
      <c r="AA357" s="72">
        <f t="shared" si="129"/>
        <v>0</v>
      </c>
      <c r="AB357" s="72">
        <f t="shared" si="129"/>
        <v>0</v>
      </c>
      <c r="AC357" s="72">
        <f t="shared" si="129"/>
        <v>0</v>
      </c>
      <c r="AD357" s="72">
        <f t="shared" si="129"/>
        <v>0</v>
      </c>
      <c r="AE357" s="72">
        <f t="shared" si="129"/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1394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30">L336*(EXP(-($E358)*(L249))-1)</f>
        <v>0</v>
      </c>
      <c r="M358" s="72">
        <f t="shared" si="130"/>
        <v>0</v>
      </c>
      <c r="N358" s="72">
        <f t="shared" si="130"/>
        <v>0</v>
      </c>
      <c r="O358" s="72">
        <f t="shared" si="130"/>
        <v>0</v>
      </c>
      <c r="P358" s="72">
        <f t="shared" si="130"/>
        <v>0</v>
      </c>
      <c r="Q358" s="72">
        <f t="shared" si="130"/>
        <v>0</v>
      </c>
      <c r="R358" s="72">
        <f t="shared" si="130"/>
        <v>0</v>
      </c>
      <c r="S358" s="72">
        <f t="shared" si="130"/>
        <v>0</v>
      </c>
      <c r="T358" s="72">
        <f t="shared" si="130"/>
        <v>0</v>
      </c>
      <c r="U358" s="72">
        <f t="shared" si="130"/>
        <v>0</v>
      </c>
      <c r="V358" s="72">
        <f t="shared" si="130"/>
        <v>0</v>
      </c>
      <c r="W358" s="72">
        <f t="shared" si="130"/>
        <v>0</v>
      </c>
      <c r="X358" s="72">
        <f t="shared" si="130"/>
        <v>0</v>
      </c>
      <c r="Y358" s="72">
        <f t="shared" si="130"/>
        <v>0</v>
      </c>
      <c r="Z358" s="72">
        <f t="shared" si="130"/>
        <v>0</v>
      </c>
      <c r="AA358" s="72">
        <f t="shared" si="130"/>
        <v>0</v>
      </c>
      <c r="AB358" s="72">
        <f t="shared" si="130"/>
        <v>0</v>
      </c>
      <c r="AC358" s="72">
        <f t="shared" si="130"/>
        <v>0</v>
      </c>
      <c r="AD358" s="72">
        <f t="shared" si="130"/>
        <v>0</v>
      </c>
      <c r="AE358" s="72">
        <f t="shared" si="130"/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1383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31">L337*(EXP(-($E359)*(L249))-1)</f>
        <v>0</v>
      </c>
      <c r="M359" s="72">
        <f t="shared" si="131"/>
        <v>0</v>
      </c>
      <c r="N359" s="72">
        <f t="shared" si="131"/>
        <v>0</v>
      </c>
      <c r="O359" s="72">
        <f t="shared" si="131"/>
        <v>0</v>
      </c>
      <c r="P359" s="72">
        <f t="shared" si="131"/>
        <v>0</v>
      </c>
      <c r="Q359" s="72">
        <f t="shared" si="131"/>
        <v>0</v>
      </c>
      <c r="R359" s="72">
        <f t="shared" si="131"/>
        <v>0</v>
      </c>
      <c r="S359" s="72">
        <f t="shared" si="131"/>
        <v>0</v>
      </c>
      <c r="T359" s="72">
        <f t="shared" si="131"/>
        <v>0</v>
      </c>
      <c r="U359" s="72">
        <f t="shared" si="131"/>
        <v>0</v>
      </c>
      <c r="V359" s="72">
        <f t="shared" si="131"/>
        <v>0</v>
      </c>
      <c r="W359" s="72">
        <f t="shared" si="131"/>
        <v>0</v>
      </c>
      <c r="X359" s="72">
        <f t="shared" si="131"/>
        <v>0</v>
      </c>
      <c r="Y359" s="72">
        <f t="shared" si="131"/>
        <v>0</v>
      </c>
      <c r="Z359" s="72">
        <f t="shared" si="131"/>
        <v>0</v>
      </c>
      <c r="AA359" s="72">
        <f t="shared" si="131"/>
        <v>0</v>
      </c>
      <c r="AB359" s="72">
        <f t="shared" si="131"/>
        <v>0</v>
      </c>
      <c r="AC359" s="72">
        <f t="shared" si="131"/>
        <v>0</v>
      </c>
      <c r="AD359" s="72">
        <f t="shared" si="131"/>
        <v>0</v>
      </c>
      <c r="AE359" s="72">
        <f t="shared" si="131"/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 t="s">
        <v>111</v>
      </c>
      <c r="E360" s="72"/>
      <c r="F360" s="72"/>
      <c r="G360" s="70" t="s">
        <v>1475</v>
      </c>
      <c r="H360" s="87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32">SUM(L352:L359)</f>
        <v>0</v>
      </c>
      <c r="M360" s="72">
        <f t="shared" si="132"/>
        <v>0</v>
      </c>
      <c r="N360" s="72">
        <f t="shared" si="132"/>
        <v>0</v>
      </c>
      <c r="O360" s="72">
        <f t="shared" si="132"/>
        <v>0</v>
      </c>
      <c r="P360" s="72">
        <f t="shared" si="132"/>
        <v>0</v>
      </c>
      <c r="Q360" s="72">
        <f t="shared" si="132"/>
        <v>0</v>
      </c>
      <c r="R360" s="72">
        <f t="shared" si="132"/>
        <v>0</v>
      </c>
      <c r="S360" s="72">
        <f t="shared" si="132"/>
        <v>0</v>
      </c>
      <c r="T360" s="72">
        <f t="shared" si="132"/>
        <v>0</v>
      </c>
      <c r="U360" s="72">
        <f t="shared" si="132"/>
        <v>0</v>
      </c>
      <c r="V360" s="72">
        <f t="shared" si="132"/>
        <v>0</v>
      </c>
      <c r="W360" s="72">
        <f t="shared" si="132"/>
        <v>0</v>
      </c>
      <c r="X360" s="72">
        <f t="shared" si="132"/>
        <v>0</v>
      </c>
      <c r="Y360" s="72">
        <f t="shared" si="132"/>
        <v>0</v>
      </c>
      <c r="Z360" s="72">
        <f t="shared" si="132"/>
        <v>0</v>
      </c>
      <c r="AA360" s="72">
        <f t="shared" si="132"/>
        <v>0</v>
      </c>
      <c r="AB360" s="72">
        <f t="shared" si="132"/>
        <v>0</v>
      </c>
      <c r="AC360" s="72">
        <f t="shared" si="132"/>
        <v>0</v>
      </c>
      <c r="AD360" s="72">
        <f t="shared" si="132"/>
        <v>0</v>
      </c>
      <c r="AE360" s="72">
        <f t="shared" si="132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72" t="s">
        <v>2014</v>
      </c>
      <c r="E361" s="72" t="s">
        <v>79</v>
      </c>
      <c r="F361" s="72"/>
      <c r="G361" s="70" t="s">
        <v>1475</v>
      </c>
      <c r="H361" s="87" t="str">
        <f>Settings!$B$3&amp;".mit.cbobch."&amp;$G361&amp;"."&amp;$J$5</f>
        <v>egy.mit.cbobch.cbam.tot.1</v>
      </c>
      <c r="I361" s="72"/>
      <c r="J361" s="72"/>
      <c r="K361" s="72"/>
      <c r="L361" s="101">
        <f t="shared" ref="L361:AE361" si="133">IF(L$350=0,0,L$339/L$350-1)</f>
        <v>0</v>
      </c>
      <c r="M361" s="101">
        <f t="shared" si="133"/>
        <v>0</v>
      </c>
      <c r="N361" s="101">
        <f t="shared" si="133"/>
        <v>0</v>
      </c>
      <c r="O361" s="101">
        <f t="shared" si="133"/>
        <v>0</v>
      </c>
      <c r="P361" s="101">
        <f t="shared" si="133"/>
        <v>0</v>
      </c>
      <c r="Q361" s="101">
        <f t="shared" si="133"/>
        <v>0</v>
      </c>
      <c r="R361" s="101">
        <f t="shared" si="133"/>
        <v>2.2204460492503131E-16</v>
      </c>
      <c r="S361" s="101">
        <f t="shared" si="133"/>
        <v>2.2204460492503131E-16</v>
      </c>
      <c r="T361" s="101">
        <f t="shared" si="133"/>
        <v>2.2204460492503131E-16</v>
      </c>
      <c r="U361" s="101">
        <f t="shared" si="133"/>
        <v>0</v>
      </c>
      <c r="V361" s="101">
        <f t="shared" si="133"/>
        <v>2.2204460492503131E-16</v>
      </c>
      <c r="W361" s="101">
        <f t="shared" si="133"/>
        <v>-1.1102230246251565E-16</v>
      </c>
      <c r="X361" s="101">
        <f t="shared" si="133"/>
        <v>2.2204460492503131E-16</v>
      </c>
      <c r="Y361" s="101">
        <f t="shared" si="133"/>
        <v>0</v>
      </c>
      <c r="Z361" s="101">
        <f t="shared" si="133"/>
        <v>2.2204460492503131E-16</v>
      </c>
      <c r="AA361" s="101">
        <f t="shared" si="133"/>
        <v>0</v>
      </c>
      <c r="AB361" s="101">
        <f t="shared" si="133"/>
        <v>2.2204460492503131E-16</v>
      </c>
      <c r="AC361" s="101">
        <f t="shared" si="133"/>
        <v>0</v>
      </c>
      <c r="AD361" s="101">
        <f t="shared" si="133"/>
        <v>0</v>
      </c>
      <c r="AE361" s="101">
        <f t="shared" si="133"/>
        <v>-3.3306690738754696E-16</v>
      </c>
      <c r="AF361" s="70"/>
      <c r="AG361" s="70"/>
      <c r="AH361" s="70"/>
      <c r="AI361" s="70"/>
    </row>
    <row r="362" spans="1:35" x14ac:dyDescent="0.45">
      <c r="A362" s="70"/>
      <c r="B362" s="52"/>
      <c r="C362" s="73" t="s">
        <v>1474</v>
      </c>
      <c r="D362" s="73"/>
      <c r="E362" s="72" t="s">
        <v>1953</v>
      </c>
      <c r="F362" s="72" t="s">
        <v>1954</v>
      </c>
      <c r="G362" s="72" t="s">
        <v>1955</v>
      </c>
      <c r="H362" s="74" t="s">
        <v>1956</v>
      </c>
      <c r="I362" s="74"/>
      <c r="J362" s="74"/>
      <c r="K362" s="74"/>
      <c r="L362" s="74">
        <f t="shared" ref="L362:AE362" si="134">L309</f>
        <v>2022</v>
      </c>
      <c r="M362" s="74">
        <f t="shared" si="134"/>
        <v>2023</v>
      </c>
      <c r="N362" s="74">
        <f t="shared" si="134"/>
        <v>2024</v>
      </c>
      <c r="O362" s="74">
        <f t="shared" si="134"/>
        <v>2025</v>
      </c>
      <c r="P362" s="74">
        <f t="shared" si="134"/>
        <v>2026</v>
      </c>
      <c r="Q362" s="74">
        <f t="shared" si="134"/>
        <v>2027</v>
      </c>
      <c r="R362" s="74">
        <f t="shared" si="134"/>
        <v>2028</v>
      </c>
      <c r="S362" s="74">
        <f t="shared" si="134"/>
        <v>2029</v>
      </c>
      <c r="T362" s="74">
        <f t="shared" si="134"/>
        <v>2030</v>
      </c>
      <c r="U362" s="74">
        <f t="shared" si="134"/>
        <v>2031</v>
      </c>
      <c r="V362" s="74">
        <f t="shared" si="134"/>
        <v>2032</v>
      </c>
      <c r="W362" s="74">
        <f t="shared" si="134"/>
        <v>2033</v>
      </c>
      <c r="X362" s="74">
        <f t="shared" si="134"/>
        <v>2034</v>
      </c>
      <c r="Y362" s="74">
        <f t="shared" si="134"/>
        <v>2035</v>
      </c>
      <c r="Z362" s="74">
        <f t="shared" si="134"/>
        <v>2036</v>
      </c>
      <c r="AA362" s="74">
        <f t="shared" si="134"/>
        <v>2037</v>
      </c>
      <c r="AB362" s="74">
        <f t="shared" si="134"/>
        <v>2038</v>
      </c>
      <c r="AC362" s="74">
        <f t="shared" si="134"/>
        <v>2039</v>
      </c>
      <c r="AD362" s="74">
        <f t="shared" si="134"/>
        <v>2040</v>
      </c>
      <c r="AE362" s="74">
        <f t="shared" si="134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71">
        <f>'Manual inputs'!T$53</f>
        <v>3.4469507031574592E-3</v>
      </c>
      <c r="F363" s="78">
        <f>'Manual inputs'!U$53</f>
        <v>1</v>
      </c>
      <c r="G363" s="71">
        <f>'Manual inputs'!V$53</f>
        <v>0</v>
      </c>
      <c r="H363" s="78">
        <f>'Manual inputs'!W$53</f>
        <v>0</v>
      </c>
      <c r="I363" s="70" t="s">
        <v>2885</v>
      </c>
      <c r="J363" s="70"/>
      <c r="K363" s="70"/>
      <c r="L363" s="72">
        <f t="shared" ref="L363:AE363" si="135">-L$276/1000*($J$273*MAX($J$264,0)*$F363*(1-EXP(-$E363*($F$310*L$308+$G$310*L$248+L$249)))+$K$273*MAX($K$264,0)*$H363*(1-EXP(-$G363*($F$310*L$308+$G$310*L$248+L$249))))</f>
        <v>0</v>
      </c>
      <c r="M363" s="72">
        <f t="shared" si="135"/>
        <v>0</v>
      </c>
      <c r="N363" s="72">
        <f t="shared" si="135"/>
        <v>0</v>
      </c>
      <c r="O363" s="72">
        <f t="shared" si="135"/>
        <v>0</v>
      </c>
      <c r="P363" s="72">
        <f t="shared" si="135"/>
        <v>0</v>
      </c>
      <c r="Q363" s="72">
        <f t="shared" si="135"/>
        <v>0</v>
      </c>
      <c r="R363" s="72">
        <f t="shared" si="135"/>
        <v>0</v>
      </c>
      <c r="S363" s="72">
        <f t="shared" si="135"/>
        <v>0</v>
      </c>
      <c r="T363" s="72">
        <f t="shared" si="135"/>
        <v>0</v>
      </c>
      <c r="U363" s="72">
        <f t="shared" si="135"/>
        <v>0</v>
      </c>
      <c r="V363" s="72">
        <f t="shared" si="135"/>
        <v>0</v>
      </c>
      <c r="W363" s="72">
        <f t="shared" si="135"/>
        <v>0</v>
      </c>
      <c r="X363" s="72">
        <f t="shared" si="135"/>
        <v>0</v>
      </c>
      <c r="Y363" s="72">
        <f t="shared" si="135"/>
        <v>0</v>
      </c>
      <c r="Z363" s="72">
        <f t="shared" si="135"/>
        <v>0</v>
      </c>
      <c r="AA363" s="72">
        <f t="shared" si="135"/>
        <v>0</v>
      </c>
      <c r="AB363" s="72">
        <f t="shared" si="135"/>
        <v>0</v>
      </c>
      <c r="AC363" s="72">
        <f t="shared" si="135"/>
        <v>0</v>
      </c>
      <c r="AD363" s="72">
        <f t="shared" si="135"/>
        <v>0</v>
      </c>
      <c r="AE363" s="72">
        <f t="shared" si="135"/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1355</v>
      </c>
      <c r="E364" s="71">
        <f>'Manual inputs'!T$54</f>
        <v>1.6366491404021942E-3</v>
      </c>
      <c r="F364" s="78">
        <f>'Manual inputs'!U$54</f>
        <v>1</v>
      </c>
      <c r="G364" s="71">
        <f>'Manual inputs'!V$54</f>
        <v>0</v>
      </c>
      <c r="H364" s="78">
        <f>'Manual inputs'!W$54</f>
        <v>0</v>
      </c>
      <c r="I364" s="70"/>
      <c r="J364" s="70"/>
      <c r="K364" s="70"/>
      <c r="L364" s="72">
        <f t="shared" ref="L364:AE364" si="136">-L$277/1000*($J$273*MAX($J$265,0)*$F364*(1-EXP(-$E364*($F$311*L$308+$G$311*L$248+L$249)))+$K$273*MAX($K$265,0)*$H364*(1-EXP(-$G364*($F$311*L$308+$G$311*L$248+L$249))))</f>
        <v>0</v>
      </c>
      <c r="M364" s="72">
        <f t="shared" si="136"/>
        <v>0</v>
      </c>
      <c r="N364" s="72">
        <f t="shared" si="136"/>
        <v>0</v>
      </c>
      <c r="O364" s="72">
        <f t="shared" si="136"/>
        <v>0</v>
      </c>
      <c r="P364" s="72">
        <f t="shared" si="136"/>
        <v>0</v>
      </c>
      <c r="Q364" s="72">
        <f t="shared" si="136"/>
        <v>0</v>
      </c>
      <c r="R364" s="72">
        <f t="shared" si="136"/>
        <v>0</v>
      </c>
      <c r="S364" s="72">
        <f t="shared" si="136"/>
        <v>0</v>
      </c>
      <c r="T364" s="72">
        <f t="shared" si="136"/>
        <v>0</v>
      </c>
      <c r="U364" s="72">
        <f t="shared" si="136"/>
        <v>0</v>
      </c>
      <c r="V364" s="72">
        <f t="shared" si="136"/>
        <v>0</v>
      </c>
      <c r="W364" s="72">
        <f t="shared" si="136"/>
        <v>0</v>
      </c>
      <c r="X364" s="72">
        <f t="shared" si="136"/>
        <v>0</v>
      </c>
      <c r="Y364" s="72">
        <f t="shared" si="136"/>
        <v>0</v>
      </c>
      <c r="Z364" s="72">
        <f t="shared" si="136"/>
        <v>0</v>
      </c>
      <c r="AA364" s="72">
        <f t="shared" si="136"/>
        <v>0</v>
      </c>
      <c r="AB364" s="72">
        <f t="shared" si="136"/>
        <v>0</v>
      </c>
      <c r="AC364" s="72">
        <f t="shared" si="136"/>
        <v>0</v>
      </c>
      <c r="AD364" s="72">
        <f t="shared" si="136"/>
        <v>0</v>
      </c>
      <c r="AE364" s="72">
        <f t="shared" si="136"/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1391</v>
      </c>
      <c r="E365" s="71">
        <f>'Manual inputs'!T$55</f>
        <v>2.6960722989211347E-3</v>
      </c>
      <c r="F365" s="78">
        <f>'Manual inputs'!U$55</f>
        <v>1</v>
      </c>
      <c r="G365" s="71">
        <f>'Manual inputs'!V$55</f>
        <v>0</v>
      </c>
      <c r="H365" s="78">
        <f>'Manual inputs'!W$55</f>
        <v>0</v>
      </c>
      <c r="I365" s="70"/>
      <c r="J365" s="70"/>
      <c r="K365" s="70"/>
      <c r="L365" s="72">
        <f t="shared" ref="L365:AE365" si="137">-L$278/1000*($J$273*MAX($J$266,0)*$F365*(1-EXP(-$E365*($F$312*L$308+$G$312*L$248+L$249)))+$K$273*MAX($K$266,0)*$H365*(1-EXP(-$G365*($F$312*L$308+$G$312*L$248+L$249))))</f>
        <v>0</v>
      </c>
      <c r="M365" s="72">
        <f t="shared" si="137"/>
        <v>0</v>
      </c>
      <c r="N365" s="72">
        <f t="shared" si="137"/>
        <v>0</v>
      </c>
      <c r="O365" s="72">
        <f t="shared" si="137"/>
        <v>0</v>
      </c>
      <c r="P365" s="72">
        <f t="shared" si="137"/>
        <v>0</v>
      </c>
      <c r="Q365" s="72">
        <f t="shared" si="137"/>
        <v>0</v>
      </c>
      <c r="R365" s="72">
        <f t="shared" si="137"/>
        <v>0</v>
      </c>
      <c r="S365" s="72">
        <f t="shared" si="137"/>
        <v>0</v>
      </c>
      <c r="T365" s="72">
        <f t="shared" si="137"/>
        <v>0</v>
      </c>
      <c r="U365" s="72">
        <f t="shared" si="137"/>
        <v>0</v>
      </c>
      <c r="V365" s="72">
        <f t="shared" si="137"/>
        <v>0</v>
      </c>
      <c r="W365" s="72">
        <f t="shared" si="137"/>
        <v>0</v>
      </c>
      <c r="X365" s="72">
        <f t="shared" si="137"/>
        <v>0</v>
      </c>
      <c r="Y365" s="72">
        <f t="shared" si="137"/>
        <v>0</v>
      </c>
      <c r="Z365" s="72">
        <f t="shared" si="137"/>
        <v>0</v>
      </c>
      <c r="AA365" s="72">
        <f t="shared" si="137"/>
        <v>0</v>
      </c>
      <c r="AB365" s="72">
        <f t="shared" si="137"/>
        <v>0</v>
      </c>
      <c r="AC365" s="72">
        <f t="shared" si="137"/>
        <v>0</v>
      </c>
      <c r="AD365" s="72">
        <f t="shared" si="137"/>
        <v>0</v>
      </c>
      <c r="AE365" s="72">
        <f t="shared" si="137"/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1392</v>
      </c>
      <c r="E366" s="71">
        <f>'Manual inputs'!T$56</f>
        <v>3.3464675036139224E-3</v>
      </c>
      <c r="F366" s="78">
        <f>'Manual inputs'!U$56</f>
        <v>1</v>
      </c>
      <c r="G366" s="71">
        <f>'Manual inputs'!V$56</f>
        <v>0</v>
      </c>
      <c r="H366" s="78">
        <f>'Manual inputs'!W$56</f>
        <v>0</v>
      </c>
      <c r="I366" s="70"/>
      <c r="J366" s="70"/>
      <c r="K366" s="70"/>
      <c r="L366" s="72">
        <f t="shared" ref="L366:AE366" si="138">-L$279/1000*($J$273*MAX($J$267,0)*$F366*(1-EXP(-$E366*($F$313*L$308+$G$313*L$248+L$249)))+$K$273*MAX($K$267,0)*$H366*(1-EXP(-$G366*($F$313*L$308+$G$313*L$248+L$249))))</f>
        <v>0</v>
      </c>
      <c r="M366" s="72">
        <f t="shared" si="138"/>
        <v>0</v>
      </c>
      <c r="N366" s="72">
        <f t="shared" si="138"/>
        <v>0</v>
      </c>
      <c r="O366" s="72">
        <f t="shared" si="138"/>
        <v>0</v>
      </c>
      <c r="P366" s="72">
        <f t="shared" si="138"/>
        <v>0</v>
      </c>
      <c r="Q366" s="72">
        <f t="shared" si="138"/>
        <v>0</v>
      </c>
      <c r="R366" s="72">
        <f t="shared" si="138"/>
        <v>0</v>
      </c>
      <c r="S366" s="72">
        <f t="shared" si="138"/>
        <v>0</v>
      </c>
      <c r="T366" s="72">
        <f t="shared" si="138"/>
        <v>0</v>
      </c>
      <c r="U366" s="72">
        <f t="shared" si="138"/>
        <v>0</v>
      </c>
      <c r="V366" s="72">
        <f t="shared" si="138"/>
        <v>0</v>
      </c>
      <c r="W366" s="72">
        <f t="shared" si="138"/>
        <v>0</v>
      </c>
      <c r="X366" s="72">
        <f t="shared" si="138"/>
        <v>0</v>
      </c>
      <c r="Y366" s="72">
        <f t="shared" si="138"/>
        <v>0</v>
      </c>
      <c r="Z366" s="72">
        <f t="shared" si="138"/>
        <v>0</v>
      </c>
      <c r="AA366" s="72">
        <f t="shared" si="138"/>
        <v>0</v>
      </c>
      <c r="AB366" s="72">
        <f t="shared" si="138"/>
        <v>0</v>
      </c>
      <c r="AC366" s="72">
        <f t="shared" si="138"/>
        <v>0</v>
      </c>
      <c r="AD366" s="72">
        <f t="shared" si="138"/>
        <v>0</v>
      </c>
      <c r="AE366" s="72">
        <f t="shared" si="138"/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1393</v>
      </c>
      <c r="E367" s="71">
        <f>'Manual inputs'!T$57</f>
        <v>0</v>
      </c>
      <c r="F367" s="78">
        <f>'Manual inputs'!U$57</f>
        <v>0</v>
      </c>
      <c r="G367" s="71">
        <f>'Manual inputs'!V$57</f>
        <v>0</v>
      </c>
      <c r="H367" s="78">
        <f>'Manual inputs'!W$57</f>
        <v>0</v>
      </c>
      <c r="I367" s="70"/>
      <c r="J367" s="70"/>
      <c r="K367" s="70"/>
      <c r="L367" s="72">
        <f t="shared" ref="L367:AE367" si="139">-L$280/1000*($J$273*MAX($J$268,0)*$F367*(1-EXP(-$E367*($F$314*L$308+$G$314*L$248+L$249)))+$K$273*MAX($K$268,0)*$H367*(1-EXP(-$G367*($F$314*L$308+$G$314*L$248+L$249))))</f>
        <v>0</v>
      </c>
      <c r="M367" s="72">
        <f t="shared" si="139"/>
        <v>0</v>
      </c>
      <c r="N367" s="72">
        <f t="shared" si="139"/>
        <v>0</v>
      </c>
      <c r="O367" s="72">
        <f t="shared" si="139"/>
        <v>0</v>
      </c>
      <c r="P367" s="72">
        <f t="shared" si="139"/>
        <v>0</v>
      </c>
      <c r="Q367" s="72">
        <f t="shared" si="139"/>
        <v>0</v>
      </c>
      <c r="R367" s="72">
        <f t="shared" si="139"/>
        <v>0</v>
      </c>
      <c r="S367" s="72">
        <f t="shared" si="139"/>
        <v>0</v>
      </c>
      <c r="T367" s="72">
        <f t="shared" si="139"/>
        <v>0</v>
      </c>
      <c r="U367" s="72">
        <f t="shared" si="139"/>
        <v>0</v>
      </c>
      <c r="V367" s="72">
        <f t="shared" si="139"/>
        <v>0</v>
      </c>
      <c r="W367" s="72">
        <f t="shared" si="139"/>
        <v>0</v>
      </c>
      <c r="X367" s="72">
        <f t="shared" si="139"/>
        <v>0</v>
      </c>
      <c r="Y367" s="72">
        <f t="shared" si="139"/>
        <v>0</v>
      </c>
      <c r="Z367" s="72">
        <f t="shared" si="139"/>
        <v>0</v>
      </c>
      <c r="AA367" s="72">
        <f t="shared" si="139"/>
        <v>0</v>
      </c>
      <c r="AB367" s="72">
        <f t="shared" si="139"/>
        <v>0</v>
      </c>
      <c r="AC367" s="72">
        <f t="shared" si="139"/>
        <v>0</v>
      </c>
      <c r="AD367" s="72">
        <f t="shared" si="139"/>
        <v>0</v>
      </c>
      <c r="AE367" s="72">
        <f t="shared" si="139"/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1373</v>
      </c>
      <c r="E368" s="71">
        <f>'Manual inputs'!T$58</f>
        <v>0</v>
      </c>
      <c r="F368" s="78">
        <f>'Manual inputs'!U$58</f>
        <v>0</v>
      </c>
      <c r="G368" s="71">
        <f>'Manual inputs'!V$58</f>
        <v>0</v>
      </c>
      <c r="H368" s="78">
        <f>'Manual inputs'!W$58</f>
        <v>0</v>
      </c>
      <c r="I368" s="70"/>
      <c r="J368" s="70"/>
      <c r="K368" s="70"/>
      <c r="L368" s="72">
        <f t="shared" ref="L368:AE368" si="140">-L$281/1000*($J$273*MAX($J$269,0)*$F368*(1-EXP(-$E368*($F$315*L$308+$G$315*L$248+L$249)))+$K$273*MAX($K$269,0)*$H368*(1-EXP(-$G368*($F$315*L$308+$G$315*L$248+L$249))))</f>
        <v>0</v>
      </c>
      <c r="M368" s="72">
        <f t="shared" si="140"/>
        <v>0</v>
      </c>
      <c r="N368" s="72">
        <f t="shared" si="140"/>
        <v>0</v>
      </c>
      <c r="O368" s="72">
        <f t="shared" si="140"/>
        <v>0</v>
      </c>
      <c r="P368" s="72">
        <f t="shared" si="140"/>
        <v>0</v>
      </c>
      <c r="Q368" s="72">
        <f t="shared" si="140"/>
        <v>0</v>
      </c>
      <c r="R368" s="72">
        <f t="shared" si="140"/>
        <v>0</v>
      </c>
      <c r="S368" s="72">
        <f t="shared" si="140"/>
        <v>0</v>
      </c>
      <c r="T368" s="72">
        <f t="shared" si="140"/>
        <v>0</v>
      </c>
      <c r="U368" s="72">
        <f t="shared" si="140"/>
        <v>0</v>
      </c>
      <c r="V368" s="72">
        <f t="shared" si="140"/>
        <v>0</v>
      </c>
      <c r="W368" s="72">
        <f t="shared" si="140"/>
        <v>0</v>
      </c>
      <c r="X368" s="72">
        <f t="shared" si="140"/>
        <v>0</v>
      </c>
      <c r="Y368" s="72">
        <f t="shared" si="140"/>
        <v>0</v>
      </c>
      <c r="Z368" s="72">
        <f t="shared" si="140"/>
        <v>0</v>
      </c>
      <c r="AA368" s="72">
        <f t="shared" si="140"/>
        <v>0</v>
      </c>
      <c r="AB368" s="72">
        <f t="shared" si="140"/>
        <v>0</v>
      </c>
      <c r="AC368" s="72">
        <f t="shared" si="140"/>
        <v>0</v>
      </c>
      <c r="AD368" s="72">
        <f t="shared" si="140"/>
        <v>0</v>
      </c>
      <c r="AE368" s="72">
        <f t="shared" si="140"/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1394</v>
      </c>
      <c r="E369" s="71">
        <f>'Manual inputs'!T$59</f>
        <v>0</v>
      </c>
      <c r="F369" s="78">
        <f>'Manual inputs'!U$59</f>
        <v>0</v>
      </c>
      <c r="G369" s="71">
        <f>'Manual inputs'!V$59</f>
        <v>7.8858436436826454E-3</v>
      </c>
      <c r="H369" s="78">
        <f>'Manual inputs'!W$59</f>
        <v>1</v>
      </c>
      <c r="I369" s="70"/>
      <c r="J369" s="70"/>
      <c r="K369" s="70"/>
      <c r="L369" s="72">
        <f t="shared" ref="L369:AE369" si="141">-L$282/1000*($J$273*MAX($J$270,0)*$F369*(1-EXP(-$E369*($F$316*L$308+$G$316*L$248+L$249)))+$K$273*MAX($K$270,0)*$H369*(1-EXP(-$G369*($F$316*L$308+$G$316*L$248+L$249))))</f>
        <v>0</v>
      </c>
      <c r="M369" s="72">
        <f t="shared" si="141"/>
        <v>0</v>
      </c>
      <c r="N369" s="72">
        <f t="shared" si="141"/>
        <v>0</v>
      </c>
      <c r="O369" s="72">
        <f t="shared" si="141"/>
        <v>0</v>
      </c>
      <c r="P369" s="72">
        <f t="shared" si="141"/>
        <v>0</v>
      </c>
      <c r="Q369" s="72">
        <f t="shared" si="141"/>
        <v>0</v>
      </c>
      <c r="R369" s="72">
        <f t="shared" si="141"/>
        <v>0</v>
      </c>
      <c r="S369" s="72">
        <f t="shared" si="141"/>
        <v>0</v>
      </c>
      <c r="T369" s="72">
        <f t="shared" si="141"/>
        <v>0</v>
      </c>
      <c r="U369" s="72">
        <f t="shared" si="141"/>
        <v>0</v>
      </c>
      <c r="V369" s="72">
        <f t="shared" si="141"/>
        <v>0</v>
      </c>
      <c r="W369" s="72">
        <f t="shared" si="141"/>
        <v>0</v>
      </c>
      <c r="X369" s="72">
        <f t="shared" si="141"/>
        <v>0</v>
      </c>
      <c r="Y369" s="72">
        <f t="shared" si="141"/>
        <v>0</v>
      </c>
      <c r="Z369" s="72">
        <f t="shared" si="141"/>
        <v>0</v>
      </c>
      <c r="AA369" s="72">
        <f t="shared" si="141"/>
        <v>0</v>
      </c>
      <c r="AB369" s="72">
        <f t="shared" si="141"/>
        <v>0</v>
      </c>
      <c r="AC369" s="72">
        <f t="shared" si="141"/>
        <v>0</v>
      </c>
      <c r="AD369" s="72">
        <f t="shared" si="141"/>
        <v>0</v>
      </c>
      <c r="AE369" s="72">
        <f t="shared" si="141"/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1383</v>
      </c>
      <c r="E370" s="71">
        <f>'Manual inputs'!T$60</f>
        <v>1.9988245320635362E-3</v>
      </c>
      <c r="F370" s="78">
        <f>'Manual inputs'!U$60</f>
        <v>1</v>
      </c>
      <c r="G370" s="71">
        <f>'Manual inputs'!V$60</f>
        <v>1.9988245320635362E-3</v>
      </c>
      <c r="H370" s="78">
        <f>'Manual inputs'!W$60</f>
        <v>1</v>
      </c>
      <c r="I370" s="72"/>
      <c r="J370" s="72"/>
      <c r="K370" s="72"/>
      <c r="L370" s="72">
        <f t="shared" ref="L370:AE370" si="142">-L$283/1000*($J$273*MAX($J$271,0)*$F370*(1-EXP(-$E370*($F$317*L$308+$G$317*L$248+L$249)))+$K$273*MAX($K$271,0)*$H370*(1-EXP(-$G370*($F$317*L$308+$G$317*L$248+L$249))))</f>
        <v>0</v>
      </c>
      <c r="M370" s="72">
        <f t="shared" si="142"/>
        <v>0</v>
      </c>
      <c r="N370" s="72">
        <f t="shared" si="142"/>
        <v>0</v>
      </c>
      <c r="O370" s="72">
        <f t="shared" si="142"/>
        <v>0</v>
      </c>
      <c r="P370" s="72">
        <f t="shared" si="142"/>
        <v>0</v>
      </c>
      <c r="Q370" s="72">
        <f t="shared" si="142"/>
        <v>0</v>
      </c>
      <c r="R370" s="72">
        <f t="shared" si="142"/>
        <v>0</v>
      </c>
      <c r="S370" s="72">
        <f t="shared" si="142"/>
        <v>0</v>
      </c>
      <c r="T370" s="72">
        <f t="shared" si="142"/>
        <v>0</v>
      </c>
      <c r="U370" s="72">
        <f t="shared" si="142"/>
        <v>0</v>
      </c>
      <c r="V370" s="72">
        <f t="shared" si="142"/>
        <v>0</v>
      </c>
      <c r="W370" s="72">
        <f t="shared" si="142"/>
        <v>0</v>
      </c>
      <c r="X370" s="72">
        <f t="shared" si="142"/>
        <v>0</v>
      </c>
      <c r="Y370" s="72">
        <f t="shared" si="142"/>
        <v>0</v>
      </c>
      <c r="Z370" s="72">
        <f t="shared" si="142"/>
        <v>0</v>
      </c>
      <c r="AA370" s="72">
        <f t="shared" si="142"/>
        <v>0</v>
      </c>
      <c r="AB370" s="72">
        <f t="shared" si="142"/>
        <v>0</v>
      </c>
      <c r="AC370" s="72">
        <f t="shared" si="142"/>
        <v>0</v>
      </c>
      <c r="AD370" s="72">
        <f t="shared" si="142"/>
        <v>0</v>
      </c>
      <c r="AE370" s="72">
        <f t="shared" si="142"/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1475</v>
      </c>
      <c r="H371" s="87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43">SUM(L363:L370)</f>
        <v>0</v>
      </c>
      <c r="M371" s="72">
        <f t="shared" si="143"/>
        <v>0</v>
      </c>
      <c r="N371" s="72">
        <f t="shared" si="143"/>
        <v>0</v>
      </c>
      <c r="O371" s="72">
        <f t="shared" si="143"/>
        <v>0</v>
      </c>
      <c r="P371" s="72">
        <f t="shared" si="143"/>
        <v>0</v>
      </c>
      <c r="Q371" s="72">
        <f t="shared" si="143"/>
        <v>0</v>
      </c>
      <c r="R371" s="72">
        <f t="shared" si="143"/>
        <v>0</v>
      </c>
      <c r="S371" s="72">
        <f t="shared" si="143"/>
        <v>0</v>
      </c>
      <c r="T371" s="72">
        <f t="shared" si="143"/>
        <v>0</v>
      </c>
      <c r="U371" s="72">
        <f t="shared" si="143"/>
        <v>0</v>
      </c>
      <c r="V371" s="72">
        <f t="shared" si="143"/>
        <v>0</v>
      </c>
      <c r="W371" s="72">
        <f t="shared" si="143"/>
        <v>0</v>
      </c>
      <c r="X371" s="72">
        <f t="shared" si="143"/>
        <v>0</v>
      </c>
      <c r="Y371" s="72">
        <f t="shared" si="143"/>
        <v>0</v>
      </c>
      <c r="Z371" s="72">
        <f t="shared" si="143"/>
        <v>0</v>
      </c>
      <c r="AA371" s="72">
        <f t="shared" si="143"/>
        <v>0</v>
      </c>
      <c r="AB371" s="72">
        <f t="shared" si="143"/>
        <v>0</v>
      </c>
      <c r="AC371" s="72">
        <f t="shared" si="143"/>
        <v>0</v>
      </c>
      <c r="AD371" s="72">
        <f t="shared" si="143"/>
        <v>0</v>
      </c>
      <c r="AE371" s="72">
        <f t="shared" si="143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2" t="s">
        <v>2015</v>
      </c>
      <c r="E372" s="72" t="s">
        <v>79</v>
      </c>
      <c r="F372" s="72"/>
      <c r="G372" s="70" t="s">
        <v>1475</v>
      </c>
      <c r="H372" s="87" t="str">
        <f>Settings!$B$3&amp;".mit.cbobchu."&amp;$G372&amp;"."&amp;$J$5</f>
        <v>egy.mit.cbobchu.cbam.tot.1</v>
      </c>
      <c r="I372" s="72"/>
      <c r="J372" s="72"/>
      <c r="K372" s="72"/>
      <c r="L372" s="101">
        <f>IF(SUMPRODUCT($I$276:$I$283*'Manual inputs'!L$81*'Manual inputs'!L$79*($F$330:$F$337+$G$330:$G$337))=0,0,SUMPRODUCT($I$276:$I$283*((('Manual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SUMPRODUCT($I$276:$I$283*'Manual inputs'!L$81*'Manual inputs'!L$79*($F$330:$F$337+$G$330:$G$337))-1)</f>
        <v>0</v>
      </c>
      <c r="M372" s="101">
        <f>IF(SUMPRODUCT($I$276:$I$283*'Manual inputs'!M$81*'Manual inputs'!M$79*($F$330:$F$337+$G$330:$G$337))=0,0,SUMPRODUCT($I$276:$I$283*((('Manual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SUMPRODUCT($I$276:$I$283*'Manual inputs'!M$81*'Manual inputs'!M$79*($F$330:$F$337+$G$330:$G$337))-1)</f>
        <v>0</v>
      </c>
      <c r="N372" s="101">
        <f>IF(SUMPRODUCT($I$276:$I$283*'Manual inputs'!N$81*'Manual inputs'!N$79*($F$330:$F$337+$G$330:$G$337))=0,0,SUMPRODUCT($I$276:$I$283*((('Manual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SUMPRODUCT($I$276:$I$283*'Manual inputs'!N$81*'Manual inputs'!N$79*($F$330:$F$337+$G$330:$G$337))-1)</f>
        <v>0</v>
      </c>
      <c r="O372" s="101">
        <f>IF(SUMPRODUCT($I$276:$I$283*'Manual inputs'!O$81*'Manual inputs'!O$79*($F$330:$F$337+$G$330:$G$337))=0,0,SUMPRODUCT($I$276:$I$283*((('Manual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SUMPRODUCT($I$276:$I$283*'Manual inputs'!O$81*'Manual inputs'!O$79*($F$330:$F$337+$G$330:$G$337))-1)</f>
        <v>0</v>
      </c>
      <c r="P372" s="101">
        <f>IF(SUMPRODUCT($I$276:$I$283*'Manual inputs'!P$81*'Manual inputs'!P$79*($F$330:$F$337+$G$330:$G$337))=0,0,SUMPRODUCT($I$276:$I$283*((('Manual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SUMPRODUCT($I$276:$I$283*'Manual inputs'!P$81*'Manual inputs'!P$79*($F$330:$F$337+$G$330:$G$337))-1)</f>
        <v>-2.2204460492503131E-16</v>
      </c>
      <c r="Q372" s="101">
        <f>IF(SUMPRODUCT($I$276:$I$283*'Manual inputs'!Q$81*'Manual inputs'!Q$79*($F$330:$F$337+$G$330:$G$337))=0,0,SUMPRODUCT($I$276:$I$283*((('Manual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SUMPRODUCT($I$276:$I$283*'Manual inputs'!Q$81*'Manual inputs'!Q$79*($F$330:$F$337+$G$330:$G$337))-1)</f>
        <v>0</v>
      </c>
      <c r="R372" s="101">
        <f>IF(SUMPRODUCT($I$276:$I$283*'Manual inputs'!R$81*'Manual inputs'!R$79*($F$330:$F$337+$G$330:$G$337))=0,0,SUMPRODUCT($I$276:$I$283*((('Manual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SUMPRODUCT($I$276:$I$283*'Manual inputs'!R$81*'Manual inputs'!R$79*($F$330:$F$337+$G$330:$G$337))-1)</f>
        <v>2.2204460492503131E-16</v>
      </c>
      <c r="S372" s="101">
        <f>IF(SUMPRODUCT($I$276:$I$283*'Manual inputs'!S$81*'Manual inputs'!S$79*($F$330:$F$337+$G$330:$G$337))=0,0,SUMPRODUCT($I$276:$I$283*((('Manual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SUMPRODUCT($I$276:$I$283*'Manual inputs'!S$81*'Manual inputs'!S$79*($F$330:$F$337+$G$330:$G$337))-1)</f>
        <v>2.2204460492503131E-16</v>
      </c>
      <c r="T372" s="101">
        <f>IF(SUMPRODUCT($I$276:$I$283*'Manual inputs'!T$81*'Manual inputs'!T$79*($F$330:$F$337+$G$330:$G$337))=0,0,SUMPRODUCT($I$276:$I$283*((('Manual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SUMPRODUCT($I$276:$I$283*'Manual inputs'!T$81*'Manual inputs'!T$79*($F$330:$F$337+$G$330:$G$337))-1)</f>
        <v>2.2204460492503131E-16</v>
      </c>
      <c r="U372" s="101">
        <f>IF(SUMPRODUCT($I$276:$I$283*'Manual inputs'!U$81*'Manual inputs'!U$79*($F$330:$F$337+$G$330:$G$337))=0,0,SUMPRODUCT($I$276:$I$283*((('Manual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SUMPRODUCT($I$276:$I$283*'Manual inputs'!U$81*'Manual inputs'!U$79*($F$330:$F$337+$G$330:$G$337))-1)</f>
        <v>2.2204460492503131E-16</v>
      </c>
      <c r="V372" s="101">
        <f>IF(SUMPRODUCT($I$276:$I$283*'Manual inputs'!V$81*'Manual inputs'!V$79*($F$330:$F$337+$G$330:$G$337))=0,0,SUMPRODUCT($I$276:$I$283*((('Manual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SUMPRODUCT($I$276:$I$283*'Manual inputs'!V$81*'Manual inputs'!V$79*($F$330:$F$337+$G$330:$G$337))-1)</f>
        <v>0</v>
      </c>
      <c r="W372" s="101">
        <f>IF(SUMPRODUCT($I$276:$I$283*'Manual inputs'!W$81*'Manual inputs'!W$79*($F$330:$F$337+$G$330:$G$337))=0,0,SUMPRODUCT($I$276:$I$283*((('Manual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SUMPRODUCT($I$276:$I$283*'Manual inputs'!W$81*'Manual inputs'!W$79*($F$330:$F$337+$G$330:$G$337))-1)</f>
        <v>0</v>
      </c>
      <c r="X372" s="101">
        <f>IF(SUMPRODUCT($I$276:$I$283*'Manual inputs'!X$81*'Manual inputs'!X$79*($F$330:$F$337+$G$330:$G$337))=0,0,SUMPRODUCT($I$276:$I$283*((('Manual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SUMPRODUCT($I$276:$I$283*'Manual inputs'!X$81*'Manual inputs'!X$79*($F$330:$F$337+$G$330:$G$337))-1)</f>
        <v>0</v>
      </c>
      <c r="Y372" s="101">
        <f>IF(SUMPRODUCT($I$276:$I$283*'Manual inputs'!Y$81*'Manual inputs'!Y$79*($F$330:$F$337+$G$330:$G$337))=0,0,SUMPRODUCT($I$276:$I$283*((('Manual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SUMPRODUCT($I$276:$I$283*'Manual inputs'!Y$81*'Manual inputs'!Y$79*($F$330:$F$337+$G$330:$G$337))-1)</f>
        <v>0</v>
      </c>
      <c r="Z372" s="101">
        <f>IF(SUMPRODUCT($I$276:$I$283*'Manual inputs'!Z$81*'Manual inputs'!Z$79*($F$330:$F$337+$G$330:$G$337))=0,0,SUMPRODUCT($I$276:$I$283*((('Manual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SUMPRODUCT($I$276:$I$283*'Manual inputs'!Z$81*'Manual inputs'!Z$79*($F$330:$F$337+$G$330:$G$337))-1)</f>
        <v>0</v>
      </c>
      <c r="AA372" s="101">
        <f>IF(SUMPRODUCT($I$276:$I$283*'Manual inputs'!AA$81*'Manual inputs'!AA$79*($F$330:$F$337+$G$330:$G$337))=0,0,SUMPRODUCT($I$276:$I$283*((('Manual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SUMPRODUCT($I$276:$I$283*'Manual inputs'!AA$81*'Manual inputs'!AA$79*($F$330:$F$337+$G$330:$G$337))-1)</f>
        <v>0</v>
      </c>
      <c r="AB372" s="101">
        <f>IF(SUMPRODUCT($I$276:$I$283*'Manual inputs'!AB$81*'Manual inputs'!AB$79*($F$330:$F$337+$G$330:$G$337))=0,0,SUMPRODUCT($I$276:$I$283*((('Manual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SUMPRODUCT($I$276:$I$283*'Manual inputs'!AB$81*'Manual inputs'!AB$79*($F$330:$F$337+$G$330:$G$337))-1)</f>
        <v>0</v>
      </c>
      <c r="AC372" s="101">
        <f>IF(SUMPRODUCT($I$276:$I$283*'Manual inputs'!AC$81*'Manual inputs'!AC$79*($F$330:$F$337+$G$330:$G$337))=0,0,SUMPRODUCT($I$276:$I$283*((('Manual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SUMPRODUCT($I$276:$I$283*'Manual inputs'!AC$81*'Manual inputs'!AC$79*($F$330:$F$337+$G$330:$G$337))-1)</f>
        <v>0</v>
      </c>
      <c r="AD372" s="101">
        <f>IF(SUMPRODUCT($I$276:$I$283*'Manual inputs'!AD$81*'Manual inputs'!AD$79*($F$330:$F$337+$G$330:$G$337))=0,0,SUMPRODUCT($I$276:$I$283*((('Manual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SUMPRODUCT($I$276:$I$283*'Manual inputs'!AD$81*'Manual inputs'!AD$79*($F$330:$F$337+$G$330:$G$337))-1)</f>
        <v>0</v>
      </c>
      <c r="AE372" s="101">
        <f>IF(SUMPRODUCT($I$276:$I$283*'Manual inputs'!AE$81*'Manual inputs'!AE$79*($F$330:$F$337+$G$330:$G$337))=0,0,SUMPRODUCT($I$276:$I$283*((('Manual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SUMPRODUCT($I$276:$I$283*'Manual inputs'!AE$81*'Manual inputs'!AE$79*($F$330:$F$337+$G$330:$G$337))-1)</f>
        <v>0</v>
      </c>
      <c r="AF372" s="70"/>
      <c r="AG372" s="70"/>
      <c r="AH372" s="70"/>
      <c r="AI372" s="70"/>
    </row>
    <row r="373" spans="1:35" x14ac:dyDescent="0.45">
      <c r="A373" s="70"/>
      <c r="B373" s="52"/>
      <c r="C373" s="73" t="s">
        <v>1476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1477</v>
      </c>
      <c r="H374" s="87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44">SUM(L334:L336)+SUM(L356:L358)</f>
        <v>3.7399856771381845</v>
      </c>
      <c r="M374" s="72">
        <f t="shared" si="144"/>
        <v>3.8222653620352247</v>
      </c>
      <c r="N374" s="72">
        <f t="shared" si="144"/>
        <v>3.9063551999999997</v>
      </c>
      <c r="O374" s="72">
        <f t="shared" si="144"/>
        <v>3.9922950143999998</v>
      </c>
      <c r="P374" s="72">
        <f t="shared" si="144"/>
        <v>4.0801255047168006</v>
      </c>
      <c r="Q374" s="72">
        <f t="shared" si="144"/>
        <v>4.1698882658205694</v>
      </c>
      <c r="R374" s="72">
        <f t="shared" si="144"/>
        <v>4.2616258076686222</v>
      </c>
      <c r="S374" s="72">
        <f t="shared" si="144"/>
        <v>4.3553815754373311</v>
      </c>
      <c r="T374" s="72">
        <f t="shared" si="144"/>
        <v>4.4511999700969529</v>
      </c>
      <c r="U374" s="72">
        <f t="shared" si="144"/>
        <v>4.5491263694390858</v>
      </c>
      <c r="V374" s="72">
        <f t="shared" si="144"/>
        <v>4.6492071495667471</v>
      </c>
      <c r="W374" s="72">
        <f t="shared" si="144"/>
        <v>4.7514897068572139</v>
      </c>
      <c r="X374" s="72">
        <f t="shared" si="144"/>
        <v>4.8560224804080736</v>
      </c>
      <c r="Y374" s="72">
        <f t="shared" si="144"/>
        <v>4.9628549749770512</v>
      </c>
      <c r="Z374" s="72">
        <f t="shared" si="144"/>
        <v>5.0720377844265467</v>
      </c>
      <c r="AA374" s="72">
        <f t="shared" si="144"/>
        <v>5.1836226156839302</v>
      </c>
      <c r="AB374" s="72">
        <f t="shared" si="144"/>
        <v>5.297662313228976</v>
      </c>
      <c r="AC374" s="72">
        <f t="shared" si="144"/>
        <v>5.4142108841200143</v>
      </c>
      <c r="AD374" s="72">
        <f t="shared" si="144"/>
        <v>5.5333235235706555</v>
      </c>
      <c r="AE374" s="72">
        <f t="shared" si="144"/>
        <v>5.6550566410892094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1478</v>
      </c>
      <c r="H375" s="87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45">SUM(L330:L332)+SUM(L352:L354)</f>
        <v>2.8694133664728936</v>
      </c>
      <c r="M375" s="72">
        <f t="shared" si="145"/>
        <v>2.9956675545977007</v>
      </c>
      <c r="N375" s="72">
        <f t="shared" si="145"/>
        <v>3.1274769269999996</v>
      </c>
      <c r="O375" s="72">
        <f t="shared" si="145"/>
        <v>3.2650859117880002</v>
      </c>
      <c r="P375" s="72">
        <f t="shared" si="145"/>
        <v>3.4087496919066722</v>
      </c>
      <c r="Q375" s="72">
        <f t="shared" si="145"/>
        <v>3.5587346783505662</v>
      </c>
      <c r="R375" s="72">
        <f t="shared" si="145"/>
        <v>3.7153190041979904</v>
      </c>
      <c r="S375" s="72">
        <f t="shared" si="145"/>
        <v>3.8787930403827025</v>
      </c>
      <c r="T375" s="72">
        <f t="shared" si="145"/>
        <v>4.0494599341595423</v>
      </c>
      <c r="U375" s="72">
        <f t="shared" si="145"/>
        <v>4.2276361712625619</v>
      </c>
      <c r="V375" s="72">
        <f t="shared" si="145"/>
        <v>4.4136521627981145</v>
      </c>
      <c r="W375" s="72">
        <f t="shared" si="145"/>
        <v>4.6078528579612303</v>
      </c>
      <c r="X375" s="72">
        <f t="shared" si="145"/>
        <v>4.8105983837115254</v>
      </c>
      <c r="Y375" s="72">
        <f t="shared" si="145"/>
        <v>5.0222647125948336</v>
      </c>
      <c r="Z375" s="72">
        <f t="shared" si="145"/>
        <v>5.2432443599490046</v>
      </c>
      <c r="AA375" s="72">
        <f t="shared" si="145"/>
        <v>5.4739471117867611</v>
      </c>
      <c r="AB375" s="72">
        <f t="shared" si="145"/>
        <v>5.714800784705381</v>
      </c>
      <c r="AC375" s="72">
        <f t="shared" si="145"/>
        <v>5.9662520192324164</v>
      </c>
      <c r="AD375" s="72">
        <f t="shared" si="145"/>
        <v>6.2287671080786424</v>
      </c>
      <c r="AE375" s="72">
        <f t="shared" si="145"/>
        <v>6.5028328608341015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1479</v>
      </c>
      <c r="H376" s="87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46">L337+L359</f>
        <v>3.3266099144224071E-2</v>
      </c>
      <c r="M376" s="72">
        <f t="shared" si="146"/>
        <v>3.5095734597156404E-2</v>
      </c>
      <c r="N376" s="72">
        <f t="shared" si="146"/>
        <v>3.7026000000000003E-2</v>
      </c>
      <c r="O376" s="72">
        <f t="shared" si="146"/>
        <v>3.9062430000000002E-2</v>
      </c>
      <c r="P376" s="72">
        <f t="shared" si="146"/>
        <v>4.1210863649999999E-2</v>
      </c>
      <c r="Q376" s="72">
        <f t="shared" si="146"/>
        <v>4.3477461150749991E-2</v>
      </c>
      <c r="R376" s="72">
        <f t="shared" si="146"/>
        <v>4.5868721514041248E-2</v>
      </c>
      <c r="S376" s="72">
        <f t="shared" si="146"/>
        <v>4.8391501197313509E-2</v>
      </c>
      <c r="T376" s="72">
        <f t="shared" si="146"/>
        <v>5.105303376316575E-2</v>
      </c>
      <c r="U376" s="72">
        <f t="shared" si="146"/>
        <v>5.3860950620139861E-2</v>
      </c>
      <c r="V376" s="72">
        <f t="shared" si="146"/>
        <v>5.6823302904247558E-2</v>
      </c>
      <c r="W376" s="72">
        <f t="shared" si="146"/>
        <v>5.9948584563981173E-2</v>
      </c>
      <c r="X376" s="72">
        <f t="shared" si="146"/>
        <v>6.3245756715000129E-2</v>
      </c>
      <c r="Y376" s="72">
        <f t="shared" si="146"/>
        <v>6.6724273334325138E-2</v>
      </c>
      <c r="Z376" s="72">
        <f t="shared" si="146"/>
        <v>7.039410836771301E-2</v>
      </c>
      <c r="AA376" s="72">
        <f t="shared" si="146"/>
        <v>7.426578432793722E-2</v>
      </c>
      <c r="AB376" s="72">
        <f t="shared" si="146"/>
        <v>7.8350402465973787E-2</v>
      </c>
      <c r="AC376" s="72">
        <f t="shared" si="146"/>
        <v>8.2659674601602312E-2</v>
      </c>
      <c r="AD376" s="72">
        <f t="shared" si="146"/>
        <v>8.7205956704690446E-2</v>
      </c>
      <c r="AE376" s="72">
        <f t="shared" si="146"/>
        <v>9.2002284323448424E-2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1480</v>
      </c>
      <c r="H377" s="87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1481</v>
      </c>
      <c r="H378" s="87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47">L333+L355</f>
        <v>14.692706044200628</v>
      </c>
      <c r="M378" s="72">
        <f t="shared" si="147"/>
        <v>15.177565343659246</v>
      </c>
      <c r="N378" s="72">
        <f t="shared" si="147"/>
        <v>15.678424999999999</v>
      </c>
      <c r="O378" s="72">
        <f t="shared" si="147"/>
        <v>16.195813024999996</v>
      </c>
      <c r="P378" s="72">
        <f t="shared" si="147"/>
        <v>16.730274854824994</v>
      </c>
      <c r="Q378" s="72">
        <f t="shared" si="147"/>
        <v>17.282373925034218</v>
      </c>
      <c r="R378" s="72">
        <f t="shared" si="147"/>
        <v>17.852692264560343</v>
      </c>
      <c r="S378" s="72">
        <f t="shared" si="147"/>
        <v>18.441831109290838</v>
      </c>
      <c r="T378" s="72">
        <f t="shared" si="147"/>
        <v>19.050411535897432</v>
      </c>
      <c r="U378" s="72">
        <f t="shared" si="147"/>
        <v>19.679075116582045</v>
      </c>
      <c r="V378" s="72">
        <f t="shared" si="147"/>
        <v>20.328484595429249</v>
      </c>
      <c r="W378" s="72">
        <f t="shared" si="147"/>
        <v>20.999324587078412</v>
      </c>
      <c r="X378" s="72">
        <f t="shared" si="147"/>
        <v>21.692302298451992</v>
      </c>
      <c r="Y378" s="72">
        <f t="shared" si="147"/>
        <v>22.40814827430091</v>
      </c>
      <c r="Z378" s="72">
        <f t="shared" si="147"/>
        <v>23.147617167352838</v>
      </c>
      <c r="AA378" s="72">
        <f t="shared" si="147"/>
        <v>23.911488533875481</v>
      </c>
      <c r="AB378" s="72">
        <f t="shared" si="147"/>
        <v>24.700567655493362</v>
      </c>
      <c r="AC378" s="72">
        <f t="shared" si="147"/>
        <v>25.515686388124642</v>
      </c>
      <c r="AD378" s="72">
        <f t="shared" si="147"/>
        <v>26.357704038932756</v>
      </c>
      <c r="AE378" s="72">
        <f t="shared" si="147"/>
        <v>27.227508272217527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1475</v>
      </c>
      <c r="H379" s="87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48">SUM(L374:L378)</f>
        <v>21.335371186955932</v>
      </c>
      <c r="M379" s="72">
        <f t="shared" si="148"/>
        <v>22.03059399488933</v>
      </c>
      <c r="N379" s="72">
        <f t="shared" si="148"/>
        <v>22.749283126999998</v>
      </c>
      <c r="O379" s="72">
        <f t="shared" si="148"/>
        <v>23.492256381187996</v>
      </c>
      <c r="P379" s="72">
        <f t="shared" si="148"/>
        <v>24.260360915098467</v>
      </c>
      <c r="Q379" s="72">
        <f t="shared" si="148"/>
        <v>25.054474330356104</v>
      </c>
      <c r="R379" s="72">
        <f t="shared" si="148"/>
        <v>25.875505797940995</v>
      </c>
      <c r="S379" s="72">
        <f t="shared" si="148"/>
        <v>26.724397226308184</v>
      </c>
      <c r="T379" s="72">
        <f t="shared" si="148"/>
        <v>27.602124473917094</v>
      </c>
      <c r="U379" s="72">
        <f t="shared" si="148"/>
        <v>28.509698607903829</v>
      </c>
      <c r="V379" s="72">
        <f t="shared" si="148"/>
        <v>29.448167210698358</v>
      </c>
      <c r="W379" s="72">
        <f t="shared" si="148"/>
        <v>30.418615736460836</v>
      </c>
      <c r="X379" s="72">
        <f t="shared" si="148"/>
        <v>31.422168919286591</v>
      </c>
      <c r="Y379" s="72">
        <f t="shared" si="148"/>
        <v>32.459992235207118</v>
      </c>
      <c r="Z379" s="72">
        <f t="shared" si="148"/>
        <v>33.533293420096101</v>
      </c>
      <c r="AA379" s="72">
        <f t="shared" si="148"/>
        <v>34.643324045674106</v>
      </c>
      <c r="AB379" s="72">
        <f t="shared" si="148"/>
        <v>35.791381155893696</v>
      </c>
      <c r="AC379" s="72">
        <f t="shared" si="148"/>
        <v>36.978808966078674</v>
      </c>
      <c r="AD379" s="72">
        <f t="shared" si="148"/>
        <v>38.207000627286746</v>
      </c>
      <c r="AE379" s="72">
        <f t="shared" si="148"/>
        <v>39.477400058464283</v>
      </c>
      <c r="AF379" s="70"/>
      <c r="AG379" s="70"/>
      <c r="AH379" s="70"/>
      <c r="AI379" s="70"/>
    </row>
    <row r="380" spans="1:35" x14ac:dyDescent="0.45">
      <c r="A380" s="70"/>
      <c r="B380" s="52"/>
      <c r="C380" s="52"/>
      <c r="D380" s="72" t="s">
        <v>1851</v>
      </c>
      <c r="E380" s="72" t="s">
        <v>1852</v>
      </c>
      <c r="F380" s="72"/>
      <c r="G380" s="70" t="s">
        <v>1475</v>
      </c>
      <c r="H380" s="87" t="str">
        <f>Settings!$B$3&amp;".mit.emis."&amp;$G380&amp;"."&amp;$J$5</f>
        <v>egy.mit.emis.cbam.tot.1</v>
      </c>
      <c r="I380" s="72"/>
      <c r="J380" s="72"/>
      <c r="K380" s="72"/>
      <c r="L380" s="72">
        <f t="shared" ref="L380:AE380" si="149">L$379+L$390</f>
        <v>48.086991333544489</v>
      </c>
      <c r="M380" s="72">
        <f t="shared" si="149"/>
        <v>49.677032012339083</v>
      </c>
      <c r="N380" s="72">
        <f t="shared" si="149"/>
        <v>51.320891261</v>
      </c>
      <c r="O380" s="72">
        <f t="shared" si="149"/>
        <v>53.020436367115991</v>
      </c>
      <c r="P380" s="72">
        <f t="shared" si="149"/>
        <v>54.77760125723205</v>
      </c>
      <c r="Q380" s="72">
        <f t="shared" si="149"/>
        <v>56.594388955214242</v>
      </c>
      <c r="R380" s="72">
        <f t="shared" si="149"/>
        <v>58.472874134897971</v>
      </c>
      <c r="S380" s="72">
        <f t="shared" si="149"/>
        <v>60.415205770798046</v>
      </c>
      <c r="T380" s="72">
        <f t="shared" si="149"/>
        <v>62.423609890817644</v>
      </c>
      <c r="U380" s="72">
        <f t="shared" si="149"/>
        <v>64.500392435059069</v>
      </c>
      <c r="V380" s="72">
        <f t="shared" si="149"/>
        <v>66.647942225012031</v>
      </c>
      <c r="W380" s="72">
        <f t="shared" si="149"/>
        <v>68.868734047575941</v>
      </c>
      <c r="X380" s="72">
        <f t="shared" si="149"/>
        <v>71.165331858561302</v>
      </c>
      <c r="Y380" s="72">
        <f t="shared" si="149"/>
        <v>73.540392110512528</v>
      </c>
      <c r="Z380" s="72">
        <f t="shared" si="149"/>
        <v>75.996667209899613</v>
      </c>
      <c r="AA380" s="72">
        <f t="shared" si="149"/>
        <v>78.537009108942158</v>
      </c>
      <c r="AB380" s="72">
        <f t="shared" si="149"/>
        <v>81.164373037552508</v>
      </c>
      <c r="AC380" s="72">
        <f t="shared" si="149"/>
        <v>83.881821381120091</v>
      </c>
      <c r="AD380" s="72">
        <f t="shared" si="149"/>
        <v>86.692527710104301</v>
      </c>
      <c r="AE380" s="72">
        <f t="shared" si="149"/>
        <v>89.599780967658063</v>
      </c>
      <c r="AF380" s="70"/>
      <c r="AG380" s="70"/>
      <c r="AH380" s="70"/>
      <c r="AI380" s="70"/>
    </row>
    <row r="381" spans="1:35" x14ac:dyDescent="0.45">
      <c r="A381" s="70"/>
      <c r="B381" s="52"/>
      <c r="C381" s="52"/>
      <c r="D381" s="72" t="s">
        <v>1853</v>
      </c>
      <c r="E381" s="72" t="s">
        <v>1852</v>
      </c>
      <c r="F381" s="72"/>
      <c r="G381" s="70" t="s">
        <v>1475</v>
      </c>
      <c r="H381" s="87" t="str">
        <f>Settings!$B$3&amp;".mit.emr."&amp;$G381&amp;"."&amp;$J$5</f>
        <v>egy.mit.emr.cbam.tot.1</v>
      </c>
      <c r="I381" s="72"/>
      <c r="J381" s="72"/>
      <c r="K381" s="72"/>
      <c r="L381" s="72">
        <f t="shared" ref="L381:AE381" si="150">L$360+L$371</f>
        <v>0</v>
      </c>
      <c r="M381" s="72">
        <f t="shared" si="150"/>
        <v>0</v>
      </c>
      <c r="N381" s="72">
        <f t="shared" si="150"/>
        <v>0</v>
      </c>
      <c r="O381" s="72">
        <f t="shared" si="150"/>
        <v>0</v>
      </c>
      <c r="P381" s="72">
        <f t="shared" si="150"/>
        <v>0</v>
      </c>
      <c r="Q381" s="72">
        <f t="shared" si="150"/>
        <v>0</v>
      </c>
      <c r="R381" s="72">
        <f t="shared" si="150"/>
        <v>0</v>
      </c>
      <c r="S381" s="72">
        <f t="shared" si="150"/>
        <v>0</v>
      </c>
      <c r="T381" s="72">
        <f t="shared" si="150"/>
        <v>0</v>
      </c>
      <c r="U381" s="72">
        <f t="shared" si="150"/>
        <v>0</v>
      </c>
      <c r="V381" s="72">
        <f t="shared" si="150"/>
        <v>0</v>
      </c>
      <c r="W381" s="72">
        <f t="shared" si="150"/>
        <v>0</v>
      </c>
      <c r="X381" s="72">
        <f t="shared" si="150"/>
        <v>0</v>
      </c>
      <c r="Y381" s="72">
        <f t="shared" si="150"/>
        <v>0</v>
      </c>
      <c r="Z381" s="72">
        <f t="shared" si="150"/>
        <v>0</v>
      </c>
      <c r="AA381" s="72">
        <f t="shared" si="150"/>
        <v>0</v>
      </c>
      <c r="AB381" s="72">
        <f t="shared" si="150"/>
        <v>0</v>
      </c>
      <c r="AC381" s="72">
        <f t="shared" si="150"/>
        <v>0</v>
      </c>
      <c r="AD381" s="72">
        <f t="shared" si="150"/>
        <v>0</v>
      </c>
      <c r="AE381" s="72">
        <f t="shared" si="150"/>
        <v>0</v>
      </c>
      <c r="AF381" s="70"/>
      <c r="AG381" s="70"/>
      <c r="AH381" s="70"/>
      <c r="AI381" s="70"/>
    </row>
    <row r="382" spans="1:35" x14ac:dyDescent="0.45">
      <c r="A382" s="70"/>
      <c r="B382" s="52"/>
      <c r="C382" s="52"/>
      <c r="D382" s="72" t="s">
        <v>1883</v>
      </c>
      <c r="E382" s="72" t="s">
        <v>1854</v>
      </c>
      <c r="F382" s="72"/>
      <c r="G382" s="70" t="s">
        <v>1475</v>
      </c>
      <c r="H382" s="87" t="str">
        <f>Settings!$B$3&amp;".mit.revf."&amp;$G382&amp;"."&amp;$J$5</f>
        <v>egy.mit.revf.cbam.tot.1</v>
      </c>
      <c r="I382" s="72"/>
      <c r="J382" s="72"/>
      <c r="K382" s="72"/>
      <c r="L382" s="72">
        <f t="shared" ref="L382:AE382" si="151">SUMPRODUCT((L$330:L$337+L$352:L$359)*$I$330:$I$337*($F$299:$F$306*L$247+$G$299:$G$306*L$248))</f>
        <v>0</v>
      </c>
      <c r="M382" s="72">
        <f t="shared" si="151"/>
        <v>0</v>
      </c>
      <c r="N382" s="72">
        <f t="shared" si="151"/>
        <v>0</v>
      </c>
      <c r="O382" s="72">
        <f t="shared" si="151"/>
        <v>0</v>
      </c>
      <c r="P382" s="72">
        <f t="shared" si="151"/>
        <v>0</v>
      </c>
      <c r="Q382" s="72">
        <f t="shared" si="151"/>
        <v>0</v>
      </c>
      <c r="R382" s="72">
        <f t="shared" si="151"/>
        <v>0</v>
      </c>
      <c r="S382" s="72">
        <f t="shared" si="151"/>
        <v>0</v>
      </c>
      <c r="T382" s="72">
        <f t="shared" si="151"/>
        <v>0</v>
      </c>
      <c r="U382" s="72">
        <f t="shared" si="151"/>
        <v>0</v>
      </c>
      <c r="V382" s="72">
        <f t="shared" si="151"/>
        <v>0</v>
      </c>
      <c r="W382" s="72">
        <f t="shared" si="151"/>
        <v>0</v>
      </c>
      <c r="X382" s="72">
        <f t="shared" si="151"/>
        <v>0</v>
      </c>
      <c r="Y382" s="72">
        <f t="shared" si="151"/>
        <v>0</v>
      </c>
      <c r="Z382" s="72">
        <f t="shared" si="151"/>
        <v>0</v>
      </c>
      <c r="AA382" s="72">
        <f t="shared" si="151"/>
        <v>0</v>
      </c>
      <c r="AB382" s="72">
        <f t="shared" si="151"/>
        <v>0</v>
      </c>
      <c r="AC382" s="72">
        <f t="shared" si="151"/>
        <v>0</v>
      </c>
      <c r="AD382" s="72">
        <f t="shared" si="151"/>
        <v>0</v>
      </c>
      <c r="AE382" s="72">
        <f t="shared" si="151"/>
        <v>0</v>
      </c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2" t="s">
        <v>1902</v>
      </c>
      <c r="E383" s="72" t="s">
        <v>1854</v>
      </c>
      <c r="F383" s="72"/>
      <c r="G383" s="70" t="s">
        <v>1475</v>
      </c>
      <c r="H383" s="87" t="str">
        <f>Settings!$B$3&amp;".mit.revp."&amp;$G383&amp;"."&amp;$J$5</f>
        <v>egy.mit.revp.cbam.tot.1</v>
      </c>
      <c r="I383" s="72"/>
      <c r="J383" s="72"/>
      <c r="K383" s="72"/>
      <c r="L383" s="72">
        <f t="shared" ref="L383:AE383" si="152">SUMPRODUCT((L$341:L$348*$J$330:$J$337+L$363:L$370)*($F$310:$F$317*L$308+$G$310:$G$317*L$248))</f>
        <v>0</v>
      </c>
      <c r="M383" s="72">
        <f t="shared" si="152"/>
        <v>0</v>
      </c>
      <c r="N383" s="72">
        <f t="shared" si="152"/>
        <v>0</v>
      </c>
      <c r="O383" s="72">
        <f t="shared" si="152"/>
        <v>0</v>
      </c>
      <c r="P383" s="72">
        <f t="shared" si="152"/>
        <v>0</v>
      </c>
      <c r="Q383" s="72">
        <f t="shared" si="152"/>
        <v>0</v>
      </c>
      <c r="R383" s="72">
        <f t="shared" si="152"/>
        <v>0</v>
      </c>
      <c r="S383" s="72">
        <f t="shared" si="152"/>
        <v>0</v>
      </c>
      <c r="T383" s="72">
        <f t="shared" si="152"/>
        <v>0</v>
      </c>
      <c r="U383" s="72">
        <f t="shared" si="152"/>
        <v>0</v>
      </c>
      <c r="V383" s="72">
        <f t="shared" si="152"/>
        <v>0</v>
      </c>
      <c r="W383" s="72">
        <f t="shared" si="152"/>
        <v>0</v>
      </c>
      <c r="X383" s="72">
        <f t="shared" si="152"/>
        <v>0</v>
      </c>
      <c r="Y383" s="72">
        <f t="shared" si="152"/>
        <v>0</v>
      </c>
      <c r="Z383" s="72">
        <f t="shared" si="152"/>
        <v>0</v>
      </c>
      <c r="AA383" s="72">
        <f t="shared" si="152"/>
        <v>0</v>
      </c>
      <c r="AB383" s="72">
        <f t="shared" si="152"/>
        <v>0</v>
      </c>
      <c r="AC383" s="72">
        <f t="shared" si="152"/>
        <v>0</v>
      </c>
      <c r="AD383" s="72">
        <f t="shared" si="152"/>
        <v>0</v>
      </c>
      <c r="AE383" s="72">
        <f t="shared" si="152"/>
        <v>0</v>
      </c>
      <c r="AF383" s="70"/>
      <c r="AG383" s="70"/>
      <c r="AH383" s="70"/>
      <c r="AI383" s="70"/>
    </row>
    <row r="384" spans="1:35" x14ac:dyDescent="0.45">
      <c r="A384" s="70"/>
      <c r="B384" s="52"/>
      <c r="C384" s="73" t="s">
        <v>1482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1477</v>
      </c>
      <c r="H385" s="87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53">SUM(L345:L347)+SUM(L367:L369)</f>
        <v>0.57123661061347031</v>
      </c>
      <c r="M385" s="72">
        <f t="shared" si="153"/>
        <v>0.58380381604696674</v>
      </c>
      <c r="N385" s="72">
        <f t="shared" si="153"/>
        <v>0.5966475</v>
      </c>
      <c r="O385" s="72">
        <f t="shared" si="153"/>
        <v>0.60977374500000003</v>
      </c>
      <c r="P385" s="72">
        <f t="shared" si="153"/>
        <v>0.62318876738999995</v>
      </c>
      <c r="Q385" s="72">
        <f t="shared" si="153"/>
        <v>0.6368989202725801</v>
      </c>
      <c r="R385" s="72">
        <f t="shared" si="153"/>
        <v>0.65091069651857669</v>
      </c>
      <c r="S385" s="72">
        <f t="shared" si="153"/>
        <v>0.66523073184198556</v>
      </c>
      <c r="T385" s="72">
        <f t="shared" si="153"/>
        <v>0.67986580794250906</v>
      </c>
      <c r="U385" s="72">
        <f t="shared" si="153"/>
        <v>0.69482285571724434</v>
      </c>
      <c r="V385" s="72">
        <f t="shared" si="153"/>
        <v>0.7101089585430238</v>
      </c>
      <c r="W385" s="72">
        <f t="shared" si="153"/>
        <v>0.72573135563097024</v>
      </c>
      <c r="X385" s="72">
        <f t="shared" si="153"/>
        <v>0.74169744545485172</v>
      </c>
      <c r="Y385" s="72">
        <f t="shared" si="153"/>
        <v>0.75801478925485843</v>
      </c>
      <c r="Z385" s="72">
        <f t="shared" si="153"/>
        <v>0.7746911146184654</v>
      </c>
      <c r="AA385" s="72">
        <f t="shared" si="153"/>
        <v>0.79173431914007153</v>
      </c>
      <c r="AB385" s="72">
        <f t="shared" si="153"/>
        <v>0.8091524741611531</v>
      </c>
      <c r="AC385" s="72">
        <f t="shared" si="153"/>
        <v>0.8269538285926985</v>
      </c>
      <c r="AD385" s="72">
        <f t="shared" si="153"/>
        <v>0.84514681282173787</v>
      </c>
      <c r="AE385" s="72">
        <f t="shared" si="153"/>
        <v>0.8637400427038161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1478</v>
      </c>
      <c r="H386" s="87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54">SUM(L341:L343)+SUM(L363:L365)</f>
        <v>0.37103529198044649</v>
      </c>
      <c r="M386" s="72">
        <f t="shared" si="154"/>
        <v>0.38736084482758615</v>
      </c>
      <c r="N386" s="72">
        <f t="shared" si="154"/>
        <v>0.40440472199999999</v>
      </c>
      <c r="O386" s="72">
        <f t="shared" si="154"/>
        <v>0.42219852976799999</v>
      </c>
      <c r="P386" s="72">
        <f t="shared" si="154"/>
        <v>0.44077526507779197</v>
      </c>
      <c r="Q386" s="72">
        <f t="shared" si="154"/>
        <v>0.46016937674121494</v>
      </c>
      <c r="R386" s="72">
        <f t="shared" si="154"/>
        <v>0.48041682931782825</v>
      </c>
      <c r="S386" s="72">
        <f t="shared" si="154"/>
        <v>0.50155516980781278</v>
      </c>
      <c r="T386" s="72">
        <f t="shared" si="154"/>
        <v>0.52362359727935659</v>
      </c>
      <c r="U386" s="72">
        <f t="shared" si="154"/>
        <v>0.54666303555964835</v>
      </c>
      <c r="V386" s="72">
        <f t="shared" si="154"/>
        <v>0.57071620912427279</v>
      </c>
      <c r="W386" s="72">
        <f t="shared" si="154"/>
        <v>0.59582772232574088</v>
      </c>
      <c r="X386" s="72">
        <f t="shared" si="154"/>
        <v>0.62204414210807335</v>
      </c>
      <c r="Y386" s="72">
        <f t="shared" si="154"/>
        <v>0.6494140843608287</v>
      </c>
      <c r="Z386" s="72">
        <f t="shared" si="154"/>
        <v>0.67798830407270505</v>
      </c>
      <c r="AA386" s="72">
        <f t="shared" si="154"/>
        <v>0.70781978945190405</v>
      </c>
      <c r="AB386" s="72">
        <f t="shared" si="154"/>
        <v>0.73896386018778804</v>
      </c>
      <c r="AC386" s="72">
        <f t="shared" si="154"/>
        <v>0.77147827003605074</v>
      </c>
      <c r="AD386" s="72">
        <f t="shared" si="154"/>
        <v>0.80542331391763677</v>
      </c>
      <c r="AE386" s="72">
        <f t="shared" si="154"/>
        <v>0.84086193973001278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1479</v>
      </c>
      <c r="H387" s="87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55">L348+L370</f>
        <v>0.64621002403360217</v>
      </c>
      <c r="M387" s="72">
        <f t="shared" si="155"/>
        <v>0.68175157535545017</v>
      </c>
      <c r="N387" s="72">
        <f t="shared" si="155"/>
        <v>0.71924791200000004</v>
      </c>
      <c r="O387" s="72">
        <f t="shared" si="155"/>
        <v>0.75880654716000007</v>
      </c>
      <c r="P387" s="72">
        <f t="shared" si="155"/>
        <v>0.80054090725379989</v>
      </c>
      <c r="Q387" s="72">
        <f t="shared" si="155"/>
        <v>0.84457065715275881</v>
      </c>
      <c r="R387" s="72">
        <f t="shared" si="155"/>
        <v>0.89102204329616075</v>
      </c>
      <c r="S387" s="72">
        <f t="shared" si="155"/>
        <v>0.9400282556774493</v>
      </c>
      <c r="T387" s="72">
        <f t="shared" si="155"/>
        <v>0.99172980973970914</v>
      </c>
      <c r="U387" s="72">
        <f t="shared" si="155"/>
        <v>1.0462749492753931</v>
      </c>
      <c r="V387" s="72">
        <f t="shared" si="155"/>
        <v>1.1038200714855397</v>
      </c>
      <c r="W387" s="72">
        <f t="shared" si="155"/>
        <v>1.1645301754172441</v>
      </c>
      <c r="X387" s="72">
        <f t="shared" si="155"/>
        <v>1.2285793350651928</v>
      </c>
      <c r="Y387" s="72">
        <f t="shared" si="155"/>
        <v>1.2961511984937784</v>
      </c>
      <c r="Z387" s="72">
        <f t="shared" si="155"/>
        <v>1.3674395144109359</v>
      </c>
      <c r="AA387" s="72">
        <f t="shared" si="155"/>
        <v>1.4426486877035372</v>
      </c>
      <c r="AB387" s="72">
        <f t="shared" si="155"/>
        <v>1.5219943655272321</v>
      </c>
      <c r="AC387" s="72">
        <f t="shared" si="155"/>
        <v>1.6057040556312294</v>
      </c>
      <c r="AD387" s="72">
        <f t="shared" si="155"/>
        <v>1.6940177786909472</v>
      </c>
      <c r="AE387" s="72">
        <f t="shared" si="155"/>
        <v>1.787188756518949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1480</v>
      </c>
      <c r="H388" s="87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1481</v>
      </c>
      <c r="H389" s="87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56">L344+L366</f>
        <v>25.163138219961041</v>
      </c>
      <c r="M389" s="72">
        <f t="shared" si="156"/>
        <v>25.993521781219755</v>
      </c>
      <c r="N389" s="72">
        <f t="shared" si="156"/>
        <v>26.851308</v>
      </c>
      <c r="O389" s="72">
        <f t="shared" si="156"/>
        <v>27.737401163999998</v>
      </c>
      <c r="P389" s="72">
        <f t="shared" si="156"/>
        <v>28.652735402411995</v>
      </c>
      <c r="Q389" s="72">
        <f t="shared" si="156"/>
        <v>29.598275670691589</v>
      </c>
      <c r="R389" s="72">
        <f t="shared" si="156"/>
        <v>30.575018767824407</v>
      </c>
      <c r="S389" s="72">
        <f t="shared" si="156"/>
        <v>31.583994387162612</v>
      </c>
      <c r="T389" s="72">
        <f t="shared" si="156"/>
        <v>32.626266201938975</v>
      </c>
      <c r="U389" s="72">
        <f t="shared" si="156"/>
        <v>33.70293298660296</v>
      </c>
      <c r="V389" s="72">
        <f t="shared" si="156"/>
        <v>34.815129775160841</v>
      </c>
      <c r="W389" s="72">
        <f t="shared" si="156"/>
        <v>35.964029057741151</v>
      </c>
      <c r="X389" s="72">
        <f t="shared" si="156"/>
        <v>37.150842016646592</v>
      </c>
      <c r="Y389" s="72">
        <f t="shared" si="156"/>
        <v>38.376819803195943</v>
      </c>
      <c r="Z389" s="72">
        <f t="shared" si="156"/>
        <v>39.643254856701404</v>
      </c>
      <c r="AA389" s="72">
        <f t="shared" si="156"/>
        <v>40.951482266972548</v>
      </c>
      <c r="AB389" s="72">
        <f t="shared" si="156"/>
        <v>42.302881181782631</v>
      </c>
      <c r="AC389" s="72">
        <f t="shared" si="156"/>
        <v>43.698876260781446</v>
      </c>
      <c r="AD389" s="72">
        <f t="shared" si="156"/>
        <v>45.140939177387231</v>
      </c>
      <c r="AE389" s="72">
        <f t="shared" si="156"/>
        <v>46.630590170241007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1475</v>
      </c>
      <c r="H390" s="87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57">SUM(L385:L389)</f>
        <v>26.751620146588561</v>
      </c>
      <c r="M390" s="72">
        <f t="shared" si="157"/>
        <v>27.646438017449757</v>
      </c>
      <c r="N390" s="72">
        <f t="shared" si="157"/>
        <v>28.571608133999998</v>
      </c>
      <c r="O390" s="72">
        <f t="shared" si="157"/>
        <v>29.528179985927999</v>
      </c>
      <c r="P390" s="72">
        <f t="shared" si="157"/>
        <v>30.517240342133586</v>
      </c>
      <c r="Q390" s="72">
        <f t="shared" si="157"/>
        <v>31.539914624858142</v>
      </c>
      <c r="R390" s="72">
        <f t="shared" si="157"/>
        <v>32.597368336956976</v>
      </c>
      <c r="S390" s="72">
        <f t="shared" si="157"/>
        <v>33.690808544489862</v>
      </c>
      <c r="T390" s="72">
        <f t="shared" si="157"/>
        <v>34.821485416900551</v>
      </c>
      <c r="U390" s="72">
        <f t="shared" si="157"/>
        <v>35.990693827155248</v>
      </c>
      <c r="V390" s="72">
        <f t="shared" si="157"/>
        <v>37.19977501431368</v>
      </c>
      <c r="W390" s="72">
        <f t="shared" si="157"/>
        <v>38.450118311115105</v>
      </c>
      <c r="X390" s="72">
        <f t="shared" si="157"/>
        <v>39.743162939274711</v>
      </c>
      <c r="Y390" s="72">
        <f t="shared" si="157"/>
        <v>41.08039987530541</v>
      </c>
      <c r="Z390" s="72">
        <f t="shared" si="157"/>
        <v>42.463373789803512</v>
      </c>
      <c r="AA390" s="72">
        <f t="shared" si="157"/>
        <v>43.893685063268059</v>
      </c>
      <c r="AB390" s="72">
        <f t="shared" si="157"/>
        <v>45.372991881658805</v>
      </c>
      <c r="AC390" s="72">
        <f t="shared" si="157"/>
        <v>46.903012415041424</v>
      </c>
      <c r="AD390" s="72">
        <f t="shared" si="157"/>
        <v>48.485527082817555</v>
      </c>
      <c r="AE390" s="72">
        <f t="shared" si="157"/>
        <v>50.122380909193787</v>
      </c>
      <c r="AF390" s="70"/>
      <c r="AG390" s="70"/>
      <c r="AH390" s="70"/>
      <c r="AI390" s="70"/>
    </row>
    <row r="391" spans="1:35" x14ac:dyDescent="0.45">
      <c r="A391" s="70"/>
      <c r="B391" s="52" t="s">
        <v>1855</v>
      </c>
      <c r="C391" s="73" t="s">
        <v>1483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58">L362</f>
        <v>2022</v>
      </c>
      <c r="M391" s="74">
        <f t="shared" si="158"/>
        <v>2023</v>
      </c>
      <c r="N391" s="74">
        <f t="shared" si="158"/>
        <v>2024</v>
      </c>
      <c r="O391" s="74">
        <f t="shared" si="158"/>
        <v>2025</v>
      </c>
      <c r="P391" s="74">
        <f t="shared" si="158"/>
        <v>2026</v>
      </c>
      <c r="Q391" s="74">
        <f t="shared" si="158"/>
        <v>2027</v>
      </c>
      <c r="R391" s="74">
        <f t="shared" si="158"/>
        <v>2028</v>
      </c>
      <c r="S391" s="74">
        <f t="shared" si="158"/>
        <v>2029</v>
      </c>
      <c r="T391" s="74">
        <f t="shared" si="158"/>
        <v>2030</v>
      </c>
      <c r="U391" s="74">
        <f t="shared" si="158"/>
        <v>2031</v>
      </c>
      <c r="V391" s="74">
        <f t="shared" si="158"/>
        <v>2032</v>
      </c>
      <c r="W391" s="74">
        <f t="shared" si="158"/>
        <v>2033</v>
      </c>
      <c r="X391" s="74">
        <f t="shared" si="158"/>
        <v>2034</v>
      </c>
      <c r="Y391" s="74">
        <f t="shared" si="158"/>
        <v>2035</v>
      </c>
      <c r="Z391" s="74">
        <f t="shared" si="158"/>
        <v>2036</v>
      </c>
      <c r="AA391" s="74">
        <f t="shared" si="158"/>
        <v>2037</v>
      </c>
      <c r="AB391" s="74">
        <f t="shared" si="158"/>
        <v>2038</v>
      </c>
      <c r="AC391" s="74">
        <f t="shared" si="158"/>
        <v>2039</v>
      </c>
      <c r="AD391" s="74">
        <f t="shared" si="158"/>
        <v>2040</v>
      </c>
      <c r="AE391" s="74">
        <f t="shared" si="158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 t="shared" ref="L392:AE392" si="159">(L330+L352)*$I330*($F299*L$247+$G299*L$248)+(L341*$J330+L363)*($F310*L$308+$G310*L$248)</f>
        <v>0</v>
      </c>
      <c r="M392" s="72">
        <f t="shared" si="159"/>
        <v>0</v>
      </c>
      <c r="N392" s="72">
        <f t="shared" si="159"/>
        <v>0</v>
      </c>
      <c r="O392" s="72">
        <f t="shared" si="159"/>
        <v>0</v>
      </c>
      <c r="P392" s="72">
        <f t="shared" si="159"/>
        <v>0</v>
      </c>
      <c r="Q392" s="72">
        <f t="shared" si="159"/>
        <v>0</v>
      </c>
      <c r="R392" s="72">
        <f t="shared" si="159"/>
        <v>0</v>
      </c>
      <c r="S392" s="72">
        <f t="shared" si="159"/>
        <v>0</v>
      </c>
      <c r="T392" s="72">
        <f t="shared" si="159"/>
        <v>0</v>
      </c>
      <c r="U392" s="72">
        <f t="shared" si="159"/>
        <v>0</v>
      </c>
      <c r="V392" s="72">
        <f t="shared" si="159"/>
        <v>0</v>
      </c>
      <c r="W392" s="72">
        <f t="shared" si="159"/>
        <v>0</v>
      </c>
      <c r="X392" s="72">
        <f t="shared" si="159"/>
        <v>0</v>
      </c>
      <c r="Y392" s="72">
        <f t="shared" si="159"/>
        <v>0</v>
      </c>
      <c r="Z392" s="72">
        <f t="shared" si="159"/>
        <v>0</v>
      </c>
      <c r="AA392" s="72">
        <f t="shared" si="159"/>
        <v>0</v>
      </c>
      <c r="AB392" s="72">
        <f t="shared" si="159"/>
        <v>0</v>
      </c>
      <c r="AC392" s="72">
        <f t="shared" si="159"/>
        <v>0</v>
      </c>
      <c r="AD392" s="72">
        <f t="shared" si="159"/>
        <v>0</v>
      </c>
      <c r="AE392" s="72">
        <f t="shared" si="159"/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1355</v>
      </c>
      <c r="E393" s="70"/>
      <c r="F393" s="70"/>
      <c r="G393" s="70"/>
      <c r="H393" s="70"/>
      <c r="I393" s="70"/>
      <c r="J393" s="70"/>
      <c r="K393" s="72"/>
      <c r="L393" s="72">
        <f t="shared" ref="L393:AE393" si="160">(L331+L353)*$I331*($F300*L$247+$G300*L$248)+(L342*$J331+L364)*($F311*L$308+$G311*L$248)</f>
        <v>0</v>
      </c>
      <c r="M393" s="72">
        <f t="shared" si="160"/>
        <v>0</v>
      </c>
      <c r="N393" s="72">
        <f t="shared" si="160"/>
        <v>0</v>
      </c>
      <c r="O393" s="72">
        <f t="shared" si="160"/>
        <v>0</v>
      </c>
      <c r="P393" s="72">
        <f t="shared" si="160"/>
        <v>0</v>
      </c>
      <c r="Q393" s="72">
        <f t="shared" si="160"/>
        <v>0</v>
      </c>
      <c r="R393" s="72">
        <f t="shared" si="160"/>
        <v>0</v>
      </c>
      <c r="S393" s="72">
        <f t="shared" si="160"/>
        <v>0</v>
      </c>
      <c r="T393" s="72">
        <f t="shared" si="160"/>
        <v>0</v>
      </c>
      <c r="U393" s="72">
        <f t="shared" si="160"/>
        <v>0</v>
      </c>
      <c r="V393" s="72">
        <f t="shared" si="160"/>
        <v>0</v>
      </c>
      <c r="W393" s="72">
        <f t="shared" si="160"/>
        <v>0</v>
      </c>
      <c r="X393" s="72">
        <f t="shared" si="160"/>
        <v>0</v>
      </c>
      <c r="Y393" s="72">
        <f t="shared" si="160"/>
        <v>0</v>
      </c>
      <c r="Z393" s="72">
        <f t="shared" si="160"/>
        <v>0</v>
      </c>
      <c r="AA393" s="72">
        <f t="shared" si="160"/>
        <v>0</v>
      </c>
      <c r="AB393" s="72">
        <f t="shared" si="160"/>
        <v>0</v>
      </c>
      <c r="AC393" s="72">
        <f t="shared" si="160"/>
        <v>0</v>
      </c>
      <c r="AD393" s="72">
        <f t="shared" si="160"/>
        <v>0</v>
      </c>
      <c r="AE393" s="72">
        <f t="shared" si="160"/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1359</v>
      </c>
      <c r="E394" s="70"/>
      <c r="F394" s="70"/>
      <c r="G394" s="70"/>
      <c r="H394" s="70"/>
      <c r="I394" s="70"/>
      <c r="J394" s="70"/>
      <c r="K394" s="72"/>
      <c r="L394" s="72">
        <f t="shared" ref="L394:AE394" si="161">(L332+L354)*$I332*($F301*L$247+$G301*L$248)+(L343*$J332+L365)*($F312*L$308+$G312*L$248)</f>
        <v>0</v>
      </c>
      <c r="M394" s="72">
        <f t="shared" si="161"/>
        <v>0</v>
      </c>
      <c r="N394" s="72">
        <f t="shared" si="161"/>
        <v>0</v>
      </c>
      <c r="O394" s="72">
        <f t="shared" si="161"/>
        <v>0</v>
      </c>
      <c r="P394" s="72">
        <f t="shared" si="161"/>
        <v>0</v>
      </c>
      <c r="Q394" s="72">
        <f t="shared" si="161"/>
        <v>0</v>
      </c>
      <c r="R394" s="72">
        <f t="shared" si="161"/>
        <v>0</v>
      </c>
      <c r="S394" s="72">
        <f t="shared" si="161"/>
        <v>0</v>
      </c>
      <c r="T394" s="72">
        <f t="shared" si="161"/>
        <v>0</v>
      </c>
      <c r="U394" s="72">
        <f t="shared" si="161"/>
        <v>0</v>
      </c>
      <c r="V394" s="72">
        <f t="shared" si="161"/>
        <v>0</v>
      </c>
      <c r="W394" s="72">
        <f t="shared" si="161"/>
        <v>0</v>
      </c>
      <c r="X394" s="72">
        <f t="shared" si="161"/>
        <v>0</v>
      </c>
      <c r="Y394" s="72">
        <f t="shared" si="161"/>
        <v>0</v>
      </c>
      <c r="Z394" s="72">
        <f t="shared" si="161"/>
        <v>0</v>
      </c>
      <c r="AA394" s="72">
        <f t="shared" si="161"/>
        <v>0</v>
      </c>
      <c r="AB394" s="72">
        <f t="shared" si="161"/>
        <v>0</v>
      </c>
      <c r="AC394" s="72">
        <f t="shared" si="161"/>
        <v>0</v>
      </c>
      <c r="AD394" s="72">
        <f t="shared" si="161"/>
        <v>0</v>
      </c>
      <c r="AE394" s="72">
        <f t="shared" si="161"/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1363</v>
      </c>
      <c r="E395" s="70"/>
      <c r="F395" s="70"/>
      <c r="G395" s="70"/>
      <c r="H395" s="70"/>
      <c r="I395" s="70"/>
      <c r="J395" s="70"/>
      <c r="K395" s="72"/>
      <c r="L395" s="72">
        <f t="shared" ref="L395:AE395" si="162">(L333+L355)*$I333*($F302*L$247+$G302*L$248)+(L344*$J333+L366)*($F313*L$308+$G313*L$248)</f>
        <v>0</v>
      </c>
      <c r="M395" s="72">
        <f t="shared" si="162"/>
        <v>0</v>
      </c>
      <c r="N395" s="72">
        <f t="shared" si="162"/>
        <v>0</v>
      </c>
      <c r="O395" s="72">
        <f t="shared" si="162"/>
        <v>0</v>
      </c>
      <c r="P395" s="72">
        <f t="shared" si="162"/>
        <v>0</v>
      </c>
      <c r="Q395" s="72">
        <f t="shared" si="162"/>
        <v>0</v>
      </c>
      <c r="R395" s="72">
        <f t="shared" si="162"/>
        <v>0</v>
      </c>
      <c r="S395" s="72">
        <f t="shared" si="162"/>
        <v>0</v>
      </c>
      <c r="T395" s="72">
        <f t="shared" si="162"/>
        <v>0</v>
      </c>
      <c r="U395" s="72">
        <f t="shared" si="162"/>
        <v>0</v>
      </c>
      <c r="V395" s="72">
        <f t="shared" si="162"/>
        <v>0</v>
      </c>
      <c r="W395" s="72">
        <f t="shared" si="162"/>
        <v>0</v>
      </c>
      <c r="X395" s="72">
        <f t="shared" si="162"/>
        <v>0</v>
      </c>
      <c r="Y395" s="72">
        <f t="shared" si="162"/>
        <v>0</v>
      </c>
      <c r="Z395" s="72">
        <f t="shared" si="162"/>
        <v>0</v>
      </c>
      <c r="AA395" s="72">
        <f t="shared" si="162"/>
        <v>0</v>
      </c>
      <c r="AB395" s="72">
        <f t="shared" si="162"/>
        <v>0</v>
      </c>
      <c r="AC395" s="72">
        <f t="shared" si="162"/>
        <v>0</v>
      </c>
      <c r="AD395" s="72">
        <f t="shared" si="162"/>
        <v>0</v>
      </c>
      <c r="AE395" s="72">
        <f t="shared" si="162"/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1425</v>
      </c>
      <c r="E396" s="70"/>
      <c r="F396" s="70"/>
      <c r="G396" s="70"/>
      <c r="H396" s="70"/>
      <c r="I396" s="70"/>
      <c r="J396" s="70"/>
      <c r="K396" s="72"/>
      <c r="L396" s="72">
        <f t="shared" ref="L396:AE396" si="163">(L334+L356)*$I334*($F303*L$247+$G303*L$248)+(L345*$J334+L367)*($F314*L$308+$G314*L$248)</f>
        <v>0</v>
      </c>
      <c r="M396" s="72">
        <f t="shared" si="163"/>
        <v>0</v>
      </c>
      <c r="N396" s="72">
        <f t="shared" si="163"/>
        <v>0</v>
      </c>
      <c r="O396" s="72">
        <f t="shared" si="163"/>
        <v>0</v>
      </c>
      <c r="P396" s="72">
        <f t="shared" si="163"/>
        <v>0</v>
      </c>
      <c r="Q396" s="72">
        <f t="shared" si="163"/>
        <v>0</v>
      </c>
      <c r="R396" s="72">
        <f t="shared" si="163"/>
        <v>0</v>
      </c>
      <c r="S396" s="72">
        <f t="shared" si="163"/>
        <v>0</v>
      </c>
      <c r="T396" s="72">
        <f t="shared" si="163"/>
        <v>0</v>
      </c>
      <c r="U396" s="72">
        <f t="shared" si="163"/>
        <v>0</v>
      </c>
      <c r="V396" s="72">
        <f t="shared" si="163"/>
        <v>0</v>
      </c>
      <c r="W396" s="72">
        <f t="shared" si="163"/>
        <v>0</v>
      </c>
      <c r="X396" s="72">
        <f t="shared" si="163"/>
        <v>0</v>
      </c>
      <c r="Y396" s="72">
        <f t="shared" si="163"/>
        <v>0</v>
      </c>
      <c r="Z396" s="72">
        <f t="shared" si="163"/>
        <v>0</v>
      </c>
      <c r="AA396" s="72">
        <f t="shared" si="163"/>
        <v>0</v>
      </c>
      <c r="AB396" s="72">
        <f t="shared" si="163"/>
        <v>0</v>
      </c>
      <c r="AC396" s="72">
        <f t="shared" si="163"/>
        <v>0</v>
      </c>
      <c r="AD396" s="72">
        <f t="shared" si="163"/>
        <v>0</v>
      </c>
      <c r="AE396" s="72">
        <f t="shared" si="163"/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1373</v>
      </c>
      <c r="E397" s="70"/>
      <c r="F397" s="70"/>
      <c r="G397" s="70"/>
      <c r="H397" s="70"/>
      <c r="I397" s="70"/>
      <c r="J397" s="70"/>
      <c r="K397" s="72"/>
      <c r="L397" s="72">
        <f t="shared" ref="L397:AE397" si="164">(L335+L357)*$I335*($F304*L$247+$G304*L$248)+(L346*$J335+L368)*($F315*L$308+$G315*L$248)</f>
        <v>0</v>
      </c>
      <c r="M397" s="72">
        <f t="shared" si="164"/>
        <v>0</v>
      </c>
      <c r="N397" s="72">
        <f t="shared" si="164"/>
        <v>0</v>
      </c>
      <c r="O397" s="72">
        <f t="shared" si="164"/>
        <v>0</v>
      </c>
      <c r="P397" s="72">
        <f t="shared" si="164"/>
        <v>0</v>
      </c>
      <c r="Q397" s="72">
        <f t="shared" si="164"/>
        <v>0</v>
      </c>
      <c r="R397" s="72">
        <f t="shared" si="164"/>
        <v>0</v>
      </c>
      <c r="S397" s="72">
        <f t="shared" si="164"/>
        <v>0</v>
      </c>
      <c r="T397" s="72">
        <f t="shared" si="164"/>
        <v>0</v>
      </c>
      <c r="U397" s="72">
        <f t="shared" si="164"/>
        <v>0</v>
      </c>
      <c r="V397" s="72">
        <f t="shared" si="164"/>
        <v>0</v>
      </c>
      <c r="W397" s="72">
        <f t="shared" si="164"/>
        <v>0</v>
      </c>
      <c r="X397" s="72">
        <f t="shared" si="164"/>
        <v>0</v>
      </c>
      <c r="Y397" s="72">
        <f t="shared" si="164"/>
        <v>0</v>
      </c>
      <c r="Z397" s="72">
        <f t="shared" si="164"/>
        <v>0</v>
      </c>
      <c r="AA397" s="72">
        <f t="shared" si="164"/>
        <v>0</v>
      </c>
      <c r="AB397" s="72">
        <f t="shared" si="164"/>
        <v>0</v>
      </c>
      <c r="AC397" s="72">
        <f t="shared" si="164"/>
        <v>0</v>
      </c>
      <c r="AD397" s="72">
        <f t="shared" si="164"/>
        <v>0</v>
      </c>
      <c r="AE397" s="72">
        <f t="shared" si="164"/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1378</v>
      </c>
      <c r="E398" s="70"/>
      <c r="F398" s="70"/>
      <c r="G398" s="70"/>
      <c r="H398" s="70"/>
      <c r="I398" s="70"/>
      <c r="J398" s="70"/>
      <c r="K398" s="72"/>
      <c r="L398" s="72">
        <f t="shared" ref="L398:AE398" si="165">(L336+L358)*$I336*($F305*L$247+$G305*L$248)+(L347*$J336+L369)*($F316*L$308+$G316*L$248)</f>
        <v>0</v>
      </c>
      <c r="M398" s="72">
        <f t="shared" si="165"/>
        <v>0</v>
      </c>
      <c r="N398" s="72">
        <f t="shared" si="165"/>
        <v>0</v>
      </c>
      <c r="O398" s="72">
        <f t="shared" si="165"/>
        <v>0</v>
      </c>
      <c r="P398" s="72">
        <f t="shared" si="165"/>
        <v>0</v>
      </c>
      <c r="Q398" s="72">
        <f t="shared" si="165"/>
        <v>0</v>
      </c>
      <c r="R398" s="72">
        <f t="shared" si="165"/>
        <v>0</v>
      </c>
      <c r="S398" s="72">
        <f t="shared" si="165"/>
        <v>0</v>
      </c>
      <c r="T398" s="72">
        <f t="shared" si="165"/>
        <v>0</v>
      </c>
      <c r="U398" s="72">
        <f t="shared" si="165"/>
        <v>0</v>
      </c>
      <c r="V398" s="72">
        <f t="shared" si="165"/>
        <v>0</v>
      </c>
      <c r="W398" s="72">
        <f t="shared" si="165"/>
        <v>0</v>
      </c>
      <c r="X398" s="72">
        <f t="shared" si="165"/>
        <v>0</v>
      </c>
      <c r="Y398" s="72">
        <f t="shared" si="165"/>
        <v>0</v>
      </c>
      <c r="Z398" s="72">
        <f t="shared" si="165"/>
        <v>0</v>
      </c>
      <c r="AA398" s="72">
        <f t="shared" si="165"/>
        <v>0</v>
      </c>
      <c r="AB398" s="72">
        <f t="shared" si="165"/>
        <v>0</v>
      </c>
      <c r="AC398" s="72">
        <f t="shared" si="165"/>
        <v>0</v>
      </c>
      <c r="AD398" s="72">
        <f t="shared" si="165"/>
        <v>0</v>
      </c>
      <c r="AE398" s="72">
        <f t="shared" si="165"/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1383</v>
      </c>
      <c r="E399" s="83"/>
      <c r="F399" s="84"/>
      <c r="G399" s="70"/>
      <c r="H399" s="70"/>
      <c r="I399" s="70"/>
      <c r="J399" s="70"/>
      <c r="K399" s="72"/>
      <c r="L399" s="72">
        <f t="shared" ref="L399:AE399" si="166">(L337+L359)*$I337*($F306*L$247+$G306*L$248)+(L348*$J337+L370)*($F317*L$308+$G317*L$248)</f>
        <v>0</v>
      </c>
      <c r="M399" s="72">
        <f t="shared" si="166"/>
        <v>0</v>
      </c>
      <c r="N399" s="72">
        <f t="shared" si="166"/>
        <v>0</v>
      </c>
      <c r="O399" s="72">
        <f t="shared" si="166"/>
        <v>0</v>
      </c>
      <c r="P399" s="72">
        <f t="shared" si="166"/>
        <v>0</v>
      </c>
      <c r="Q399" s="72">
        <f t="shared" si="166"/>
        <v>0</v>
      </c>
      <c r="R399" s="72">
        <f t="shared" si="166"/>
        <v>0</v>
      </c>
      <c r="S399" s="72">
        <f t="shared" si="166"/>
        <v>0</v>
      </c>
      <c r="T399" s="72">
        <f t="shared" si="166"/>
        <v>0</v>
      </c>
      <c r="U399" s="72">
        <f t="shared" si="166"/>
        <v>0</v>
      </c>
      <c r="V399" s="72">
        <f t="shared" si="166"/>
        <v>0</v>
      </c>
      <c r="W399" s="72">
        <f t="shared" si="166"/>
        <v>0</v>
      </c>
      <c r="X399" s="72">
        <f t="shared" si="166"/>
        <v>0</v>
      </c>
      <c r="Y399" s="72">
        <f t="shared" si="166"/>
        <v>0</v>
      </c>
      <c r="Z399" s="72">
        <f t="shared" si="166"/>
        <v>0</v>
      </c>
      <c r="AA399" s="72">
        <f t="shared" si="166"/>
        <v>0</v>
      </c>
      <c r="AB399" s="72">
        <f t="shared" si="166"/>
        <v>0</v>
      </c>
      <c r="AC399" s="72">
        <f t="shared" si="166"/>
        <v>0</v>
      </c>
      <c r="AD399" s="72">
        <f t="shared" si="166"/>
        <v>0</v>
      </c>
      <c r="AE399" s="72">
        <f t="shared" si="166"/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1484</v>
      </c>
      <c r="E400" s="70" t="s">
        <v>1854</v>
      </c>
      <c r="F400" s="70"/>
      <c r="G400" s="70" t="s">
        <v>110</v>
      </c>
      <c r="H400" s="87" t="str">
        <f>Settings!$B$3&amp;".mit.rev.cbam."&amp;G400&amp;"."&amp;$J$5</f>
        <v>egy.mit.rev.cbam.tot.1</v>
      </c>
      <c r="I400" s="70" t="s">
        <v>1856</v>
      </c>
      <c r="J400" s="70"/>
      <c r="K400" s="72"/>
      <c r="L400" s="72">
        <f t="shared" ref="L400:AE400" si="167">SUM(L392:L399)</f>
        <v>0</v>
      </c>
      <c r="M400" s="72">
        <f t="shared" si="167"/>
        <v>0</v>
      </c>
      <c r="N400" s="72">
        <f t="shared" si="167"/>
        <v>0</v>
      </c>
      <c r="O400" s="72">
        <f t="shared" si="167"/>
        <v>0</v>
      </c>
      <c r="P400" s="72">
        <f t="shared" si="167"/>
        <v>0</v>
      </c>
      <c r="Q400" s="72">
        <f t="shared" si="167"/>
        <v>0</v>
      </c>
      <c r="R400" s="72">
        <f t="shared" si="167"/>
        <v>0</v>
      </c>
      <c r="S400" s="72">
        <f t="shared" si="167"/>
        <v>0</v>
      </c>
      <c r="T400" s="72">
        <f t="shared" si="167"/>
        <v>0</v>
      </c>
      <c r="U400" s="72">
        <f t="shared" si="167"/>
        <v>0</v>
      </c>
      <c r="V400" s="72">
        <f t="shared" si="167"/>
        <v>0</v>
      </c>
      <c r="W400" s="72">
        <f t="shared" si="167"/>
        <v>0</v>
      </c>
      <c r="X400" s="72">
        <f t="shared" si="167"/>
        <v>0</v>
      </c>
      <c r="Y400" s="72">
        <f t="shared" si="167"/>
        <v>0</v>
      </c>
      <c r="Z400" s="72">
        <f t="shared" si="167"/>
        <v>0</v>
      </c>
      <c r="AA400" s="72">
        <f t="shared" si="167"/>
        <v>0</v>
      </c>
      <c r="AB400" s="72">
        <f t="shared" si="167"/>
        <v>0</v>
      </c>
      <c r="AC400" s="72">
        <f t="shared" si="167"/>
        <v>0</v>
      </c>
      <c r="AD400" s="72">
        <f t="shared" si="167"/>
        <v>0</v>
      </c>
      <c r="AE400" s="72">
        <f t="shared" si="167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168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168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168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168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168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168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168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168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168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169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169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169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169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169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169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169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169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169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170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170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170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170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170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170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170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170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170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1</v>
      </c>
      <c r="M437" s="19">
        <f>INDEX(Data_Prices!M:M,MATCH($G437,Data_Prices!$A:$A,0))</f>
        <v>1</v>
      </c>
      <c r="N437" s="19">
        <f>INDEX(Data_Prices!N:N,MATCH($G437,Data_Prices!$A:$A,0))</f>
        <v>1</v>
      </c>
      <c r="O437" s="19">
        <f>INDEX(Data_Prices!O:O,MATCH($G437,Data_Prices!$A:$A,0))</f>
        <v>1</v>
      </c>
      <c r="P437" s="19">
        <f>INDEX(Data_Prices!P:P,MATCH($G437,Data_Prices!$A:$A,0))</f>
        <v>1</v>
      </c>
      <c r="Q437" s="19">
        <f>INDEX(Data_Prices!Q:Q,MATCH($G437,Data_Prices!$A:$A,0))</f>
        <v>1</v>
      </c>
      <c r="R437" s="19">
        <f>INDEX(Data_Prices!R:R,MATCH($G437,Data_Prices!$A:$A,0))</f>
        <v>1</v>
      </c>
      <c r="S437" s="19">
        <f>INDEX(Data_Prices!S:S,MATCH($G437,Data_Prices!$A:$A,0))</f>
        <v>1</v>
      </c>
      <c r="T437" s="19">
        <f>INDEX(Data_Prices!T:T,MATCH($G437,Data_Prices!$A:$A,0))</f>
        <v>1</v>
      </c>
      <c r="U437" s="19">
        <f>INDEX(Data_Prices!U:U,MATCH($G437,Data_Prices!$A:$A,0))</f>
        <v>1</v>
      </c>
      <c r="V437" s="19">
        <f>INDEX(Data_Prices!V:V,MATCH($G437,Data_Prices!$A:$A,0))</f>
        <v>1</v>
      </c>
      <c r="W437" s="19">
        <f>INDEX(Data_Prices!W:W,MATCH($G437,Data_Prices!$A:$A,0))</f>
        <v>1</v>
      </c>
      <c r="X437" s="19">
        <f>INDEX(Data_Prices!X:X,MATCH($G437,Data_Prices!$A:$A,0))</f>
        <v>1</v>
      </c>
      <c r="Y437" s="19">
        <f>INDEX(Data_Prices!Y:Y,MATCH($G437,Data_Prices!$A:$A,0))</f>
        <v>1</v>
      </c>
      <c r="Z437" s="19">
        <f>INDEX(Data_Prices!Z:Z,MATCH($G437,Data_Prices!$A:$A,0))</f>
        <v>1</v>
      </c>
      <c r="AA437" s="19">
        <f>INDEX(Data_Prices!AA:AA,MATCH($G437,Data_Prices!$A:$A,0))</f>
        <v>1</v>
      </c>
      <c r="AB437" s="19">
        <f>INDEX(Data_Prices!AB:AB,MATCH($G437,Data_Prices!$A:$A,0))</f>
        <v>1</v>
      </c>
      <c r="AC437" s="19">
        <f>INDEX(Data_Prices!AC:AC,MATCH($G437,Data_Prices!$A:$A,0))</f>
        <v>1</v>
      </c>
      <c r="AD437" s="19">
        <f>INDEX(Data_Prices!AD:AD,MATCH($G437,Data_Prices!$A:$A,0))</f>
        <v>1</v>
      </c>
      <c r="AE437" s="19">
        <f>INDEX(Data_Prices!AE:AE,MATCH($G437,Data_Prices!$A:$A,0))</f>
        <v>1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171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171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171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171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171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171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171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171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171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172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I453" t="s">
        <v>2391</v>
      </c>
      <c r="L453" s="47">
        <f>INDEX(Data_Energy!$D$3:$U$22,MATCH($B453,Data_Energy!$C$3:$C$22,0),MATCH($C453,Data_Energy!$D$2:$U$2,0))</f>
        <v>232.65735477013101</v>
      </c>
      <c r="M453" s="24">
        <f>L453*(1+M$438)^($E443*M$439)*(1+M$440)*IF(Rebate_Industry!L$223&lt;=0,1,Rebate_Industry!M$223/Rebate_Industry!L$223)^$F443*(IF(L426&lt;=0,1,M426/L426)^$G443/(1+$H443+$I443))^(1+$F443)</f>
        <v>189.45265610688699</v>
      </c>
      <c r="N453" s="24">
        <f>M453*(1+N$438)^($E443*N$439)*(1+N$440)*IF(Rebate_Industry!M$223&lt;=0,1,Rebate_Industry!N$223/Rebate_Industry!M$223)^$F443*(IF(M426&lt;=0,1,N426/M426)^$G443/(1+$H443+$I443))^(1+$F443)</f>
        <v>217.72883870914094</v>
      </c>
      <c r="O453" s="24">
        <f>N453*(1+O$438)^($E443*O$439)*(1+O$440)*IF(Rebate_Industry!N$223&lt;=0,1,Rebate_Industry!O$223/Rebate_Industry!N$223)^$F443*(IF(N426&lt;=0,1,O426/N426)^$G443/(1+$H443+$I443))^(1+$F443)</f>
        <v>237.89793015048883</v>
      </c>
      <c r="P453" s="24">
        <f>O453*(1+P$438)^($E443*P$439)*(1+P$440)*IF(Rebate_Industry!O$223&lt;=0,1,Rebate_Industry!P$223/Rebate_Industry!O$223)^$F443*(IF(O426&lt;=0,1,P426/O426)^$G443/(1+$H443+$I443))^(1+$F443)</f>
        <v>232.65006903124424</v>
      </c>
      <c r="Q453" s="24">
        <f>P453*(1+Q$438)^($E443*Q$439)*(1+Q$440)*IF(Rebate_Industry!P$223&lt;=0,1,Rebate_Industry!Q$223/Rebate_Industry!P$223)^$F443*(IF(P426&lt;=0,1,Q426/P426)^$G443/(1+$H443+$I443))^(1+$F443)</f>
        <v>218.61847136811463</v>
      </c>
      <c r="R453" s="24">
        <f>Q453*(1+R$438)^($E443*R$439)*(1+R$440)*IF(Rebate_Industry!Q$223&lt;=0,1,Rebate_Industry!R$223/Rebate_Industry!Q$223)^$F443*(IF(Q426&lt;=0,1,R426/Q426)^$G443/(1+$H443+$I443))^(1+$F443)</f>
        <v>210.28498690349488</v>
      </c>
      <c r="S453" s="24">
        <f>R453*(1+S$438)^($E443*S$439)*(1+S$440)*IF(Rebate_Industry!R$223&lt;=0,1,Rebate_Industry!S$223/Rebate_Industry!R$223)^$F443*(IF(R426&lt;=0,1,S426/R426)^$G443/(1+$H443+$I443))^(1+$F443)</f>
        <v>203.14643963897521</v>
      </c>
      <c r="T453" s="24">
        <f>S453*(1+T$438)^($E443*T$439)*(1+T$440)*IF(Rebate_Industry!S$223&lt;=0,1,Rebate_Industry!T$223/Rebate_Industry!S$223)^$F443*(IF(S426&lt;=0,1,T426/S426)^$G443/(1+$H443+$I443))^(1+$F443)</f>
        <v>196.84230886321788</v>
      </c>
      <c r="U453" s="24">
        <f>T453*(1+U$438)^($E443*U$439)*(1+U$440)*IF(Rebate_Industry!T$223&lt;=0,1,Rebate_Industry!U$223/Rebate_Industry!T$223)^$F443*(IF(T426&lt;=0,1,U426/T426)^$G443/(1+$H443+$I443))^(1+$F443)</f>
        <v>191.39075749537983</v>
      </c>
      <c r="V453" s="24">
        <f>U453*(1+V$438)^($E443*V$439)*(1+V$440)*IF(Rebate_Industry!U$223&lt;=0,1,Rebate_Industry!V$223/Rebate_Industry!U$223)^$F443*(IF(U426&lt;=0,1,V426/U426)^$G443/(1+$H443+$I443))^(1+$F443)</f>
        <v>186.2178811492559</v>
      </c>
      <c r="W453" s="24">
        <f>V453*(1+W$438)^($E443*W$439)*(1+W$440)*IF(Rebate_Industry!V$223&lt;=0,1,Rebate_Industry!W$223/Rebate_Industry!V$223)^$F443*(IF(V426&lt;=0,1,W426/V426)^$G443/(1+$H443+$I443))^(1+$F443)</f>
        <v>181.78008799508211</v>
      </c>
      <c r="X453" s="24">
        <f>W453*(1+X$438)^($E443*X$439)*(1+X$440)*IF(Rebate_Industry!W$223&lt;=0,1,Rebate_Industry!X$223/Rebate_Industry!W$223)^$F443*(IF(W426&lt;=0,1,X426/W426)^$G443/(1+$H443+$I443))^(1+$F443)</f>
        <v>177.97349187208462</v>
      </c>
      <c r="Y453" s="24">
        <f>X453*(1+Y$438)^($E443*Y$439)*(1+Y$440)*IF(Rebate_Industry!X$223&lt;=0,1,Rebate_Industry!Y$223/Rebate_Industry!X$223)^$F443*(IF(X426&lt;=0,1,Y426/X426)^$G443/(1+$H443+$I443))^(1+$F443)</f>
        <v>174.72635256308322</v>
      </c>
      <c r="Z453" s="24">
        <f>Y453*(1+Z$438)^($E443*Z$439)*(1+Z$440)*IF(Rebate_Industry!Y$223&lt;=0,1,Rebate_Industry!Z$223/Rebate_Industry!Y$223)^$F443*(IF(Y426&lt;=0,1,Z426/Y426)^$G443/(1+$H443+$I443))^(1+$F443)</f>
        <v>171.99928670368777</v>
      </c>
      <c r="AA453" s="24">
        <f>Z453*(1+AA$438)^($E443*AA$439)*(1+AA$440)*IF(Rebate_Industry!Z$223&lt;=0,1,Rebate_Industry!AA$223/Rebate_Industry!Z$223)^$F443*(IF(Z426&lt;=0,1,AA426/Z426)^$G443/(1+$H443+$I443))^(1+$F443)</f>
        <v>169.74391219112042</v>
      </c>
      <c r="AB453" s="24">
        <f>AA453*(1+AB$438)^($E443*AB$439)*(1+AB$440)*IF(Rebate_Industry!AA$223&lt;=0,1,Rebate_Industry!AB$223/Rebate_Industry!AA$223)^$F443*(IF(AA426&lt;=0,1,AB426/AA426)^$G443/(1+$H443+$I443))^(1+$F443)</f>
        <v>167.91465652501745</v>
      </c>
      <c r="AC453" s="24">
        <f>AB453*(1+AC$438)^($E443*AC$439)*(1+AC$440)*IF(Rebate_Industry!AB$223&lt;=0,1,Rebate_Industry!AC$223/Rebate_Industry!AB$223)^$F443*(IF(AB426&lt;=0,1,AC426/AB426)^$G443/(1+$H443+$I443))^(1+$F443)</f>
        <v>166.45600964782685</v>
      </c>
      <c r="AD453" s="24">
        <f>AC453*(1+AD$438)^($E443*AD$439)*(1+AD$440)*IF(Rebate_Industry!AC$223&lt;=0,1,Rebate_Industry!AD$223/Rebate_Industry!AC$223)^$F443*(IF(AC426&lt;=0,1,AD426/AC426)^$G443/(1+$H443+$I443))^(1+$F443)</f>
        <v>165.32123471166477</v>
      </c>
      <c r="AE453" s="24">
        <f>AD453*(1+AE$438)^($E443*AE$439)*(1+AE$440)*IF(Rebate_Industry!AD$223&lt;=0,1,Rebate_Industry!AE$223/Rebate_Industry!AD$223)^$F443*(IF(AD426&lt;=0,1,AE426/AD426)^$G443/(1+$H443+$I443))^(1+$F443)</f>
        <v>164.47316873515103</v>
      </c>
    </row>
    <row r="454" spans="1:35" x14ac:dyDescent="0.45">
      <c r="B454" s="14" t="s">
        <v>53</v>
      </c>
      <c r="C454" s="14" t="str">
        <f t="shared" si="172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I454" t="s">
        <v>2392</v>
      </c>
      <c r="L454" s="47">
        <f>INDEX(Data_Energy!$D$3:$U$22,MATCH($B454,Data_Energy!$C$3:$C$22,0),MATCH($C454,Data_Energy!$D$2:$U$2,0))</f>
        <v>1669.05671904213</v>
      </c>
      <c r="M454" s="24">
        <f>L454*(1+M$438)^($E444*M$439)*(1+M$440)*IF(Rebate_Industry!L$224&lt;=0,1,Rebate_Industry!M$224/Rebate_Industry!L$224)^$F444*(IF(L427&lt;=0,1,M427/L427)^$G444/(1+$H444+$I444))^(1+$F444)</f>
        <v>1431.7775208824874</v>
      </c>
      <c r="N454" s="24">
        <f>M454*(1+N$438)^($E444*N$439)*(1+N$440)*IF(Rebate_Industry!M$224&lt;=0,1,Rebate_Industry!N$224/Rebate_Industry!M$224)^$F444*(IF(M427&lt;=0,1,N427/M427)^$G444/(1+$H444+$I444))^(1+$F444)</f>
        <v>1603.1180815212331</v>
      </c>
      <c r="O454" s="24">
        <f>N454*(1+O$438)^($E444*O$439)*(1+O$440)*IF(Rebate_Industry!N$224&lt;=0,1,Rebate_Industry!O$224/Rebate_Industry!N$224)^$F444*(IF(N427&lt;=0,1,O427/N427)^$G444/(1+$H444+$I444))^(1+$F444)</f>
        <v>1666.4691074748598</v>
      </c>
      <c r="P454" s="24">
        <f>O454*(1+P$438)^($E444*P$439)*(1+P$440)*IF(Rebate_Industry!O$224&lt;=0,1,Rebate_Industry!P$224/Rebate_Industry!O$224)^$F444*(IF(O427&lt;=0,1,P427/O427)^$G444/(1+$H444+$I444))^(1+$F444)</f>
        <v>1729.0519522219979</v>
      </c>
      <c r="Q454" s="24">
        <f>P454*(1+Q$438)^($E444*Q$439)*(1+Q$440)*IF(Rebate_Industry!P$224&lt;=0,1,Rebate_Industry!Q$224/Rebate_Industry!P$224)^$F444*(IF(P427&lt;=0,1,Q427/P427)^$G444/(1+$H444+$I444))^(1+$F444)</f>
        <v>1637.7863258003924</v>
      </c>
      <c r="R454" s="24">
        <f>Q454*(1+R$438)^($E444*R$439)*(1+R$440)*IF(Rebate_Industry!Q$224&lt;=0,1,Rebate_Industry!R$224/Rebate_Industry!Q$224)^$F444*(IF(Q427&lt;=0,1,R427/Q427)^$G444/(1+$H444+$I444))^(1+$F444)</f>
        <v>1578.6642302926864</v>
      </c>
      <c r="S454" s="24">
        <f>R454*(1+S$438)^($E444*S$439)*(1+S$440)*IF(Rebate_Industry!R$224&lt;=0,1,Rebate_Industry!S$224/Rebate_Industry!R$224)^$F444*(IF(R427&lt;=0,1,S427/R427)^$G444/(1+$H444+$I444))^(1+$F444)</f>
        <v>1529.186426457856</v>
      </c>
      <c r="T454" s="24">
        <f>S454*(1+T$438)^($E444*T$439)*(1+T$440)*IF(Rebate_Industry!S$224&lt;=0,1,Rebate_Industry!T$224/Rebate_Industry!S$224)^$F444*(IF(S427&lt;=0,1,T427/S427)^$G444/(1+$H444+$I444))^(1+$F444)</f>
        <v>1485.5462441642121</v>
      </c>
      <c r="U454" s="24">
        <f>T454*(1+U$438)^($E444*U$439)*(1+U$440)*IF(Rebate_Industry!T$224&lt;=0,1,Rebate_Industry!U$224/Rebate_Industry!T$224)^$F444*(IF(T427&lt;=0,1,U427/T427)^$G444/(1+$H444+$I444))^(1+$F444)</f>
        <v>1450.0773513762758</v>
      </c>
      <c r="V454" s="24">
        <f>U454*(1+V$438)^($E444*V$439)*(1+V$440)*IF(Rebate_Industry!U$224&lt;=0,1,Rebate_Industry!V$224/Rebate_Industry!U$224)^$F444*(IF(U427&lt;=0,1,V427/U427)^$G444/(1+$H444+$I444))^(1+$F444)</f>
        <v>1421.68890759584</v>
      </c>
      <c r="W454" s="24">
        <f>V454*(1+W$438)^($E444*W$439)*(1+W$440)*IF(Rebate_Industry!V$224&lt;=0,1,Rebate_Industry!W$224/Rebate_Industry!V$224)^$F444*(IF(V427&lt;=0,1,W427/V427)^$G444/(1+$H444+$I444))^(1+$F444)</f>
        <v>1399.5811578972732</v>
      </c>
      <c r="X454" s="24">
        <f>W454*(1+X$438)^($E444*X$439)*(1+X$440)*IF(Rebate_Industry!W$224&lt;=0,1,Rebate_Industry!X$224/Rebate_Industry!W$224)^$F444*(IF(W427&lt;=0,1,X427/W427)^$G444/(1+$H444+$I444))^(1+$F444)</f>
        <v>1383.0540457815339</v>
      </c>
      <c r="Y454" s="24">
        <f>X454*(1+Y$438)^($E444*Y$439)*(1+Y$440)*IF(Rebate_Industry!X$224&lt;=0,1,Rebate_Industry!Y$224/Rebate_Industry!X$224)^$F444*(IF(X427&lt;=0,1,Y427/X427)^$G444/(1+$H444+$I444))^(1+$F444)</f>
        <v>1371.7254363432983</v>
      </c>
      <c r="Z454" s="24">
        <f>Y454*(1+Z$438)^($E444*Z$439)*(1+Z$440)*IF(Rebate_Industry!Y$224&lt;=0,1,Rebate_Industry!Z$224/Rebate_Industry!Y$224)^$F444*(IF(Y427&lt;=0,1,Z427/Y427)^$G444/(1+$H444+$I444))^(1+$F444)</f>
        <v>1365.5951108489835</v>
      </c>
      <c r="AA454" s="24">
        <f>Z454*(1+AA$438)^($E444*AA$439)*(1+AA$440)*IF(Rebate_Industry!Z$224&lt;=0,1,Rebate_Industry!AA$224/Rebate_Industry!Z$224)^$F444*(IF(Z427&lt;=0,1,AA427/Z427)^$G444/(1+$H444+$I444))^(1+$F444)</f>
        <v>1364.4341895239882</v>
      </c>
      <c r="AB454" s="24">
        <f>AA454*(1+AB$438)^($E444*AB$439)*(1+AB$440)*IF(Rebate_Industry!AA$224&lt;=0,1,Rebate_Industry!AB$224/Rebate_Industry!AA$224)^$F444*(IF(AA427&lt;=0,1,AB427/AA427)^$G444/(1+$H444+$I444))^(1+$F444)</f>
        <v>1367.9863527047892</v>
      </c>
      <c r="AC454" s="24">
        <f>AB454*(1+AC$438)^($E444*AC$439)*(1+AC$440)*IF(Rebate_Industry!AB$224&lt;=0,1,Rebate_Industry!AC$224/Rebate_Industry!AB$224)^$F444*(IF(AB427&lt;=0,1,AC427/AB427)^$G444/(1+$H444+$I444))^(1+$F444)</f>
        <v>1375.7703000424308</v>
      </c>
      <c r="AD454" s="24">
        <f>AC454*(1+AD$438)^($E444*AD$439)*(1+AD$440)*IF(Rebate_Industry!AC$224&lt;=0,1,Rebate_Industry!AD$224/Rebate_Industry!AC$224)^$F444*(IF(AC427&lt;=0,1,AD427/AC427)^$G444/(1+$H444+$I444))^(1+$F444)</f>
        <v>1387.3865840128042</v>
      </c>
      <c r="AE454" s="24">
        <f>AD454*(1+AE$438)^($E444*AE$439)*(1+AE$440)*IF(Rebate_Industry!AD$224&lt;=0,1,Rebate_Industry!AE$224/Rebate_Industry!AD$224)^$F444*(IF(AD427&lt;=0,1,AE427/AD427)^$G444/(1+$H444+$I444))^(1+$F444)</f>
        <v>1402.5434936424028</v>
      </c>
    </row>
    <row r="455" spans="1:35" x14ac:dyDescent="0.45">
      <c r="B455" s="14" t="s">
        <v>55</v>
      </c>
      <c r="C455" s="14" t="str">
        <f t="shared" si="172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I455" t="s">
        <v>2393</v>
      </c>
      <c r="L455" s="47">
        <f>INDEX(Data_Energy!$D$3:$U$22,MATCH($B455,Data_Energy!$C$3:$C$22,0),MATCH($C455,Data_Energy!$D$2:$U$2,0))</f>
        <v>0</v>
      </c>
      <c r="M455" s="24">
        <f>L455*(1+M$438)^($E445*M$439)*(1+M$440)*IF(Rebate_Industry!L$225&lt;=0,1,Rebate_Industry!M$225/Rebate_Industry!L$225)^$F445*(IF(L428&lt;=0,1,M428/L428)^$G445/(1+$H445+$I445))^(1+$F445)</f>
        <v>0</v>
      </c>
      <c r="N455" s="24">
        <f>M455*(1+N$438)^($E445*N$439)*(1+N$440)*IF(Rebate_Industry!M$225&lt;=0,1,Rebate_Industry!N$225/Rebate_Industry!M$225)^$F445*(IF(M428&lt;=0,1,N428/M428)^$G445/(1+$H445+$I445))^(1+$F445)</f>
        <v>0</v>
      </c>
      <c r="O455" s="24">
        <f>N455*(1+O$438)^($E445*O$439)*(1+O$440)*IF(Rebate_Industry!N$225&lt;=0,1,Rebate_Industry!O$225/Rebate_Industry!N$225)^$F445*(IF(N428&lt;=0,1,O428/N428)^$G445/(1+$H445+$I445))^(1+$F445)</f>
        <v>0</v>
      </c>
      <c r="P455" s="24">
        <f>O455*(1+P$438)^($E445*P$439)*(1+P$440)*IF(Rebate_Industry!O$225&lt;=0,1,Rebate_Industry!P$225/Rebate_Industry!O$225)^$F445*(IF(O428&lt;=0,1,P428/O428)^$G445/(1+$H445+$I445))^(1+$F445)</f>
        <v>0</v>
      </c>
      <c r="Q455" s="24">
        <f>P455*(1+Q$438)^($E445*Q$439)*(1+Q$440)*IF(Rebate_Industry!P$225&lt;=0,1,Rebate_Industry!Q$225/Rebate_Industry!P$225)^$F445*(IF(P428&lt;=0,1,Q428/P428)^$G445/(1+$H445+$I445))^(1+$F445)</f>
        <v>0</v>
      </c>
      <c r="R455" s="24">
        <f>Q455*(1+R$438)^($E445*R$439)*(1+R$440)*IF(Rebate_Industry!Q$225&lt;=0,1,Rebate_Industry!R$225/Rebate_Industry!Q$225)^$F445*(IF(Q428&lt;=0,1,R428/Q428)^$G445/(1+$H445+$I445))^(1+$F445)</f>
        <v>0</v>
      </c>
      <c r="S455" s="24">
        <f>R455*(1+S$438)^($E445*S$439)*(1+S$440)*IF(Rebate_Industry!R$225&lt;=0,1,Rebate_Industry!S$225/Rebate_Industry!R$225)^$F445*(IF(R428&lt;=0,1,S428/R428)^$G445/(1+$H445+$I445))^(1+$F445)</f>
        <v>0</v>
      </c>
      <c r="T455" s="24">
        <f>S455*(1+T$438)^($E445*T$439)*(1+T$440)*IF(Rebate_Industry!S$225&lt;=0,1,Rebate_Industry!T$225/Rebate_Industry!S$225)^$F445*(IF(S428&lt;=0,1,T428/S428)^$G445/(1+$H445+$I445))^(1+$F445)</f>
        <v>0</v>
      </c>
      <c r="U455" s="24">
        <f>T455*(1+U$438)^($E445*U$439)*(1+U$440)*IF(Rebate_Industry!T$225&lt;=0,1,Rebate_Industry!U$225/Rebate_Industry!T$225)^$F445*(IF(T428&lt;=0,1,U428/T428)^$G445/(1+$H445+$I445))^(1+$F445)</f>
        <v>0</v>
      </c>
      <c r="V455" s="24">
        <f>U455*(1+V$438)^($E445*V$439)*(1+V$440)*IF(Rebate_Industry!U$225&lt;=0,1,Rebate_Industry!V$225/Rebate_Industry!U$225)^$F445*(IF(U428&lt;=0,1,V428/U428)^$G445/(1+$H445+$I445))^(1+$F445)</f>
        <v>0</v>
      </c>
      <c r="W455" s="24">
        <f>V455*(1+W$438)^($E445*W$439)*(1+W$440)*IF(Rebate_Industry!V$225&lt;=0,1,Rebate_Industry!W$225/Rebate_Industry!V$225)^$F445*(IF(V428&lt;=0,1,W428/V428)^$G445/(1+$H445+$I445))^(1+$F445)</f>
        <v>0</v>
      </c>
      <c r="X455" s="24">
        <f>W455*(1+X$438)^($E445*X$439)*(1+X$440)*IF(Rebate_Industry!W$225&lt;=0,1,Rebate_Industry!X$225/Rebate_Industry!W$225)^$F445*(IF(W428&lt;=0,1,X428/W428)^$G445/(1+$H445+$I445))^(1+$F445)</f>
        <v>0</v>
      </c>
      <c r="Y455" s="24">
        <f>X455*(1+Y$438)^($E445*Y$439)*(1+Y$440)*IF(Rebate_Industry!X$225&lt;=0,1,Rebate_Industry!Y$225/Rebate_Industry!X$225)^$F445*(IF(X428&lt;=0,1,Y428/X428)^$G445/(1+$H445+$I445))^(1+$F445)</f>
        <v>0</v>
      </c>
      <c r="Z455" s="24">
        <f>Y455*(1+Z$438)^($E445*Z$439)*(1+Z$440)*IF(Rebate_Industry!Y$225&lt;=0,1,Rebate_Industry!Z$225/Rebate_Industry!Y$225)^$F445*(IF(Y428&lt;=0,1,Z428/Y428)^$G445/(1+$H445+$I445))^(1+$F445)</f>
        <v>0</v>
      </c>
      <c r="AA455" s="24">
        <f>Z455*(1+AA$438)^($E445*AA$439)*(1+AA$440)*IF(Rebate_Industry!Z$225&lt;=0,1,Rebate_Industry!AA$225/Rebate_Industry!Z$225)^$F445*(IF(Z428&lt;=0,1,AA428/Z428)^$G445/(1+$H445+$I445))^(1+$F445)</f>
        <v>0</v>
      </c>
      <c r="AB455" s="24">
        <f>AA455*(1+AB$438)^($E445*AB$439)*(1+AB$440)*IF(Rebate_Industry!AA$225&lt;=0,1,Rebate_Industry!AB$225/Rebate_Industry!AA$225)^$F445*(IF(AA428&lt;=0,1,AB428/AA428)^$G445/(1+$H445+$I445))^(1+$F445)</f>
        <v>0</v>
      </c>
      <c r="AC455" s="24">
        <f>AB455*(1+AC$438)^($E445*AC$439)*(1+AC$440)*IF(Rebate_Industry!AB$225&lt;=0,1,Rebate_Industry!AC$225/Rebate_Industry!AB$225)^$F445*(IF(AB428&lt;=0,1,AC428/AB428)^$G445/(1+$H445+$I445))^(1+$F445)</f>
        <v>0</v>
      </c>
      <c r="AD455" s="24">
        <f>AC455*(1+AD$438)^($E445*AD$439)*(1+AD$440)*IF(Rebate_Industry!AC$225&lt;=0,1,Rebate_Industry!AD$225/Rebate_Industry!AC$225)^$F445*(IF(AC428&lt;=0,1,AD428/AC428)^$G445/(1+$H445+$I445))^(1+$F445)</f>
        <v>0</v>
      </c>
      <c r="AE455" s="24">
        <f>AD455*(1+AE$438)^($E445*AE$439)*(1+AE$440)*IF(Rebate_Industry!AD$225&lt;=0,1,Rebate_Industry!AE$225/Rebate_Industry!AD$225)^$F445*(IF(AD428&lt;=0,1,AE428/AD428)^$G445/(1+$H445+$I445))^(1+$F445)</f>
        <v>0</v>
      </c>
    </row>
    <row r="456" spans="1:35" x14ac:dyDescent="0.45">
      <c r="B456" s="14" t="s">
        <v>58</v>
      </c>
      <c r="C456" s="14" t="str">
        <f t="shared" si="172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I456" t="s">
        <v>2394</v>
      </c>
      <c r="L456" s="47">
        <f>INDEX(Data_Energy!$D$3:$U$22,MATCH($B456,Data_Energy!$C$3:$C$22,0),MATCH($C456,Data_Energy!$D$2:$U$2,0))</f>
        <v>0</v>
      </c>
      <c r="M456" s="24">
        <f>L456*(1+M$438)^($E446*M$439)*(1+M$440)*IF(Rebate_Industry!L$226&lt;=0,1,Rebate_Industry!M$226/Rebate_Industry!L$226)^$F446*(IF(L429&lt;=0,1,M429/L429)^$G446/(1+$H446+$I446))^(1+$F446)</f>
        <v>0</v>
      </c>
      <c r="N456" s="24">
        <f>M456*(1+N$438)^($E446*N$439)*(1+N$440)*IF(Rebate_Industry!M$226&lt;=0,1,Rebate_Industry!N$226/Rebate_Industry!M$226)^$F446*(IF(M429&lt;=0,1,N429/M429)^$G446/(1+$H446+$I446))^(1+$F446)</f>
        <v>0</v>
      </c>
      <c r="O456" s="24">
        <f>N456*(1+O$438)^($E446*O$439)*(1+O$440)*IF(Rebate_Industry!N$226&lt;=0,1,Rebate_Industry!O$226/Rebate_Industry!N$226)^$F446*(IF(N429&lt;=0,1,O429/N429)^$G446/(1+$H446+$I446))^(1+$F446)</f>
        <v>0</v>
      </c>
      <c r="P456" s="24">
        <f>O456*(1+P$438)^($E446*P$439)*(1+P$440)*IF(Rebate_Industry!O$226&lt;=0,1,Rebate_Industry!P$226/Rebate_Industry!O$226)^$F446*(IF(O429&lt;=0,1,P429/O429)^$G446/(1+$H446+$I446))^(1+$F446)</f>
        <v>0</v>
      </c>
      <c r="Q456" s="24">
        <f>P456*(1+Q$438)^($E446*Q$439)*(1+Q$440)*IF(Rebate_Industry!P$226&lt;=0,1,Rebate_Industry!Q$226/Rebate_Industry!P$226)^$F446*(IF(P429&lt;=0,1,Q429/P429)^$G446/(1+$H446+$I446))^(1+$F446)</f>
        <v>0</v>
      </c>
      <c r="R456" s="24">
        <f>Q456*(1+R$438)^($E446*R$439)*(1+R$440)*IF(Rebate_Industry!Q$226&lt;=0,1,Rebate_Industry!R$226/Rebate_Industry!Q$226)^$F446*(IF(Q429&lt;=0,1,R429/Q429)^$G446/(1+$H446+$I446))^(1+$F446)</f>
        <v>0</v>
      </c>
      <c r="S456" s="24">
        <f>R456*(1+S$438)^($E446*S$439)*(1+S$440)*IF(Rebate_Industry!R$226&lt;=0,1,Rebate_Industry!S$226/Rebate_Industry!R$226)^$F446*(IF(R429&lt;=0,1,S429/R429)^$G446/(1+$H446+$I446))^(1+$F446)</f>
        <v>0</v>
      </c>
      <c r="T456" s="24">
        <f>S456*(1+T$438)^($E446*T$439)*(1+T$440)*IF(Rebate_Industry!S$226&lt;=0,1,Rebate_Industry!T$226/Rebate_Industry!S$226)^$F446*(IF(S429&lt;=0,1,T429/S429)^$G446/(1+$H446+$I446))^(1+$F446)</f>
        <v>0</v>
      </c>
      <c r="U456" s="24">
        <f>T456*(1+U$438)^($E446*U$439)*(1+U$440)*IF(Rebate_Industry!T$226&lt;=0,1,Rebate_Industry!U$226/Rebate_Industry!T$226)^$F446*(IF(T429&lt;=0,1,U429/T429)^$G446/(1+$H446+$I446))^(1+$F446)</f>
        <v>0</v>
      </c>
      <c r="V456" s="24">
        <f>U456*(1+V$438)^($E446*V$439)*(1+V$440)*IF(Rebate_Industry!U$226&lt;=0,1,Rebate_Industry!V$226/Rebate_Industry!U$226)^$F446*(IF(U429&lt;=0,1,V429/U429)^$G446/(1+$H446+$I446))^(1+$F446)</f>
        <v>0</v>
      </c>
      <c r="W456" s="24">
        <f>V456*(1+W$438)^($E446*W$439)*(1+W$440)*IF(Rebate_Industry!V$226&lt;=0,1,Rebate_Industry!W$226/Rebate_Industry!V$226)^$F446*(IF(V429&lt;=0,1,W429/V429)^$G446/(1+$H446+$I446))^(1+$F446)</f>
        <v>0</v>
      </c>
      <c r="X456" s="24">
        <f>W456*(1+X$438)^($E446*X$439)*(1+X$440)*IF(Rebate_Industry!W$226&lt;=0,1,Rebate_Industry!X$226/Rebate_Industry!W$226)^$F446*(IF(W429&lt;=0,1,X429/W429)^$G446/(1+$H446+$I446))^(1+$F446)</f>
        <v>0</v>
      </c>
      <c r="Y456" s="24">
        <f>X456*(1+Y$438)^($E446*Y$439)*(1+Y$440)*IF(Rebate_Industry!X$226&lt;=0,1,Rebate_Industry!Y$226/Rebate_Industry!X$226)^$F446*(IF(X429&lt;=0,1,Y429/X429)^$G446/(1+$H446+$I446))^(1+$F446)</f>
        <v>0</v>
      </c>
      <c r="Z456" s="24">
        <f>Y456*(1+Z$438)^($E446*Z$439)*(1+Z$440)*IF(Rebate_Industry!Y$226&lt;=0,1,Rebate_Industry!Z$226/Rebate_Industry!Y$226)^$F446*(IF(Y429&lt;=0,1,Z429/Y429)^$G446/(1+$H446+$I446))^(1+$F446)</f>
        <v>0</v>
      </c>
      <c r="AA456" s="24">
        <f>Z456*(1+AA$438)^($E446*AA$439)*(1+AA$440)*IF(Rebate_Industry!Z$226&lt;=0,1,Rebate_Industry!AA$226/Rebate_Industry!Z$226)^$F446*(IF(Z429&lt;=0,1,AA429/Z429)^$G446/(1+$H446+$I446))^(1+$F446)</f>
        <v>0</v>
      </c>
      <c r="AB456" s="24">
        <f>AA456*(1+AB$438)^($E446*AB$439)*(1+AB$440)*IF(Rebate_Industry!AA$226&lt;=0,1,Rebate_Industry!AB$226/Rebate_Industry!AA$226)^$F446*(IF(AA429&lt;=0,1,AB429/AA429)^$G446/(1+$H446+$I446))^(1+$F446)</f>
        <v>0</v>
      </c>
      <c r="AC456" s="24">
        <f>AB456*(1+AC$438)^($E446*AC$439)*(1+AC$440)*IF(Rebate_Industry!AB$226&lt;=0,1,Rebate_Industry!AC$226/Rebate_Industry!AB$226)^$F446*(IF(AB429&lt;=0,1,AC429/AB429)^$G446/(1+$H446+$I446))^(1+$F446)</f>
        <v>0</v>
      </c>
      <c r="AD456" s="24">
        <f>AC456*(1+AD$438)^($E446*AD$439)*(1+AD$440)*IF(Rebate_Industry!AC$226&lt;=0,1,Rebate_Industry!AD$226/Rebate_Industry!AC$226)^$F446*(IF(AC429&lt;=0,1,AD429/AC429)^$G446/(1+$H446+$I446))^(1+$F446)</f>
        <v>0</v>
      </c>
      <c r="AE456" s="24">
        <f>AD456*(1+AE$438)^($E446*AE$439)*(1+AE$440)*IF(Rebate_Industry!AD$226&lt;=0,1,Rebate_Industry!AE$226/Rebate_Industry!AD$226)^$F446*(IF(AD429&lt;=0,1,AE429/AD429)^$G446/(1+$H446+$I446))^(1+$F446)</f>
        <v>0</v>
      </c>
    </row>
    <row r="457" spans="1:35" x14ac:dyDescent="0.45">
      <c r="B457" s="14" t="s">
        <v>60</v>
      </c>
      <c r="C457" s="14" t="str">
        <f t="shared" si="172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I457" t="s">
        <v>2395</v>
      </c>
      <c r="L457" s="47">
        <f>INDEX(Data_Energy!$D$3:$U$22,MATCH($B457,Data_Energy!$C$3:$C$22,0),MATCH($C457,Data_Energy!$D$2:$U$2,0))</f>
        <v>0</v>
      </c>
      <c r="M457" s="24">
        <f>L457*(1+M$438)^($E447*M$439)*(1+M$440)*IF(Rebate_Industry!L$227&lt;=0,1,Rebate_Industry!M$227/Rebate_Industry!L$227)^$F447*(IF(L430&lt;=0,1,M430/L430)^$G447/(1+$H447+$I447))^(1+$F447)</f>
        <v>0</v>
      </c>
      <c r="N457" s="24">
        <f>M457*(1+N$438)^($E447*N$439)*(1+N$440)*IF(Rebate_Industry!M$227&lt;=0,1,Rebate_Industry!N$227/Rebate_Industry!M$227)^$F447*(IF(M430&lt;=0,1,N430/M430)^$G447/(1+$H447+$I447))^(1+$F447)</f>
        <v>0</v>
      </c>
      <c r="O457" s="24">
        <f>N457*(1+O$438)^($E447*O$439)*(1+O$440)*IF(Rebate_Industry!N$227&lt;=0,1,Rebate_Industry!O$227/Rebate_Industry!N$227)^$F447*(IF(N430&lt;=0,1,O430/N430)^$G447/(1+$H447+$I447))^(1+$F447)</f>
        <v>0</v>
      </c>
      <c r="P457" s="24">
        <f>O457*(1+P$438)^($E447*P$439)*(1+P$440)*IF(Rebate_Industry!O$227&lt;=0,1,Rebate_Industry!P$227/Rebate_Industry!O$227)^$F447*(IF(O430&lt;=0,1,P430/O430)^$G447/(1+$H447+$I447))^(1+$F447)</f>
        <v>0</v>
      </c>
      <c r="Q457" s="24">
        <f>P457*(1+Q$438)^($E447*Q$439)*(1+Q$440)*IF(Rebate_Industry!P$227&lt;=0,1,Rebate_Industry!Q$227/Rebate_Industry!P$227)^$F447*(IF(P430&lt;=0,1,Q430/P430)^$G447/(1+$H447+$I447))^(1+$F447)</f>
        <v>0</v>
      </c>
      <c r="R457" s="24">
        <f>Q457*(1+R$438)^($E447*R$439)*(1+R$440)*IF(Rebate_Industry!Q$227&lt;=0,1,Rebate_Industry!R$227/Rebate_Industry!Q$227)^$F447*(IF(Q430&lt;=0,1,R430/Q430)^$G447/(1+$H447+$I447))^(1+$F447)</f>
        <v>0</v>
      </c>
      <c r="S457" s="24">
        <f>R457*(1+S$438)^($E447*S$439)*(1+S$440)*IF(Rebate_Industry!R$227&lt;=0,1,Rebate_Industry!S$227/Rebate_Industry!R$227)^$F447*(IF(R430&lt;=0,1,S430/R430)^$G447/(1+$H447+$I447))^(1+$F447)</f>
        <v>0</v>
      </c>
      <c r="T457" s="24">
        <f>S457*(1+T$438)^($E447*T$439)*(1+T$440)*IF(Rebate_Industry!S$227&lt;=0,1,Rebate_Industry!T$227/Rebate_Industry!S$227)^$F447*(IF(S430&lt;=0,1,T430/S430)^$G447/(1+$H447+$I447))^(1+$F447)</f>
        <v>0</v>
      </c>
      <c r="U457" s="24">
        <f>T457*(1+U$438)^($E447*U$439)*(1+U$440)*IF(Rebate_Industry!T$227&lt;=0,1,Rebate_Industry!U$227/Rebate_Industry!T$227)^$F447*(IF(T430&lt;=0,1,U430/T430)^$G447/(1+$H447+$I447))^(1+$F447)</f>
        <v>0</v>
      </c>
      <c r="V457" s="24">
        <f>U457*(1+V$438)^($E447*V$439)*(1+V$440)*IF(Rebate_Industry!U$227&lt;=0,1,Rebate_Industry!V$227/Rebate_Industry!U$227)^$F447*(IF(U430&lt;=0,1,V430/U430)^$G447/(1+$H447+$I447))^(1+$F447)</f>
        <v>0</v>
      </c>
      <c r="W457" s="24">
        <f>V457*(1+W$438)^($E447*W$439)*(1+W$440)*IF(Rebate_Industry!V$227&lt;=0,1,Rebate_Industry!W$227/Rebate_Industry!V$227)^$F447*(IF(V430&lt;=0,1,W430/V430)^$G447/(1+$H447+$I447))^(1+$F447)</f>
        <v>0</v>
      </c>
      <c r="X457" s="24">
        <f>W457*(1+X$438)^($E447*X$439)*(1+X$440)*IF(Rebate_Industry!W$227&lt;=0,1,Rebate_Industry!X$227/Rebate_Industry!W$227)^$F447*(IF(W430&lt;=0,1,X430/W430)^$G447/(1+$H447+$I447))^(1+$F447)</f>
        <v>0</v>
      </c>
      <c r="Y457" s="24">
        <f>X457*(1+Y$438)^($E447*Y$439)*(1+Y$440)*IF(Rebate_Industry!X$227&lt;=0,1,Rebate_Industry!Y$227/Rebate_Industry!X$227)^$F447*(IF(X430&lt;=0,1,Y430/X430)^$G447/(1+$H447+$I447))^(1+$F447)</f>
        <v>0</v>
      </c>
      <c r="Z457" s="24">
        <f>Y457*(1+Z$438)^($E447*Z$439)*(1+Z$440)*IF(Rebate_Industry!Y$227&lt;=0,1,Rebate_Industry!Z$227/Rebate_Industry!Y$227)^$F447*(IF(Y430&lt;=0,1,Z430/Y430)^$G447/(1+$H447+$I447))^(1+$F447)</f>
        <v>0</v>
      </c>
      <c r="AA457" s="24">
        <f>Z457*(1+AA$438)^($E447*AA$439)*(1+AA$440)*IF(Rebate_Industry!Z$227&lt;=0,1,Rebate_Industry!AA$227/Rebate_Industry!Z$227)^$F447*(IF(Z430&lt;=0,1,AA430/Z430)^$G447/(1+$H447+$I447))^(1+$F447)</f>
        <v>0</v>
      </c>
      <c r="AB457" s="24">
        <f>AA457*(1+AB$438)^($E447*AB$439)*(1+AB$440)*IF(Rebate_Industry!AA$227&lt;=0,1,Rebate_Industry!AB$227/Rebate_Industry!AA$227)^$F447*(IF(AA430&lt;=0,1,AB430/AA430)^$G447/(1+$H447+$I447))^(1+$F447)</f>
        <v>0</v>
      </c>
      <c r="AC457" s="24">
        <f>AB457*(1+AC$438)^($E447*AC$439)*(1+AC$440)*IF(Rebate_Industry!AB$227&lt;=0,1,Rebate_Industry!AC$227/Rebate_Industry!AB$227)^$F447*(IF(AB430&lt;=0,1,AC430/AB430)^$G447/(1+$H447+$I447))^(1+$F447)</f>
        <v>0</v>
      </c>
      <c r="AD457" s="24">
        <f>AC457*(1+AD$438)^($E447*AD$439)*(1+AD$440)*IF(Rebate_Industry!AC$227&lt;=0,1,Rebate_Industry!AD$227/Rebate_Industry!AC$227)^$F447*(IF(AC430&lt;=0,1,AD430/AC430)^$G447/(1+$H447+$I447))^(1+$F447)</f>
        <v>0</v>
      </c>
      <c r="AE457" s="24">
        <f>AD457*(1+AE$438)^($E447*AE$439)*(1+AE$440)*IF(Rebate_Industry!AD$227&lt;=0,1,Rebate_Industry!AE$227/Rebate_Industry!AD$227)^$F447*(IF(AD430&lt;=0,1,AE430/AD430)^$G447/(1+$H447+$I447))^(1+$F447)</f>
        <v>0</v>
      </c>
    </row>
    <row r="458" spans="1:35" x14ac:dyDescent="0.45">
      <c r="B458" s="14" t="s">
        <v>62</v>
      </c>
      <c r="C458" s="14" t="str">
        <f t="shared" si="172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I458" t="s">
        <v>2396</v>
      </c>
      <c r="L458" s="47">
        <f>INDEX(Data_Energy!$D$3:$U$22,MATCH($B458,Data_Energy!$C$3:$C$22,0),MATCH($C458,Data_Energy!$D$2:$U$2,0))</f>
        <v>0</v>
      </c>
      <c r="M458" s="24">
        <f>L458*(1+M$438)^($E448*M$439)*(1+M$440)*IF(Rebate_Industry!L$228&lt;=0,1,Rebate_Industry!M$228/Rebate_Industry!L$228)^$F448*(IF(L431&lt;=0,1,M431/L431)^$G448/(1+$H448+$I448))^(1+$F448)</f>
        <v>0</v>
      </c>
      <c r="N458" s="24">
        <f>M458*(1+N$438)^($E448*N$439)*(1+N$440)*IF(Rebate_Industry!M$228&lt;=0,1,Rebate_Industry!N$228/Rebate_Industry!M$228)^$F448*(IF(M431&lt;=0,1,N431/M431)^$G448/(1+$H448+$I448))^(1+$F448)</f>
        <v>0</v>
      </c>
      <c r="O458" s="24">
        <f>N458*(1+O$438)^($E448*O$439)*(1+O$440)*IF(Rebate_Industry!N$228&lt;=0,1,Rebate_Industry!O$228/Rebate_Industry!N$228)^$F448*(IF(N431&lt;=0,1,O431/N431)^$G448/(1+$H448+$I448))^(1+$F448)</f>
        <v>0</v>
      </c>
      <c r="P458" s="24">
        <f>O458*(1+P$438)^($E448*P$439)*(1+P$440)*IF(Rebate_Industry!O$228&lt;=0,1,Rebate_Industry!P$228/Rebate_Industry!O$228)^$F448*(IF(O431&lt;=0,1,P431/O431)^$G448/(1+$H448+$I448))^(1+$F448)</f>
        <v>0</v>
      </c>
      <c r="Q458" s="24">
        <f>P458*(1+Q$438)^($E448*Q$439)*(1+Q$440)*IF(Rebate_Industry!P$228&lt;=0,1,Rebate_Industry!Q$228/Rebate_Industry!P$228)^$F448*(IF(P431&lt;=0,1,Q431/P431)^$G448/(1+$H448+$I448))^(1+$F448)</f>
        <v>0</v>
      </c>
      <c r="R458" s="24">
        <f>Q458*(1+R$438)^($E448*R$439)*(1+R$440)*IF(Rebate_Industry!Q$228&lt;=0,1,Rebate_Industry!R$228/Rebate_Industry!Q$228)^$F448*(IF(Q431&lt;=0,1,R431/Q431)^$G448/(1+$H448+$I448))^(1+$F448)</f>
        <v>0</v>
      </c>
      <c r="S458" s="24">
        <f>R458*(1+S$438)^($E448*S$439)*(1+S$440)*IF(Rebate_Industry!R$228&lt;=0,1,Rebate_Industry!S$228/Rebate_Industry!R$228)^$F448*(IF(R431&lt;=0,1,S431/R431)^$G448/(1+$H448+$I448))^(1+$F448)</f>
        <v>0</v>
      </c>
      <c r="T458" s="24">
        <f>S458*(1+T$438)^($E448*T$439)*(1+T$440)*IF(Rebate_Industry!S$228&lt;=0,1,Rebate_Industry!T$228/Rebate_Industry!S$228)^$F448*(IF(S431&lt;=0,1,T431/S431)^$G448/(1+$H448+$I448))^(1+$F448)</f>
        <v>0</v>
      </c>
      <c r="U458" s="24">
        <f>T458*(1+U$438)^($E448*U$439)*(1+U$440)*IF(Rebate_Industry!T$228&lt;=0,1,Rebate_Industry!U$228/Rebate_Industry!T$228)^$F448*(IF(T431&lt;=0,1,U431/T431)^$G448/(1+$H448+$I448))^(1+$F448)</f>
        <v>0</v>
      </c>
      <c r="V458" s="24">
        <f>U458*(1+V$438)^($E448*V$439)*(1+V$440)*IF(Rebate_Industry!U$228&lt;=0,1,Rebate_Industry!V$228/Rebate_Industry!U$228)^$F448*(IF(U431&lt;=0,1,V431/U431)^$G448/(1+$H448+$I448))^(1+$F448)</f>
        <v>0</v>
      </c>
      <c r="W458" s="24">
        <f>V458*(1+W$438)^($E448*W$439)*(1+W$440)*IF(Rebate_Industry!V$228&lt;=0,1,Rebate_Industry!W$228/Rebate_Industry!V$228)^$F448*(IF(V431&lt;=0,1,W431/V431)^$G448/(1+$H448+$I448))^(1+$F448)</f>
        <v>0</v>
      </c>
      <c r="X458" s="24">
        <f>W458*(1+X$438)^($E448*X$439)*(1+X$440)*IF(Rebate_Industry!W$228&lt;=0,1,Rebate_Industry!X$228/Rebate_Industry!W$228)^$F448*(IF(W431&lt;=0,1,X431/W431)^$G448/(1+$H448+$I448))^(1+$F448)</f>
        <v>0</v>
      </c>
      <c r="Y458" s="24">
        <f>X458*(1+Y$438)^($E448*Y$439)*(1+Y$440)*IF(Rebate_Industry!X$228&lt;=0,1,Rebate_Industry!Y$228/Rebate_Industry!X$228)^$F448*(IF(X431&lt;=0,1,Y431/X431)^$G448/(1+$H448+$I448))^(1+$F448)</f>
        <v>0</v>
      </c>
      <c r="Z458" s="24">
        <f>Y458*(1+Z$438)^($E448*Z$439)*(1+Z$440)*IF(Rebate_Industry!Y$228&lt;=0,1,Rebate_Industry!Z$228/Rebate_Industry!Y$228)^$F448*(IF(Y431&lt;=0,1,Z431/Y431)^$G448/(1+$H448+$I448))^(1+$F448)</f>
        <v>0</v>
      </c>
      <c r="AA458" s="24">
        <f>Z458*(1+AA$438)^($E448*AA$439)*(1+AA$440)*IF(Rebate_Industry!Z$228&lt;=0,1,Rebate_Industry!AA$228/Rebate_Industry!Z$228)^$F448*(IF(Z431&lt;=0,1,AA431/Z431)^$G448/(1+$H448+$I448))^(1+$F448)</f>
        <v>0</v>
      </c>
      <c r="AB458" s="24">
        <f>AA458*(1+AB$438)^($E448*AB$439)*(1+AB$440)*IF(Rebate_Industry!AA$228&lt;=0,1,Rebate_Industry!AB$228/Rebate_Industry!AA$228)^$F448*(IF(AA431&lt;=0,1,AB431/AA431)^$G448/(1+$H448+$I448))^(1+$F448)</f>
        <v>0</v>
      </c>
      <c r="AC458" s="24">
        <f>AB458*(1+AC$438)^($E448*AC$439)*(1+AC$440)*IF(Rebate_Industry!AB$228&lt;=0,1,Rebate_Industry!AC$228/Rebate_Industry!AB$228)^$F448*(IF(AB431&lt;=0,1,AC431/AB431)^$G448/(1+$H448+$I448))^(1+$F448)</f>
        <v>0</v>
      </c>
      <c r="AD458" s="24">
        <f>AC458*(1+AD$438)^($E448*AD$439)*(1+AD$440)*IF(Rebate_Industry!AC$228&lt;=0,1,Rebate_Industry!AD$228/Rebate_Industry!AC$228)^$F448*(IF(AC431&lt;=0,1,AD431/AC431)^$G448/(1+$H448+$I448))^(1+$F448)</f>
        <v>0</v>
      </c>
      <c r="AE458" s="24">
        <f>AD458*(1+AE$438)^($E448*AE$439)*(1+AE$440)*IF(Rebate_Industry!AD$228&lt;=0,1,Rebate_Industry!AE$228/Rebate_Industry!AD$228)^$F448*(IF(AD431&lt;=0,1,AE431/AD431)^$G448/(1+$H448+$I448))^(1+$F448)</f>
        <v>0</v>
      </c>
    </row>
    <row r="459" spans="1:35" x14ac:dyDescent="0.45">
      <c r="B459" s="14" t="s">
        <v>64</v>
      </c>
      <c r="C459" s="14" t="str">
        <f t="shared" si="172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I459" t="s">
        <v>2397</v>
      </c>
      <c r="L459" s="47">
        <f>INDEX(Data_Energy!$D$3:$U$22,MATCH($B459,Data_Energy!$C$3:$C$22,0),MATCH($C459,Data_Energy!$D$2:$U$2,0))</f>
        <v>0</v>
      </c>
      <c r="M459" s="24">
        <f>L459*(1+M$438)^($E449*M$439)*(1+M$440)*IF(Rebate_Industry!L$229&lt;=0,1,Rebate_Industry!M$229/Rebate_Industry!L$229)^$F449*(IF(L432&lt;=0,1,M432/L432)^$G449/(1+$H449+$I449))^(1+$F449)</f>
        <v>0</v>
      </c>
      <c r="N459" s="24">
        <f>M459*(1+N$438)^($E449*N$439)*(1+N$440)*IF(Rebate_Industry!M$229&lt;=0,1,Rebate_Industry!N$229/Rebate_Industry!M$229)^$F449*(IF(M432&lt;=0,1,N432/M432)^$G449/(1+$H449+$I449))^(1+$F449)</f>
        <v>0</v>
      </c>
      <c r="O459" s="24">
        <f>N459*(1+O$438)^($E449*O$439)*(1+O$440)*IF(Rebate_Industry!N$229&lt;=0,1,Rebate_Industry!O$229/Rebate_Industry!N$229)^$F449*(IF(N432&lt;=0,1,O432/N432)^$G449/(1+$H449+$I449))^(1+$F449)</f>
        <v>0</v>
      </c>
      <c r="P459" s="24">
        <f>O459*(1+P$438)^($E449*P$439)*(1+P$440)*IF(Rebate_Industry!O$229&lt;=0,1,Rebate_Industry!P$229/Rebate_Industry!O$229)^$F449*(IF(O432&lt;=0,1,P432/O432)^$G449/(1+$H449+$I449))^(1+$F449)</f>
        <v>0</v>
      </c>
      <c r="Q459" s="24">
        <f>P459*(1+Q$438)^($E449*Q$439)*(1+Q$440)*IF(Rebate_Industry!P$229&lt;=0,1,Rebate_Industry!Q$229/Rebate_Industry!P$229)^$F449*(IF(P432&lt;=0,1,Q432/P432)^$G449/(1+$H449+$I449))^(1+$F449)</f>
        <v>0</v>
      </c>
      <c r="R459" s="24">
        <f>Q459*(1+R$438)^($E449*R$439)*(1+R$440)*IF(Rebate_Industry!Q$229&lt;=0,1,Rebate_Industry!R$229/Rebate_Industry!Q$229)^$F449*(IF(Q432&lt;=0,1,R432/Q432)^$G449/(1+$H449+$I449))^(1+$F449)</f>
        <v>0</v>
      </c>
      <c r="S459" s="24">
        <f>R459*(1+S$438)^($E449*S$439)*(1+S$440)*IF(Rebate_Industry!R$229&lt;=0,1,Rebate_Industry!S$229/Rebate_Industry!R$229)^$F449*(IF(R432&lt;=0,1,S432/R432)^$G449/(1+$H449+$I449))^(1+$F449)</f>
        <v>0</v>
      </c>
      <c r="T459" s="24">
        <f>S459*(1+T$438)^($E449*T$439)*(1+T$440)*IF(Rebate_Industry!S$229&lt;=0,1,Rebate_Industry!T$229/Rebate_Industry!S$229)^$F449*(IF(S432&lt;=0,1,T432/S432)^$G449/(1+$H449+$I449))^(1+$F449)</f>
        <v>0</v>
      </c>
      <c r="U459" s="24">
        <f>T459*(1+U$438)^($E449*U$439)*(1+U$440)*IF(Rebate_Industry!T$229&lt;=0,1,Rebate_Industry!U$229/Rebate_Industry!T$229)^$F449*(IF(T432&lt;=0,1,U432/T432)^$G449/(1+$H449+$I449))^(1+$F449)</f>
        <v>0</v>
      </c>
      <c r="V459" s="24">
        <f>U459*(1+V$438)^($E449*V$439)*(1+V$440)*IF(Rebate_Industry!U$229&lt;=0,1,Rebate_Industry!V$229/Rebate_Industry!U$229)^$F449*(IF(U432&lt;=0,1,V432/U432)^$G449/(1+$H449+$I449))^(1+$F449)</f>
        <v>0</v>
      </c>
      <c r="W459" s="24">
        <f>V459*(1+W$438)^($E449*W$439)*(1+W$440)*IF(Rebate_Industry!V$229&lt;=0,1,Rebate_Industry!W$229/Rebate_Industry!V$229)^$F449*(IF(V432&lt;=0,1,W432/V432)^$G449/(1+$H449+$I449))^(1+$F449)</f>
        <v>0</v>
      </c>
      <c r="X459" s="24">
        <f>W459*(1+X$438)^($E449*X$439)*(1+X$440)*IF(Rebate_Industry!W$229&lt;=0,1,Rebate_Industry!X$229/Rebate_Industry!W$229)^$F449*(IF(W432&lt;=0,1,X432/W432)^$G449/(1+$H449+$I449))^(1+$F449)</f>
        <v>0</v>
      </c>
      <c r="Y459" s="24">
        <f>X459*(1+Y$438)^($E449*Y$439)*(1+Y$440)*IF(Rebate_Industry!X$229&lt;=0,1,Rebate_Industry!Y$229/Rebate_Industry!X$229)^$F449*(IF(X432&lt;=0,1,Y432/X432)^$G449/(1+$H449+$I449))^(1+$F449)</f>
        <v>0</v>
      </c>
      <c r="Z459" s="24">
        <f>Y459*(1+Z$438)^($E449*Z$439)*(1+Z$440)*IF(Rebate_Industry!Y$229&lt;=0,1,Rebate_Industry!Z$229/Rebate_Industry!Y$229)^$F449*(IF(Y432&lt;=0,1,Z432/Y432)^$G449/(1+$H449+$I449))^(1+$F449)</f>
        <v>0</v>
      </c>
      <c r="AA459" s="24">
        <f>Z459*(1+AA$438)^($E449*AA$439)*(1+AA$440)*IF(Rebate_Industry!Z$229&lt;=0,1,Rebate_Industry!AA$229/Rebate_Industry!Z$229)^$F449*(IF(Z432&lt;=0,1,AA432/Z432)^$G449/(1+$H449+$I449))^(1+$F449)</f>
        <v>0</v>
      </c>
      <c r="AB459" s="24">
        <f>AA459*(1+AB$438)^($E449*AB$439)*(1+AB$440)*IF(Rebate_Industry!AA$229&lt;=0,1,Rebate_Industry!AB$229/Rebate_Industry!AA$229)^$F449*(IF(AA432&lt;=0,1,AB432/AA432)^$G449/(1+$H449+$I449))^(1+$F449)</f>
        <v>0</v>
      </c>
      <c r="AC459" s="24">
        <f>AB459*(1+AC$438)^($E449*AC$439)*(1+AC$440)*IF(Rebate_Industry!AB$229&lt;=0,1,Rebate_Industry!AC$229/Rebate_Industry!AB$229)^$F449*(IF(AB432&lt;=0,1,AC432/AB432)^$G449/(1+$H449+$I449))^(1+$F449)</f>
        <v>0</v>
      </c>
      <c r="AD459" s="24">
        <f>AC459*(1+AD$438)^($E449*AD$439)*(1+AD$440)*IF(Rebate_Industry!AC$229&lt;=0,1,Rebate_Industry!AD$229/Rebate_Industry!AC$229)^$F449*(IF(AC432&lt;=0,1,AD432/AC432)^$G449/(1+$H449+$I449))^(1+$F449)</f>
        <v>0</v>
      </c>
      <c r="AE459" s="24">
        <f>AD459*(1+AE$438)^($E449*AE$439)*(1+AE$440)*IF(Rebate_Industry!AD$229&lt;=0,1,Rebate_Industry!AE$229/Rebate_Industry!AD$229)^$F449*(IF(AD432&lt;=0,1,AE432/AD432)^$G449/(1+$H449+$I449))^(1+$F449)</f>
        <v>0</v>
      </c>
    </row>
    <row r="460" spans="1:35" x14ac:dyDescent="0.45">
      <c r="B460" s="14" t="s">
        <v>67</v>
      </c>
      <c r="C460" s="14" t="str">
        <f t="shared" si="172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I460" t="s">
        <v>2398</v>
      </c>
      <c r="L460" s="47">
        <f>INDEX(Data_Energy!$D$3:$U$22,MATCH($B460,Data_Energy!$C$3:$C$22,0),MATCH($C460,Data_Energy!$D$2:$U$2,0))</f>
        <v>0</v>
      </c>
      <c r="M460" s="24">
        <f>L460*(1+M$438)^($E450*M$439)*(1+M$440)*IF(Rebate_Industry!L$230&lt;=0,1,Rebate_Industry!M$230/Rebate_Industry!L$230)^$F450*(IF(L433&lt;=0,1,M433/L433)^$G450/(1+$H450+$I450))^(1+$F450)</f>
        <v>0</v>
      </c>
      <c r="N460" s="24">
        <f>M460*(1+N$438)^($E450*N$439)*(1+N$440)*IF(Rebate_Industry!M$230&lt;=0,1,Rebate_Industry!N$230/Rebate_Industry!M$230)^$F450*(IF(M433&lt;=0,1,N433/M433)^$G450/(1+$H450+$I450))^(1+$F450)</f>
        <v>0</v>
      </c>
      <c r="O460" s="24">
        <f>N460*(1+O$438)^($E450*O$439)*(1+O$440)*IF(Rebate_Industry!N$230&lt;=0,1,Rebate_Industry!O$230/Rebate_Industry!N$230)^$F450*(IF(N433&lt;=0,1,O433/N433)^$G450/(1+$H450+$I450))^(1+$F450)</f>
        <v>0</v>
      </c>
      <c r="P460" s="24">
        <f>O460*(1+P$438)^($E450*P$439)*(1+P$440)*IF(Rebate_Industry!O$230&lt;=0,1,Rebate_Industry!P$230/Rebate_Industry!O$230)^$F450*(IF(O433&lt;=0,1,P433/O433)^$G450/(1+$H450+$I450))^(1+$F450)</f>
        <v>0</v>
      </c>
      <c r="Q460" s="24">
        <f>P460*(1+Q$438)^($E450*Q$439)*(1+Q$440)*IF(Rebate_Industry!P$230&lt;=0,1,Rebate_Industry!Q$230/Rebate_Industry!P$230)^$F450*(IF(P433&lt;=0,1,Q433/P433)^$G450/(1+$H450+$I450))^(1+$F450)</f>
        <v>0</v>
      </c>
      <c r="R460" s="24">
        <f>Q460*(1+R$438)^($E450*R$439)*(1+R$440)*IF(Rebate_Industry!Q$230&lt;=0,1,Rebate_Industry!R$230/Rebate_Industry!Q$230)^$F450*(IF(Q433&lt;=0,1,R433/Q433)^$G450/(1+$H450+$I450))^(1+$F450)</f>
        <v>0</v>
      </c>
      <c r="S460" s="24">
        <f>R460*(1+S$438)^($E450*S$439)*(1+S$440)*IF(Rebate_Industry!R$230&lt;=0,1,Rebate_Industry!S$230/Rebate_Industry!R$230)^$F450*(IF(R433&lt;=0,1,S433/R433)^$G450/(1+$H450+$I450))^(1+$F450)</f>
        <v>0</v>
      </c>
      <c r="T460" s="24">
        <f>S460*(1+T$438)^($E450*T$439)*(1+T$440)*IF(Rebate_Industry!S$230&lt;=0,1,Rebate_Industry!T$230/Rebate_Industry!S$230)^$F450*(IF(S433&lt;=0,1,T433/S433)^$G450/(1+$H450+$I450))^(1+$F450)</f>
        <v>0</v>
      </c>
      <c r="U460" s="24">
        <f>T460*(1+U$438)^($E450*U$439)*(1+U$440)*IF(Rebate_Industry!T$230&lt;=0,1,Rebate_Industry!U$230/Rebate_Industry!T$230)^$F450*(IF(T433&lt;=0,1,U433/T433)^$G450/(1+$H450+$I450))^(1+$F450)</f>
        <v>0</v>
      </c>
      <c r="V460" s="24">
        <f>U460*(1+V$438)^($E450*V$439)*(1+V$440)*IF(Rebate_Industry!U$230&lt;=0,1,Rebate_Industry!V$230/Rebate_Industry!U$230)^$F450*(IF(U433&lt;=0,1,V433/U433)^$G450/(1+$H450+$I450))^(1+$F450)</f>
        <v>0</v>
      </c>
      <c r="W460" s="24">
        <f>V460*(1+W$438)^($E450*W$439)*(1+W$440)*IF(Rebate_Industry!V$230&lt;=0,1,Rebate_Industry!W$230/Rebate_Industry!V$230)^$F450*(IF(V433&lt;=0,1,W433/V433)^$G450/(1+$H450+$I450))^(1+$F450)</f>
        <v>0</v>
      </c>
      <c r="X460" s="24">
        <f>W460*(1+X$438)^($E450*X$439)*(1+X$440)*IF(Rebate_Industry!W$230&lt;=0,1,Rebate_Industry!X$230/Rebate_Industry!W$230)^$F450*(IF(W433&lt;=0,1,X433/W433)^$G450/(1+$H450+$I450))^(1+$F450)</f>
        <v>0</v>
      </c>
      <c r="Y460" s="24">
        <f>X460*(1+Y$438)^($E450*Y$439)*(1+Y$440)*IF(Rebate_Industry!X$230&lt;=0,1,Rebate_Industry!Y$230/Rebate_Industry!X$230)^$F450*(IF(X433&lt;=0,1,Y433/X433)^$G450/(1+$H450+$I450))^(1+$F450)</f>
        <v>0</v>
      </c>
      <c r="Z460" s="24">
        <f>Y460*(1+Z$438)^($E450*Z$439)*(1+Z$440)*IF(Rebate_Industry!Y$230&lt;=0,1,Rebate_Industry!Z$230/Rebate_Industry!Y$230)^$F450*(IF(Y433&lt;=0,1,Z433/Y433)^$G450/(1+$H450+$I450))^(1+$F450)</f>
        <v>0</v>
      </c>
      <c r="AA460" s="24">
        <f>Z460*(1+AA$438)^($E450*AA$439)*(1+AA$440)*IF(Rebate_Industry!Z$230&lt;=0,1,Rebate_Industry!AA$230/Rebate_Industry!Z$230)^$F450*(IF(Z433&lt;=0,1,AA433/Z433)^$G450/(1+$H450+$I450))^(1+$F450)</f>
        <v>0</v>
      </c>
      <c r="AB460" s="24">
        <f>AA460*(1+AB$438)^($E450*AB$439)*(1+AB$440)*IF(Rebate_Industry!AA$230&lt;=0,1,Rebate_Industry!AB$230/Rebate_Industry!AA$230)^$F450*(IF(AA433&lt;=0,1,AB433/AA433)^$G450/(1+$H450+$I450))^(1+$F450)</f>
        <v>0</v>
      </c>
      <c r="AC460" s="24">
        <f>AB460*(1+AC$438)^($E450*AC$439)*(1+AC$440)*IF(Rebate_Industry!AB$230&lt;=0,1,Rebate_Industry!AC$230/Rebate_Industry!AB$230)^$F450*(IF(AB433&lt;=0,1,AC433/AB433)^$G450/(1+$H450+$I450))^(1+$F450)</f>
        <v>0</v>
      </c>
      <c r="AD460" s="24">
        <f>AC460*(1+AD$438)^($E450*AD$439)*(1+AD$440)*IF(Rebate_Industry!AC$230&lt;=0,1,Rebate_Industry!AD$230/Rebate_Industry!AC$230)^$F450*(IF(AC433&lt;=0,1,AD433/AC433)^$G450/(1+$H450+$I450))^(1+$F450)</f>
        <v>0</v>
      </c>
      <c r="AE460" s="24">
        <f>AD460*(1+AE$438)^($E450*AE$439)*(1+AE$440)*IF(Rebate_Industry!AD$230&lt;=0,1,Rebate_Industry!AE$230/Rebate_Industry!AD$230)^$F450*(IF(AD433&lt;=0,1,AE433/AD433)^$G450/(1+$H450+$I450))^(1+$F450)</f>
        <v>0</v>
      </c>
    </row>
    <row r="461" spans="1:35" x14ac:dyDescent="0.45">
      <c r="B461" s="14" t="s">
        <v>69</v>
      </c>
      <c r="C461" s="14" t="str">
        <f t="shared" si="172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I461" t="s">
        <v>2399</v>
      </c>
      <c r="L461" s="47">
        <f>INDEX(Data_Energy!$D$3:$U$22,MATCH($B461,Data_Energy!$C$3:$C$22,0),MATCH($C461,Data_Energy!$D$2:$U$2,0))</f>
        <v>0</v>
      </c>
      <c r="M461" s="24">
        <f>L461*(1+M$438)^($E451*M$439)*(1+M$440)*IF(Rebate_Industry!L$231&lt;=0,1,Rebate_Industry!M$231/Rebate_Industry!L$231)^$F451*(IF(L434&lt;=0,1,M434/L434)^$G451/(1+$H451+$I451))^(1+$F451)</f>
        <v>0</v>
      </c>
      <c r="N461" s="24">
        <f>M461*(1+N$438)^($E451*N$439)*(1+N$440)*IF(Rebate_Industry!M$231&lt;=0,1,Rebate_Industry!N$231/Rebate_Industry!M$231)^$F451*(IF(M434&lt;=0,1,N434/M434)^$G451/(1+$H451+$I451))^(1+$F451)</f>
        <v>0</v>
      </c>
      <c r="O461" s="24">
        <f>N461*(1+O$438)^($E451*O$439)*(1+O$440)*IF(Rebate_Industry!N$231&lt;=0,1,Rebate_Industry!O$231/Rebate_Industry!N$231)^$F451*(IF(N434&lt;=0,1,O434/N434)^$G451/(1+$H451+$I451))^(1+$F451)</f>
        <v>0</v>
      </c>
      <c r="P461" s="24">
        <f>O461*(1+P$438)^($E451*P$439)*(1+P$440)*IF(Rebate_Industry!O$231&lt;=0,1,Rebate_Industry!P$231/Rebate_Industry!O$231)^$F451*(IF(O434&lt;=0,1,P434/O434)^$G451/(1+$H451+$I451))^(1+$F451)</f>
        <v>0</v>
      </c>
      <c r="Q461" s="24">
        <f>P461*(1+Q$438)^($E451*Q$439)*(1+Q$440)*IF(Rebate_Industry!P$231&lt;=0,1,Rebate_Industry!Q$231/Rebate_Industry!P$231)^$F451*(IF(P434&lt;=0,1,Q434/P434)^$G451/(1+$H451+$I451))^(1+$F451)</f>
        <v>0</v>
      </c>
      <c r="R461" s="24">
        <f>Q461*(1+R$438)^($E451*R$439)*(1+R$440)*IF(Rebate_Industry!Q$231&lt;=0,1,Rebate_Industry!R$231/Rebate_Industry!Q$231)^$F451*(IF(Q434&lt;=0,1,R434/Q434)^$G451/(1+$H451+$I451))^(1+$F451)</f>
        <v>0</v>
      </c>
      <c r="S461" s="24">
        <f>R461*(1+S$438)^($E451*S$439)*(1+S$440)*IF(Rebate_Industry!R$231&lt;=0,1,Rebate_Industry!S$231/Rebate_Industry!R$231)^$F451*(IF(R434&lt;=0,1,S434/R434)^$G451/(1+$H451+$I451))^(1+$F451)</f>
        <v>0</v>
      </c>
      <c r="T461" s="24">
        <f>S461*(1+T$438)^($E451*T$439)*(1+T$440)*IF(Rebate_Industry!S$231&lt;=0,1,Rebate_Industry!T$231/Rebate_Industry!S$231)^$F451*(IF(S434&lt;=0,1,T434/S434)^$G451/(1+$H451+$I451))^(1+$F451)</f>
        <v>0</v>
      </c>
      <c r="U461" s="24">
        <f>T461*(1+U$438)^($E451*U$439)*(1+U$440)*IF(Rebate_Industry!T$231&lt;=0,1,Rebate_Industry!U$231/Rebate_Industry!T$231)^$F451*(IF(T434&lt;=0,1,U434/T434)^$G451/(1+$H451+$I451))^(1+$F451)</f>
        <v>0</v>
      </c>
      <c r="V461" s="24">
        <f>U461*(1+V$438)^($E451*V$439)*(1+V$440)*IF(Rebate_Industry!U$231&lt;=0,1,Rebate_Industry!V$231/Rebate_Industry!U$231)^$F451*(IF(U434&lt;=0,1,V434/U434)^$G451/(1+$H451+$I451))^(1+$F451)</f>
        <v>0</v>
      </c>
      <c r="W461" s="24">
        <f>V461*(1+W$438)^($E451*W$439)*(1+W$440)*IF(Rebate_Industry!V$231&lt;=0,1,Rebate_Industry!W$231/Rebate_Industry!V$231)^$F451*(IF(V434&lt;=0,1,W434/V434)^$G451/(1+$H451+$I451))^(1+$F451)</f>
        <v>0</v>
      </c>
      <c r="X461" s="24">
        <f>W461*(1+X$438)^($E451*X$439)*(1+X$440)*IF(Rebate_Industry!W$231&lt;=0,1,Rebate_Industry!X$231/Rebate_Industry!W$231)^$F451*(IF(W434&lt;=0,1,X434/W434)^$G451/(1+$H451+$I451))^(1+$F451)</f>
        <v>0</v>
      </c>
      <c r="Y461" s="24">
        <f>X461*(1+Y$438)^($E451*Y$439)*(1+Y$440)*IF(Rebate_Industry!X$231&lt;=0,1,Rebate_Industry!Y$231/Rebate_Industry!X$231)^$F451*(IF(X434&lt;=0,1,Y434/X434)^$G451/(1+$H451+$I451))^(1+$F451)</f>
        <v>0</v>
      </c>
      <c r="Z461" s="24">
        <f>Y461*(1+Z$438)^($E451*Z$439)*(1+Z$440)*IF(Rebate_Industry!Y$231&lt;=0,1,Rebate_Industry!Z$231/Rebate_Industry!Y$231)^$F451*(IF(Y434&lt;=0,1,Z434/Y434)^$G451/(1+$H451+$I451))^(1+$F451)</f>
        <v>0</v>
      </c>
      <c r="AA461" s="24">
        <f>Z461*(1+AA$438)^($E451*AA$439)*(1+AA$440)*IF(Rebate_Industry!Z$231&lt;=0,1,Rebate_Industry!AA$231/Rebate_Industry!Z$231)^$F451*(IF(Z434&lt;=0,1,AA434/Z434)^$G451/(1+$H451+$I451))^(1+$F451)</f>
        <v>0</v>
      </c>
      <c r="AB461" s="24">
        <f>AA461*(1+AB$438)^($E451*AB$439)*(1+AB$440)*IF(Rebate_Industry!AA$231&lt;=0,1,Rebate_Industry!AB$231/Rebate_Industry!AA$231)^$F451*(IF(AA434&lt;=0,1,AB434/AA434)^$G451/(1+$H451+$I451))^(1+$F451)</f>
        <v>0</v>
      </c>
      <c r="AC461" s="24">
        <f>AB461*(1+AC$438)^($E451*AC$439)*(1+AC$440)*IF(Rebate_Industry!AB$231&lt;=0,1,Rebate_Industry!AC$231/Rebate_Industry!AB$231)^$F451*(IF(AB434&lt;=0,1,AC434/AB434)^$G451/(1+$H451+$I451))^(1+$F451)</f>
        <v>0</v>
      </c>
      <c r="AD461" s="24">
        <f>AC461*(1+AD$438)^($E451*AD$439)*(1+AD$440)*IF(Rebate_Industry!AC$231&lt;=0,1,Rebate_Industry!AD$231/Rebate_Industry!AC$231)^$F451*(IF(AC434&lt;=0,1,AD434/AC434)^$G451/(1+$H451+$I451))^(1+$F451)</f>
        <v>0</v>
      </c>
      <c r="AE461" s="24">
        <f>AD461*(1+AE$438)^($E451*AE$439)*(1+AE$440)*IF(Rebate_Industry!AD$231&lt;=0,1,Rebate_Industry!AE$231/Rebate_Industry!AD$231)^$F451*(IF(AD434&lt;=0,1,AE434/AD434)^$G451/(1+$H451+$I451))^(1+$F451)</f>
        <v>0</v>
      </c>
    </row>
    <row r="462" spans="1:35" x14ac:dyDescent="0.45">
      <c r="B462" s="14" t="s">
        <v>110</v>
      </c>
      <c r="C462" s="14" t="str">
        <f t="shared" si="172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173">SUM(L453:L461)</f>
        <v>1901.7140738122609</v>
      </c>
      <c r="M462" s="26">
        <f t="shared" si="173"/>
        <v>1621.2301769893743</v>
      </c>
      <c r="N462" s="26">
        <f t="shared" si="173"/>
        <v>1820.8469202303741</v>
      </c>
      <c r="O462" s="26">
        <f t="shared" si="173"/>
        <v>1904.3670376253485</v>
      </c>
      <c r="P462" s="26">
        <f t="shared" si="173"/>
        <v>1961.702021253242</v>
      </c>
      <c r="Q462" s="26">
        <f t="shared" si="173"/>
        <v>1856.404797168507</v>
      </c>
      <c r="R462" s="26">
        <f t="shared" si="173"/>
        <v>1788.9492171961813</v>
      </c>
      <c r="S462" s="26">
        <f t="shared" si="173"/>
        <v>1732.3328660968311</v>
      </c>
      <c r="T462" s="26">
        <f t="shared" si="173"/>
        <v>1682.3885530274299</v>
      </c>
      <c r="U462" s="26">
        <f t="shared" si="173"/>
        <v>1641.4681088716557</v>
      </c>
      <c r="V462" s="26">
        <f t="shared" si="173"/>
        <v>1607.9067887450958</v>
      </c>
      <c r="W462" s="26">
        <f t="shared" si="173"/>
        <v>1581.3612458923553</v>
      </c>
      <c r="X462" s="26">
        <f t="shared" si="173"/>
        <v>1561.0275376536185</v>
      </c>
      <c r="Y462" s="26">
        <f t="shared" si="173"/>
        <v>1546.4517889063816</v>
      </c>
      <c r="Z462" s="26">
        <f t="shared" si="173"/>
        <v>1537.5943975526714</v>
      </c>
      <c r="AA462" s="26">
        <f t="shared" si="173"/>
        <v>1534.1781017151086</v>
      </c>
      <c r="AB462" s="26">
        <f t="shared" si="173"/>
        <v>1535.9010092298067</v>
      </c>
      <c r="AC462" s="26">
        <f t="shared" si="173"/>
        <v>1542.2263096902577</v>
      </c>
      <c r="AD462" s="26">
        <f t="shared" si="173"/>
        <v>1552.707818724469</v>
      </c>
      <c r="AE462" s="26">
        <f t="shared" si="173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174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174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174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174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174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174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174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174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174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175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175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175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175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175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175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175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175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175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176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176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176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176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176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176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176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176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176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1</v>
      </c>
      <c r="M497" s="19">
        <f>INDEX(Data_Prices!M:M,MATCH($G497,Data_Prices!$A:$A,0))</f>
        <v>1</v>
      </c>
      <c r="N497" s="19">
        <f>INDEX(Data_Prices!N:N,MATCH($G497,Data_Prices!$A:$A,0))</f>
        <v>1</v>
      </c>
      <c r="O497" s="19">
        <f>INDEX(Data_Prices!O:O,MATCH($G497,Data_Prices!$A:$A,0))</f>
        <v>1</v>
      </c>
      <c r="P497" s="19">
        <f>INDEX(Data_Prices!P:P,MATCH($G497,Data_Prices!$A:$A,0))</f>
        <v>1</v>
      </c>
      <c r="Q497" s="19">
        <f>INDEX(Data_Prices!Q:Q,MATCH($G497,Data_Prices!$A:$A,0))</f>
        <v>1</v>
      </c>
      <c r="R497" s="19">
        <f>INDEX(Data_Prices!R:R,MATCH($G497,Data_Prices!$A:$A,0))</f>
        <v>1</v>
      </c>
      <c r="S497" s="19">
        <f>INDEX(Data_Prices!S:S,MATCH($G497,Data_Prices!$A:$A,0))</f>
        <v>1</v>
      </c>
      <c r="T497" s="19">
        <f>INDEX(Data_Prices!T:T,MATCH($G497,Data_Prices!$A:$A,0))</f>
        <v>1</v>
      </c>
      <c r="U497" s="19">
        <f>INDEX(Data_Prices!U:U,MATCH($G497,Data_Prices!$A:$A,0))</f>
        <v>1</v>
      </c>
      <c r="V497" s="19">
        <f>INDEX(Data_Prices!V:V,MATCH($G497,Data_Prices!$A:$A,0))</f>
        <v>1</v>
      </c>
      <c r="W497" s="19">
        <f>INDEX(Data_Prices!W:W,MATCH($G497,Data_Prices!$A:$A,0))</f>
        <v>1</v>
      </c>
      <c r="X497" s="19">
        <f>INDEX(Data_Prices!X:X,MATCH($G497,Data_Prices!$A:$A,0))</f>
        <v>1</v>
      </c>
      <c r="Y497" s="19">
        <f>INDEX(Data_Prices!Y:Y,MATCH($G497,Data_Prices!$A:$A,0))</f>
        <v>1</v>
      </c>
      <c r="Z497" s="19">
        <f>INDEX(Data_Prices!Z:Z,MATCH($G497,Data_Prices!$A:$A,0))</f>
        <v>1</v>
      </c>
      <c r="AA497" s="19">
        <f>INDEX(Data_Prices!AA:AA,MATCH($G497,Data_Prices!$A:$A,0))</f>
        <v>1</v>
      </c>
      <c r="AB497" s="19">
        <f>INDEX(Data_Prices!AB:AB,MATCH($G497,Data_Prices!$A:$A,0))</f>
        <v>1</v>
      </c>
      <c r="AC497" s="19">
        <f>INDEX(Data_Prices!AC:AC,MATCH($G497,Data_Prices!$A:$A,0))</f>
        <v>1</v>
      </c>
      <c r="AD497" s="19">
        <f>INDEX(Data_Prices!AD:AD,MATCH($G497,Data_Prices!$A:$A,0))</f>
        <v>1</v>
      </c>
      <c r="AE497" s="19">
        <f>INDEX(Data_Prices!AE:AE,MATCH($G497,Data_Prices!$A:$A,0))</f>
        <v>1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177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177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177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177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177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177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177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177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177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178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I513" t="s">
        <v>2400</v>
      </c>
      <c r="L513" s="47">
        <f>INDEX(Data_Energy!$D$3:$U$22,MATCH($B513,Data_Energy!$C$3:$C$22,0),MATCH($C513,Data_Energy!$D$2:$U$2,0))</f>
        <v>1463.05522446279</v>
      </c>
      <c r="M513" s="24">
        <f>L513*(1+M$498)^($E503*M$499)*(1+M$500)*IF(Rebate_Industry!L$237&lt;=0,1,Rebate_Industry!M$237/Rebate_Industry!L$237)^$F503*(IF(L486&lt;=0,1,M486/L486)^$G503/(1+$H503+$I503))^(1+$F503)</f>
        <v>1191.3644362517186</v>
      </c>
      <c r="N513" s="24">
        <f>M513*(1+N$498)^($E503*N$499)*(1+N$500)*IF(Rebate_Industry!M$237&lt;=0,1,Rebate_Industry!N$237/Rebate_Industry!M$237)^$F503*(IF(M486&lt;=0,1,N486/M486)^$G503/(1+$H503+$I503))^(1+$F503)</f>
        <v>1369.1779282213379</v>
      </c>
      <c r="O513" s="24">
        <f>N513*(1+O$498)^($E503*O$499)*(1+O$500)*IF(Rebate_Industry!N$237&lt;=0,1,Rebate_Industry!O$237/Rebate_Industry!N$237)^$F503*(IF(N486&lt;=0,1,O486/N486)^$G503/(1+$H503+$I503))^(1+$F503)</f>
        <v>1496.0103450821184</v>
      </c>
      <c r="P513" s="24">
        <f>O513*(1+P$498)^($E503*P$499)*(1+P$500)*IF(Rebate_Industry!O$237&lt;=0,1,Rebate_Industry!P$237/Rebate_Industry!O$237)^$F503*(IF(O486&lt;=0,1,P486/O486)^$G503/(1+$H503+$I503))^(1+$F503)</f>
        <v>1463.0094084242087</v>
      </c>
      <c r="Q513" s="24">
        <f>P513*(1+Q$498)^($E503*Q$499)*(1+Q$500)*IF(Rebate_Industry!P$237&lt;=0,1,Rebate_Industry!Q$237/Rebate_Industry!P$237)^$F503*(IF(P486&lt;=0,1,Q486/P486)^$G503/(1+$H503+$I503))^(1+$F503)</f>
        <v>1374.7723428524598</v>
      </c>
      <c r="R513" s="24">
        <f>Q513*(1+R$498)^($E503*R$499)*(1+R$500)*IF(Rebate_Industry!Q$237&lt;=0,1,Rebate_Industry!R$237/Rebate_Industry!Q$237)^$F503*(IF(Q486&lt;=0,1,R486/Q486)^$G503/(1+$H503+$I503))^(1+$F503)</f>
        <v>1322.3676037201524</v>
      </c>
      <c r="S513" s="24">
        <f>R513*(1+S$498)^($E503*S$499)*(1+S$500)*IF(Rebate_Industry!R$237&lt;=0,1,Rebate_Industry!S$237/Rebate_Industry!R$237)^$F503*(IF(R486&lt;=0,1,S486/R486)^$G503/(1+$H503+$I503))^(1+$F503)</f>
        <v>1277.4771729802817</v>
      </c>
      <c r="T513" s="24">
        <f>S513*(1+T$498)^($E503*T$499)*(1+T$500)*IF(Rebate_Industry!S$237&lt;=0,1,Rebate_Industry!T$237/Rebate_Industry!S$237)^$F503*(IF(S486&lt;=0,1,T486/S486)^$G503/(1+$H503+$I503))^(1+$F503)</f>
        <v>1237.8339324892117</v>
      </c>
      <c r="U513" s="24">
        <f>T513*(1+U$498)^($E503*U$499)*(1+U$500)*IF(Rebate_Industry!T$237&lt;=0,1,Rebate_Industry!U$237/Rebate_Industry!T$237)^$F503*(IF(T486&lt;=0,1,U486/T486)^$G503/(1+$H503+$I503))^(1+$F503)</f>
        <v>1203.5520989403735</v>
      </c>
      <c r="V513" s="24">
        <f>U513*(1+V$498)^($E503*V$499)*(1+V$500)*IF(Rebate_Industry!U$237&lt;=0,1,Rebate_Industry!V$237/Rebate_Industry!U$237)^$F503*(IF(U486&lt;=0,1,V486/U486)^$G503/(1+$H503+$I503))^(1+$F503)</f>
        <v>1171.0227006276741</v>
      </c>
      <c r="W513" s="24">
        <f>V513*(1+W$498)^($E503*W$499)*(1+W$500)*IF(Rebate_Industry!V$237&lt;=0,1,Rebate_Industry!W$237/Rebate_Industry!V$237)^$F503*(IF(V486&lt;=0,1,W486/V486)^$G503/(1+$H503+$I503))^(1+$F503)</f>
        <v>1143.1158396315363</v>
      </c>
      <c r="X513" s="24">
        <f>W513*(1+X$498)^($E503*X$499)*(1+X$500)*IF(Rebate_Industry!W$237&lt;=0,1,Rebate_Industry!X$237/Rebate_Industry!W$237)^$F503*(IF(W486&lt;=0,1,X486/W486)^$G503/(1+$H503+$I503))^(1+$F503)</f>
        <v>1119.1782325411702</v>
      </c>
      <c r="Y513" s="24">
        <f>X513*(1+Y$498)^($E503*Y$499)*(1+Y$500)*IF(Rebate_Industry!X$237&lt;=0,1,Rebate_Industry!Y$237/Rebate_Industry!X$237)^$F503*(IF(X486&lt;=0,1,Y486/X486)^$G503/(1+$H503+$I503))^(1+$F503)</f>
        <v>1098.7587442542565</v>
      </c>
      <c r="Z513" s="24">
        <f>Y513*(1+Z$498)^($E503*Z$499)*(1+Z$500)*IF(Rebate_Industry!Y$237&lt;=0,1,Rebate_Industry!Z$237/Rebate_Industry!Y$237)^$F503*(IF(Y486&lt;=0,1,Z486/Y486)^$G503/(1+$H503+$I503))^(1+$F503)</f>
        <v>1081.6097142698629</v>
      </c>
      <c r="AA513" s="24">
        <f>Z513*(1+AA$498)^($E503*AA$499)*(1+AA$500)*IF(Rebate_Industry!Z$237&lt;=0,1,Rebate_Industry!AA$237/Rebate_Industry!Z$237)^$F503*(IF(Z486&lt;=0,1,AA486/Z486)^$G503/(1+$H503+$I503))^(1+$F503)</f>
        <v>1067.4268939287992</v>
      </c>
      <c r="AB513" s="24">
        <f>AA513*(1+AB$498)^($E503*AB$499)*(1+AB$500)*IF(Rebate_Industry!AA$237&lt;=0,1,Rebate_Industry!AB$237/Rebate_Industry!AA$237)^$F503*(IF(AA486&lt;=0,1,AB486/AA486)^$G503/(1+$H503+$I503))^(1+$F503)</f>
        <v>1055.9237026292408</v>
      </c>
      <c r="AC513" s="24">
        <f>AB513*(1+AC$498)^($E503*AC$499)*(1+AC$500)*IF(Rebate_Industry!AB$237&lt;=0,1,Rebate_Industry!AC$237/Rebate_Industry!AB$237)^$F503*(IF(AB486&lt;=0,1,AC486/AB486)^$G503/(1+$H503+$I503))^(1+$F503)</f>
        <v>1046.7510678916517</v>
      </c>
      <c r="AD513" s="24">
        <f>AC513*(1+AD$498)^($E503*AD$499)*(1+AD$500)*IF(Rebate_Industry!AC$237&lt;=0,1,Rebate_Industry!AD$237/Rebate_Industry!AC$237)^$F503*(IF(AC486&lt;=0,1,AD486/AC486)^$G503/(1+$H503+$I503))^(1+$F503)</f>
        <v>1039.6150871676307</v>
      </c>
      <c r="AE513" s="24">
        <f>AD513*(1+AE$498)^($E503*AE$499)*(1+AE$500)*IF(Rebate_Industry!AD$237&lt;=0,1,Rebate_Industry!AE$237/Rebate_Industry!AD$237)^$F503*(IF(AD486&lt;=0,1,AE486/AD486)^$G503/(1+$H503+$I503))^(1+$F503)</f>
        <v>1034.2820627341093</v>
      </c>
    </row>
    <row r="514" spans="1:35" x14ac:dyDescent="0.45">
      <c r="B514" s="14" t="s">
        <v>53</v>
      </c>
      <c r="C514" s="14" t="str">
        <f t="shared" si="178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I514" t="s">
        <v>2401</v>
      </c>
      <c r="L514" s="47">
        <f>INDEX(Data_Energy!$D$3:$U$22,MATCH($B514,Data_Energy!$C$3:$C$22,0),MATCH($C514,Data_Energy!$D$2:$U$2,0))</f>
        <v>1747.39153476208</v>
      </c>
      <c r="M514" s="24">
        <f>L514*(1+M$498)^($E504*M$499)*(1+M$500)*IF(Rebate_Industry!L$238&lt;=0,1,Rebate_Industry!M$238/Rebate_Industry!L$238)^$F504*(IF(L487&lt;=0,1,M487/L487)^$G504/(1+$H504+$I504))^(1+$F504)</f>
        <v>1498.9759731403976</v>
      </c>
      <c r="N514" s="24">
        <f>M514*(1+N$498)^($E504*N$499)*(1+N$500)*IF(Rebate_Industry!M$238&lt;=0,1,Rebate_Industry!N$238/Rebate_Industry!M$238)^$F504*(IF(M487&lt;=0,1,N487/M487)^$G504/(1+$H504+$I504))^(1+$F504)</f>
        <v>1678.358160579395</v>
      </c>
      <c r="O514" s="24">
        <f>N514*(1+O$498)^($E504*O$499)*(1+O$500)*IF(Rebate_Industry!N$238&lt;=0,1,Rebate_Industry!O$238/Rebate_Industry!N$238)^$F504*(IF(N487&lt;=0,1,O487/N487)^$G504/(1+$H504+$I504))^(1+$F504)</f>
        <v>1744.6824773068638</v>
      </c>
      <c r="P514" s="24">
        <f>O514*(1+P$498)^($E504*P$499)*(1+P$500)*IF(Rebate_Industry!O$238&lt;=0,1,Rebate_Industry!P$238/Rebate_Industry!O$238)^$F504*(IF(O487&lt;=0,1,P487/O487)^$G504/(1+$H504+$I504))^(1+$F504)</f>
        <v>1810.2025593297435</v>
      </c>
      <c r="Q514" s="24">
        <f>P514*(1+Q$498)^($E504*Q$499)*(1+Q$500)*IF(Rebate_Industry!P$238&lt;=0,1,Rebate_Industry!Q$238/Rebate_Industry!P$238)^$F504*(IF(P487&lt;=0,1,Q487/P487)^$G504/(1+$H504+$I504))^(1+$F504)</f>
        <v>1714.6535098550225</v>
      </c>
      <c r="R514" s="24">
        <f>Q514*(1+R$498)^($E504*R$499)*(1+R$500)*IF(Rebate_Industry!Q$238&lt;=0,1,Rebate_Industry!R$238/Rebate_Industry!Q$238)^$F504*(IF(Q487&lt;=0,1,R487/Q487)^$G504/(1+$H504+$I504))^(1+$F504)</f>
        <v>1652.7566024408457</v>
      </c>
      <c r="S514" s="24">
        <f>R514*(1+S$498)^($E504*S$499)*(1+S$500)*IF(Rebate_Industry!R$238&lt;=0,1,Rebate_Industry!S$238/Rebate_Industry!R$238)^$F504*(IF(R487&lt;=0,1,S487/R487)^$G504/(1+$H504+$I504))^(1+$F504)</f>
        <v>1600.9566278844272</v>
      </c>
      <c r="T514" s="24">
        <f>S514*(1+T$498)^($E504*T$499)*(1+T$500)*IF(Rebate_Industry!S$238&lt;=0,1,Rebate_Industry!T$238/Rebate_Industry!S$238)^$F504*(IF(S487&lt;=0,1,T487/S487)^$G504/(1+$H504+$I504))^(1+$F504)</f>
        <v>1555.2682553771401</v>
      </c>
      <c r="U514" s="24">
        <f>T514*(1+U$498)^($E504*U$499)*(1+U$500)*IF(Rebate_Industry!T$238&lt;=0,1,Rebate_Industry!U$238/Rebate_Industry!T$238)^$F504*(IF(T487&lt;=0,1,U487/T487)^$G504/(1+$H504+$I504))^(1+$F504)</f>
        <v>1518.134680287737</v>
      </c>
      <c r="V514" s="24">
        <f>U514*(1+V$498)^($E504*V$499)*(1+V$500)*IF(Rebate_Industry!U$238&lt;=0,1,Rebate_Industry!V$238/Rebate_Industry!U$238)^$F504*(IF(U487&lt;=0,1,V487/U487)^$G504/(1+$H504+$I504))^(1+$F504)</f>
        <v>1488.4138650625532</v>
      </c>
      <c r="W514" s="24">
        <f>V514*(1+W$498)^($E504*W$499)*(1+W$500)*IF(Rebate_Industry!V$238&lt;=0,1,Rebate_Industry!W$238/Rebate_Industry!V$238)^$F504*(IF(V487&lt;=0,1,W487/V487)^$G504/(1+$H504+$I504))^(1+$F504)</f>
        <v>1465.2685194100193</v>
      </c>
      <c r="X514" s="24">
        <f>W514*(1+X$498)^($E504*X$499)*(1+X$500)*IF(Rebate_Industry!W$238&lt;=0,1,Rebate_Industry!X$238/Rebate_Industry!W$238)^$F504*(IF(W487&lt;=0,1,X487/W487)^$G504/(1+$H504+$I504))^(1+$F504)</f>
        <v>1447.9657306697538</v>
      </c>
      <c r="Y514" s="24">
        <f>X514*(1+Y$498)^($E504*Y$499)*(1+Y$500)*IF(Rebate_Industry!X$238&lt;=0,1,Rebate_Industry!Y$238/Rebate_Industry!X$238)^$F504*(IF(X487&lt;=0,1,Y487/X487)^$G504/(1+$H504+$I504))^(1+$F504)</f>
        <v>1436.1054289752974</v>
      </c>
      <c r="Z514" s="24">
        <f>Y514*(1+Z$498)^($E504*Z$499)*(1+Z$500)*IF(Rebate_Industry!Y$238&lt;=0,1,Rebate_Industry!Z$238/Rebate_Industry!Y$238)^$F504*(IF(Y487&lt;=0,1,Z487/Y487)^$G504/(1+$H504+$I504))^(1+$F504)</f>
        <v>1429.6873853271168</v>
      </c>
      <c r="AA514" s="24">
        <f>Z514*(1+AA$498)^($E504*AA$499)*(1+AA$500)*IF(Rebate_Industry!Z$238&lt;=0,1,Rebate_Industry!AA$238/Rebate_Industry!Z$238)^$F504*(IF(Z487&lt;=0,1,AA487/Z487)^$G504/(1+$H504+$I504))^(1+$F504)</f>
        <v>1428.4719778022093</v>
      </c>
      <c r="AB514" s="24">
        <f>AA514*(1+AB$498)^($E504*AB$499)*(1+AB$500)*IF(Rebate_Industry!AA$238&lt;=0,1,Rebate_Industry!AB$238/Rebate_Industry!AA$238)^$F504*(IF(AA487&lt;=0,1,AB487/AA487)^$G504/(1+$H504+$I504))^(1+$F504)</f>
        <v>1432.1908567362859</v>
      </c>
      <c r="AC514" s="24">
        <f>AB514*(1+AC$498)^($E504*AC$499)*(1+AC$500)*IF(Rebate_Industry!AB$238&lt;=0,1,Rebate_Industry!AC$238/Rebate_Industry!AB$238)^$F504*(IF(AB487&lt;=0,1,AC487/AB487)^$G504/(1+$H504+$I504))^(1+$F504)</f>
        <v>1440.340132629459</v>
      </c>
      <c r="AD514" s="24">
        <f>AC514*(1+AD$498)^($E504*AD$499)*(1+AD$500)*IF(Rebate_Industry!AC$238&lt;=0,1,Rebate_Industry!AD$238/Rebate_Industry!AC$238)^$F504*(IF(AC487&lt;=0,1,AD487/AC487)^$G504/(1+$H504+$I504))^(1+$F504)</f>
        <v>1452.5016104532156</v>
      </c>
      <c r="AE514" s="24">
        <f>AD514*(1+AE$498)^($E504*AE$499)*(1+AE$500)*IF(Rebate_Industry!AD$238&lt;=0,1,Rebate_Industry!AE$238/Rebate_Industry!AD$238)^$F504*(IF(AD487&lt;=0,1,AE487/AD487)^$G504/(1+$H504+$I504))^(1+$F504)</f>
        <v>1468.3698881922217</v>
      </c>
    </row>
    <row r="515" spans="1:35" x14ac:dyDescent="0.45">
      <c r="B515" s="14" t="s">
        <v>55</v>
      </c>
      <c r="C515" s="14" t="str">
        <f t="shared" si="178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I515" t="s">
        <v>2402</v>
      </c>
      <c r="L515" s="47">
        <f>INDEX(Data_Energy!$D$3:$U$22,MATCH($B515,Data_Energy!$C$3:$C$22,0),MATCH($C515,Data_Energy!$D$2:$U$2,0))</f>
        <v>0</v>
      </c>
      <c r="M515" s="24">
        <f>L515*(1+M$498)^($E505*M$499)*(1+M$500)*IF(Rebate_Industry!L$239&lt;=0,1,Rebate_Industry!M$239/Rebate_Industry!L$239)^$F505*(IF(L488&lt;=0,1,M488/L488)^$G505/(1+$H505+$I505))^(1+$F505)</f>
        <v>0</v>
      </c>
      <c r="N515" s="24">
        <f>M515*(1+N$498)^($E505*N$499)*(1+N$500)*IF(Rebate_Industry!M$239&lt;=0,1,Rebate_Industry!N$239/Rebate_Industry!M$239)^$F505*(IF(M488&lt;=0,1,N488/M488)^$G505/(1+$H505+$I505))^(1+$F505)</f>
        <v>0</v>
      </c>
      <c r="O515" s="24">
        <f>N515*(1+O$498)^($E505*O$499)*(1+O$500)*IF(Rebate_Industry!N$239&lt;=0,1,Rebate_Industry!O$239/Rebate_Industry!N$239)^$F505*(IF(N488&lt;=0,1,O488/N488)^$G505/(1+$H505+$I505))^(1+$F505)</f>
        <v>0</v>
      </c>
      <c r="P515" s="24">
        <f>O515*(1+P$498)^($E505*P$499)*(1+P$500)*IF(Rebate_Industry!O$239&lt;=0,1,Rebate_Industry!P$239/Rebate_Industry!O$239)^$F505*(IF(O488&lt;=0,1,P488/O488)^$G505/(1+$H505+$I505))^(1+$F505)</f>
        <v>0</v>
      </c>
      <c r="Q515" s="24">
        <f>P515*(1+Q$498)^($E505*Q$499)*(1+Q$500)*IF(Rebate_Industry!P$239&lt;=0,1,Rebate_Industry!Q$239/Rebate_Industry!P$239)^$F505*(IF(P488&lt;=0,1,Q488/P488)^$G505/(1+$H505+$I505))^(1+$F505)</f>
        <v>0</v>
      </c>
      <c r="R515" s="24">
        <f>Q515*(1+R$498)^($E505*R$499)*(1+R$500)*IF(Rebate_Industry!Q$239&lt;=0,1,Rebate_Industry!R$239/Rebate_Industry!Q$239)^$F505*(IF(Q488&lt;=0,1,R488/Q488)^$G505/(1+$H505+$I505))^(1+$F505)</f>
        <v>0</v>
      </c>
      <c r="S515" s="24">
        <f>R515*(1+S$498)^($E505*S$499)*(1+S$500)*IF(Rebate_Industry!R$239&lt;=0,1,Rebate_Industry!S$239/Rebate_Industry!R$239)^$F505*(IF(R488&lt;=0,1,S488/R488)^$G505/(1+$H505+$I505))^(1+$F505)</f>
        <v>0</v>
      </c>
      <c r="T515" s="24">
        <f>S515*(1+T$498)^($E505*T$499)*(1+T$500)*IF(Rebate_Industry!S$239&lt;=0,1,Rebate_Industry!T$239/Rebate_Industry!S$239)^$F505*(IF(S488&lt;=0,1,T488/S488)^$G505/(1+$H505+$I505))^(1+$F505)</f>
        <v>0</v>
      </c>
      <c r="U515" s="24">
        <f>T515*(1+U$498)^($E505*U$499)*(1+U$500)*IF(Rebate_Industry!T$239&lt;=0,1,Rebate_Industry!U$239/Rebate_Industry!T$239)^$F505*(IF(T488&lt;=0,1,U488/T488)^$G505/(1+$H505+$I505))^(1+$F505)</f>
        <v>0</v>
      </c>
      <c r="V515" s="24">
        <f>U515*(1+V$498)^($E505*V$499)*(1+V$500)*IF(Rebate_Industry!U$239&lt;=0,1,Rebate_Industry!V$239/Rebate_Industry!U$239)^$F505*(IF(U488&lt;=0,1,V488/U488)^$G505/(1+$H505+$I505))^(1+$F505)</f>
        <v>0</v>
      </c>
      <c r="W515" s="24">
        <f>V515*(1+W$498)^($E505*W$499)*(1+W$500)*IF(Rebate_Industry!V$239&lt;=0,1,Rebate_Industry!W$239/Rebate_Industry!V$239)^$F505*(IF(V488&lt;=0,1,W488/V488)^$G505/(1+$H505+$I505))^(1+$F505)</f>
        <v>0</v>
      </c>
      <c r="X515" s="24">
        <f>W515*(1+X$498)^($E505*X$499)*(1+X$500)*IF(Rebate_Industry!W$239&lt;=0,1,Rebate_Industry!X$239/Rebate_Industry!W$239)^$F505*(IF(W488&lt;=0,1,X488/W488)^$G505/(1+$H505+$I505))^(1+$F505)</f>
        <v>0</v>
      </c>
      <c r="Y515" s="24">
        <f>X515*(1+Y$498)^($E505*Y$499)*(1+Y$500)*IF(Rebate_Industry!X$239&lt;=0,1,Rebate_Industry!Y$239/Rebate_Industry!X$239)^$F505*(IF(X488&lt;=0,1,Y488/X488)^$G505/(1+$H505+$I505))^(1+$F505)</f>
        <v>0</v>
      </c>
      <c r="Z515" s="24">
        <f>Y515*(1+Z$498)^($E505*Z$499)*(1+Z$500)*IF(Rebate_Industry!Y$239&lt;=0,1,Rebate_Industry!Z$239/Rebate_Industry!Y$239)^$F505*(IF(Y488&lt;=0,1,Z488/Y488)^$G505/(1+$H505+$I505))^(1+$F505)</f>
        <v>0</v>
      </c>
      <c r="AA515" s="24">
        <f>Z515*(1+AA$498)^($E505*AA$499)*(1+AA$500)*IF(Rebate_Industry!Z$239&lt;=0,1,Rebate_Industry!AA$239/Rebate_Industry!Z$239)^$F505*(IF(Z488&lt;=0,1,AA488/Z488)^$G505/(1+$H505+$I505))^(1+$F505)</f>
        <v>0</v>
      </c>
      <c r="AB515" s="24">
        <f>AA515*(1+AB$498)^($E505*AB$499)*(1+AB$500)*IF(Rebate_Industry!AA$239&lt;=0,1,Rebate_Industry!AB$239/Rebate_Industry!AA$239)^$F505*(IF(AA488&lt;=0,1,AB488/AA488)^$G505/(1+$H505+$I505))^(1+$F505)</f>
        <v>0</v>
      </c>
      <c r="AC515" s="24">
        <f>AB515*(1+AC$498)^($E505*AC$499)*(1+AC$500)*IF(Rebate_Industry!AB$239&lt;=0,1,Rebate_Industry!AC$239/Rebate_Industry!AB$239)^$F505*(IF(AB488&lt;=0,1,AC488/AB488)^$G505/(1+$H505+$I505))^(1+$F505)</f>
        <v>0</v>
      </c>
      <c r="AD515" s="24">
        <f>AC515*(1+AD$498)^($E505*AD$499)*(1+AD$500)*IF(Rebate_Industry!AC$239&lt;=0,1,Rebate_Industry!AD$239/Rebate_Industry!AC$239)^$F505*(IF(AC488&lt;=0,1,AD488/AC488)^$G505/(1+$H505+$I505))^(1+$F505)</f>
        <v>0</v>
      </c>
      <c r="AE515" s="24">
        <f>AD515*(1+AE$498)^($E505*AE$499)*(1+AE$500)*IF(Rebate_Industry!AD$239&lt;=0,1,Rebate_Industry!AE$239/Rebate_Industry!AD$239)^$F505*(IF(AD488&lt;=0,1,AE488/AD488)^$G505/(1+$H505+$I505))^(1+$F505)</f>
        <v>0</v>
      </c>
    </row>
    <row r="516" spans="1:35" x14ac:dyDescent="0.45">
      <c r="B516" s="14" t="s">
        <v>58</v>
      </c>
      <c r="C516" s="14" t="str">
        <f t="shared" si="178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I516" t="s">
        <v>2403</v>
      </c>
      <c r="L516" s="47">
        <f>INDEX(Data_Energy!$D$3:$U$22,MATCH($B516,Data_Energy!$C$3:$C$22,0),MATCH($C516,Data_Energy!$D$2:$U$2,0))</f>
        <v>0</v>
      </c>
      <c r="M516" s="24">
        <f>L516*(1+M$498)^($E506*M$499)*(1+M$500)*IF(Rebate_Industry!L$240&lt;=0,1,Rebate_Industry!M$240/Rebate_Industry!L$240)^$F506*(IF(L489&lt;=0,1,M489/L489)^$G506/(1+$H506+$I506))^(1+$F506)</f>
        <v>0</v>
      </c>
      <c r="N516" s="24">
        <f>M516*(1+N$498)^($E506*N$499)*(1+N$500)*IF(Rebate_Industry!M$240&lt;=0,1,Rebate_Industry!N$240/Rebate_Industry!M$240)^$F506*(IF(M489&lt;=0,1,N489/M489)^$G506/(1+$H506+$I506))^(1+$F506)</f>
        <v>0</v>
      </c>
      <c r="O516" s="24">
        <f>N516*(1+O$498)^($E506*O$499)*(1+O$500)*IF(Rebate_Industry!N$240&lt;=0,1,Rebate_Industry!O$240/Rebate_Industry!N$240)^$F506*(IF(N489&lt;=0,1,O489/N489)^$G506/(1+$H506+$I506))^(1+$F506)</f>
        <v>0</v>
      </c>
      <c r="P516" s="24">
        <f>O516*(1+P$498)^($E506*P$499)*(1+P$500)*IF(Rebate_Industry!O$240&lt;=0,1,Rebate_Industry!P$240/Rebate_Industry!O$240)^$F506*(IF(O489&lt;=0,1,P489/O489)^$G506/(1+$H506+$I506))^(1+$F506)</f>
        <v>0</v>
      </c>
      <c r="Q516" s="24">
        <f>P516*(1+Q$498)^($E506*Q$499)*(1+Q$500)*IF(Rebate_Industry!P$240&lt;=0,1,Rebate_Industry!Q$240/Rebate_Industry!P$240)^$F506*(IF(P489&lt;=0,1,Q489/P489)^$G506/(1+$H506+$I506))^(1+$F506)</f>
        <v>0</v>
      </c>
      <c r="R516" s="24">
        <f>Q516*(1+R$498)^($E506*R$499)*(1+R$500)*IF(Rebate_Industry!Q$240&lt;=0,1,Rebate_Industry!R$240/Rebate_Industry!Q$240)^$F506*(IF(Q489&lt;=0,1,R489/Q489)^$G506/(1+$H506+$I506))^(1+$F506)</f>
        <v>0</v>
      </c>
      <c r="S516" s="24">
        <f>R516*(1+S$498)^($E506*S$499)*(1+S$500)*IF(Rebate_Industry!R$240&lt;=0,1,Rebate_Industry!S$240/Rebate_Industry!R$240)^$F506*(IF(R489&lt;=0,1,S489/R489)^$G506/(1+$H506+$I506))^(1+$F506)</f>
        <v>0</v>
      </c>
      <c r="T516" s="24">
        <f>S516*(1+T$498)^($E506*T$499)*(1+T$500)*IF(Rebate_Industry!S$240&lt;=0,1,Rebate_Industry!T$240/Rebate_Industry!S$240)^$F506*(IF(S489&lt;=0,1,T489/S489)^$G506/(1+$H506+$I506))^(1+$F506)</f>
        <v>0</v>
      </c>
      <c r="U516" s="24">
        <f>T516*(1+U$498)^($E506*U$499)*(1+U$500)*IF(Rebate_Industry!T$240&lt;=0,1,Rebate_Industry!U$240/Rebate_Industry!T$240)^$F506*(IF(T489&lt;=0,1,U489/T489)^$G506/(1+$H506+$I506))^(1+$F506)</f>
        <v>0</v>
      </c>
      <c r="V516" s="24">
        <f>U516*(1+V$498)^($E506*V$499)*(1+V$500)*IF(Rebate_Industry!U$240&lt;=0,1,Rebate_Industry!V$240/Rebate_Industry!U$240)^$F506*(IF(U489&lt;=0,1,V489/U489)^$G506/(1+$H506+$I506))^(1+$F506)</f>
        <v>0</v>
      </c>
      <c r="W516" s="24">
        <f>V516*(1+W$498)^($E506*W$499)*(1+W$500)*IF(Rebate_Industry!V$240&lt;=0,1,Rebate_Industry!W$240/Rebate_Industry!V$240)^$F506*(IF(V489&lt;=0,1,W489/V489)^$G506/(1+$H506+$I506))^(1+$F506)</f>
        <v>0</v>
      </c>
      <c r="X516" s="24">
        <f>W516*(1+X$498)^($E506*X$499)*(1+X$500)*IF(Rebate_Industry!W$240&lt;=0,1,Rebate_Industry!X$240/Rebate_Industry!W$240)^$F506*(IF(W489&lt;=0,1,X489/W489)^$G506/(1+$H506+$I506))^(1+$F506)</f>
        <v>0</v>
      </c>
      <c r="Y516" s="24">
        <f>X516*(1+Y$498)^($E506*Y$499)*(1+Y$500)*IF(Rebate_Industry!X$240&lt;=0,1,Rebate_Industry!Y$240/Rebate_Industry!X$240)^$F506*(IF(X489&lt;=0,1,Y489/X489)^$G506/(1+$H506+$I506))^(1+$F506)</f>
        <v>0</v>
      </c>
      <c r="Z516" s="24">
        <f>Y516*(1+Z$498)^($E506*Z$499)*(1+Z$500)*IF(Rebate_Industry!Y$240&lt;=0,1,Rebate_Industry!Z$240/Rebate_Industry!Y$240)^$F506*(IF(Y489&lt;=0,1,Z489/Y489)^$G506/(1+$H506+$I506))^(1+$F506)</f>
        <v>0</v>
      </c>
      <c r="AA516" s="24">
        <f>Z516*(1+AA$498)^($E506*AA$499)*(1+AA$500)*IF(Rebate_Industry!Z$240&lt;=0,1,Rebate_Industry!AA$240/Rebate_Industry!Z$240)^$F506*(IF(Z489&lt;=0,1,AA489/Z489)^$G506/(1+$H506+$I506))^(1+$F506)</f>
        <v>0</v>
      </c>
      <c r="AB516" s="24">
        <f>AA516*(1+AB$498)^($E506*AB$499)*(1+AB$500)*IF(Rebate_Industry!AA$240&lt;=0,1,Rebate_Industry!AB$240/Rebate_Industry!AA$240)^$F506*(IF(AA489&lt;=0,1,AB489/AA489)^$G506/(1+$H506+$I506))^(1+$F506)</f>
        <v>0</v>
      </c>
      <c r="AC516" s="24">
        <f>AB516*(1+AC$498)^($E506*AC$499)*(1+AC$500)*IF(Rebate_Industry!AB$240&lt;=0,1,Rebate_Industry!AC$240/Rebate_Industry!AB$240)^$F506*(IF(AB489&lt;=0,1,AC489/AB489)^$G506/(1+$H506+$I506))^(1+$F506)</f>
        <v>0</v>
      </c>
      <c r="AD516" s="24">
        <f>AC516*(1+AD$498)^($E506*AD$499)*(1+AD$500)*IF(Rebate_Industry!AC$240&lt;=0,1,Rebate_Industry!AD$240/Rebate_Industry!AC$240)^$F506*(IF(AC489&lt;=0,1,AD489/AC489)^$G506/(1+$H506+$I506))^(1+$F506)</f>
        <v>0</v>
      </c>
      <c r="AE516" s="24">
        <f>AD516*(1+AE$498)^($E506*AE$499)*(1+AE$500)*IF(Rebate_Industry!AD$240&lt;=0,1,Rebate_Industry!AE$240/Rebate_Industry!AD$240)^$F506*(IF(AD489&lt;=0,1,AE489/AD489)^$G506/(1+$H506+$I506))^(1+$F506)</f>
        <v>0</v>
      </c>
    </row>
    <row r="517" spans="1:35" x14ac:dyDescent="0.45">
      <c r="B517" s="14" t="s">
        <v>60</v>
      </c>
      <c r="C517" s="14" t="str">
        <f t="shared" si="178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I517" t="s">
        <v>2404</v>
      </c>
      <c r="L517" s="47">
        <f>INDEX(Data_Energy!$D$3:$U$22,MATCH($B517,Data_Energy!$C$3:$C$22,0),MATCH($C517,Data_Energy!$D$2:$U$2,0))</f>
        <v>0</v>
      </c>
      <c r="M517" s="24">
        <f>L517*(1+M$498)^($E507*M$499)*(1+M$500)*IF(Rebate_Industry!L$241&lt;=0,1,Rebate_Industry!M$241/Rebate_Industry!L$241)^$F507*(IF(L490&lt;=0,1,M490/L490)^$G507/(1+$H507+$I507))^(1+$F507)</f>
        <v>0</v>
      </c>
      <c r="N517" s="24">
        <f>M517*(1+N$498)^($E507*N$499)*(1+N$500)*IF(Rebate_Industry!M$241&lt;=0,1,Rebate_Industry!N$241/Rebate_Industry!M$241)^$F507*(IF(M490&lt;=0,1,N490/M490)^$G507/(1+$H507+$I507))^(1+$F507)</f>
        <v>0</v>
      </c>
      <c r="O517" s="24">
        <f>N517*(1+O$498)^($E507*O$499)*(1+O$500)*IF(Rebate_Industry!N$241&lt;=0,1,Rebate_Industry!O$241/Rebate_Industry!N$241)^$F507*(IF(N490&lt;=0,1,O490/N490)^$G507/(1+$H507+$I507))^(1+$F507)</f>
        <v>0</v>
      </c>
      <c r="P517" s="24">
        <f>O517*(1+P$498)^($E507*P$499)*(1+P$500)*IF(Rebate_Industry!O$241&lt;=0,1,Rebate_Industry!P$241/Rebate_Industry!O$241)^$F507*(IF(O490&lt;=0,1,P490/O490)^$G507/(1+$H507+$I507))^(1+$F507)</f>
        <v>0</v>
      </c>
      <c r="Q517" s="24">
        <f>P517*(1+Q$498)^($E507*Q$499)*(1+Q$500)*IF(Rebate_Industry!P$241&lt;=0,1,Rebate_Industry!Q$241/Rebate_Industry!P$241)^$F507*(IF(P490&lt;=0,1,Q490/P490)^$G507/(1+$H507+$I507))^(1+$F507)</f>
        <v>0</v>
      </c>
      <c r="R517" s="24">
        <f>Q517*(1+R$498)^($E507*R$499)*(1+R$500)*IF(Rebate_Industry!Q$241&lt;=0,1,Rebate_Industry!R$241/Rebate_Industry!Q$241)^$F507*(IF(Q490&lt;=0,1,R490/Q490)^$G507/(1+$H507+$I507))^(1+$F507)</f>
        <v>0</v>
      </c>
      <c r="S517" s="24">
        <f>R517*(1+S$498)^($E507*S$499)*(1+S$500)*IF(Rebate_Industry!R$241&lt;=0,1,Rebate_Industry!S$241/Rebate_Industry!R$241)^$F507*(IF(R490&lt;=0,1,S490/R490)^$G507/(1+$H507+$I507))^(1+$F507)</f>
        <v>0</v>
      </c>
      <c r="T517" s="24">
        <f>S517*(1+T$498)^($E507*T$499)*(1+T$500)*IF(Rebate_Industry!S$241&lt;=0,1,Rebate_Industry!T$241/Rebate_Industry!S$241)^$F507*(IF(S490&lt;=0,1,T490/S490)^$G507/(1+$H507+$I507))^(1+$F507)</f>
        <v>0</v>
      </c>
      <c r="U517" s="24">
        <f>T517*(1+U$498)^($E507*U$499)*(1+U$500)*IF(Rebate_Industry!T$241&lt;=0,1,Rebate_Industry!U$241/Rebate_Industry!T$241)^$F507*(IF(T490&lt;=0,1,U490/T490)^$G507/(1+$H507+$I507))^(1+$F507)</f>
        <v>0</v>
      </c>
      <c r="V517" s="24">
        <f>U517*(1+V$498)^($E507*V$499)*(1+V$500)*IF(Rebate_Industry!U$241&lt;=0,1,Rebate_Industry!V$241/Rebate_Industry!U$241)^$F507*(IF(U490&lt;=0,1,V490/U490)^$G507/(1+$H507+$I507))^(1+$F507)</f>
        <v>0</v>
      </c>
      <c r="W517" s="24">
        <f>V517*(1+W$498)^($E507*W$499)*(1+W$500)*IF(Rebate_Industry!V$241&lt;=0,1,Rebate_Industry!W$241/Rebate_Industry!V$241)^$F507*(IF(V490&lt;=0,1,W490/V490)^$G507/(1+$H507+$I507))^(1+$F507)</f>
        <v>0</v>
      </c>
      <c r="X517" s="24">
        <f>W517*(1+X$498)^($E507*X$499)*(1+X$500)*IF(Rebate_Industry!W$241&lt;=0,1,Rebate_Industry!X$241/Rebate_Industry!W$241)^$F507*(IF(W490&lt;=0,1,X490/W490)^$G507/(1+$H507+$I507))^(1+$F507)</f>
        <v>0</v>
      </c>
      <c r="Y517" s="24">
        <f>X517*(1+Y$498)^($E507*Y$499)*(1+Y$500)*IF(Rebate_Industry!X$241&lt;=0,1,Rebate_Industry!Y$241/Rebate_Industry!X$241)^$F507*(IF(X490&lt;=0,1,Y490/X490)^$G507/(1+$H507+$I507))^(1+$F507)</f>
        <v>0</v>
      </c>
      <c r="Z517" s="24">
        <f>Y517*(1+Z$498)^($E507*Z$499)*(1+Z$500)*IF(Rebate_Industry!Y$241&lt;=0,1,Rebate_Industry!Z$241/Rebate_Industry!Y$241)^$F507*(IF(Y490&lt;=0,1,Z490/Y490)^$G507/(1+$H507+$I507))^(1+$F507)</f>
        <v>0</v>
      </c>
      <c r="AA517" s="24">
        <f>Z517*(1+AA$498)^($E507*AA$499)*(1+AA$500)*IF(Rebate_Industry!Z$241&lt;=0,1,Rebate_Industry!AA$241/Rebate_Industry!Z$241)^$F507*(IF(Z490&lt;=0,1,AA490/Z490)^$G507/(1+$H507+$I507))^(1+$F507)</f>
        <v>0</v>
      </c>
      <c r="AB517" s="24">
        <f>AA517*(1+AB$498)^($E507*AB$499)*(1+AB$500)*IF(Rebate_Industry!AA$241&lt;=0,1,Rebate_Industry!AB$241/Rebate_Industry!AA$241)^$F507*(IF(AA490&lt;=0,1,AB490/AA490)^$G507/(1+$H507+$I507))^(1+$F507)</f>
        <v>0</v>
      </c>
      <c r="AC517" s="24">
        <f>AB517*(1+AC$498)^($E507*AC$499)*(1+AC$500)*IF(Rebate_Industry!AB$241&lt;=0,1,Rebate_Industry!AC$241/Rebate_Industry!AB$241)^$F507*(IF(AB490&lt;=0,1,AC490/AB490)^$G507/(1+$H507+$I507))^(1+$F507)</f>
        <v>0</v>
      </c>
      <c r="AD517" s="24">
        <f>AC517*(1+AD$498)^($E507*AD$499)*(1+AD$500)*IF(Rebate_Industry!AC$241&lt;=0,1,Rebate_Industry!AD$241/Rebate_Industry!AC$241)^$F507*(IF(AC490&lt;=0,1,AD490/AC490)^$G507/(1+$H507+$I507))^(1+$F507)</f>
        <v>0</v>
      </c>
      <c r="AE517" s="24">
        <f>AD517*(1+AE$498)^($E507*AE$499)*(1+AE$500)*IF(Rebate_Industry!AD$241&lt;=0,1,Rebate_Industry!AE$241/Rebate_Industry!AD$241)^$F507*(IF(AD490&lt;=0,1,AE490/AD490)^$G507/(1+$H507+$I507))^(1+$F507)</f>
        <v>0</v>
      </c>
    </row>
    <row r="518" spans="1:35" x14ac:dyDescent="0.45">
      <c r="B518" s="14" t="s">
        <v>62</v>
      </c>
      <c r="C518" s="14" t="str">
        <f t="shared" si="178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I518" t="s">
        <v>2405</v>
      </c>
      <c r="L518" s="47">
        <f>INDEX(Data_Energy!$D$3:$U$22,MATCH($B518,Data_Energy!$C$3:$C$22,0),MATCH($C518,Data_Energy!$D$2:$U$2,0))</f>
        <v>0</v>
      </c>
      <c r="M518" s="24">
        <f>L518*(1+M$498)^($E508*M$499)*(1+M$500)*IF(Rebate_Industry!L$242&lt;=0,1,Rebate_Industry!M$242/Rebate_Industry!L$242)^$F508*(IF(L491&lt;=0,1,M491/L491)^$G508/(1+$H508+$I508))^(1+$F508)</f>
        <v>0</v>
      </c>
      <c r="N518" s="24">
        <f>M518*(1+N$498)^($E508*N$499)*(1+N$500)*IF(Rebate_Industry!M$242&lt;=0,1,Rebate_Industry!N$242/Rebate_Industry!M$242)^$F508*(IF(M491&lt;=0,1,N491/M491)^$G508/(1+$H508+$I508))^(1+$F508)</f>
        <v>0</v>
      </c>
      <c r="O518" s="24">
        <f>N518*(1+O$498)^($E508*O$499)*(1+O$500)*IF(Rebate_Industry!N$242&lt;=0,1,Rebate_Industry!O$242/Rebate_Industry!N$242)^$F508*(IF(N491&lt;=0,1,O491/N491)^$G508/(1+$H508+$I508))^(1+$F508)</f>
        <v>0</v>
      </c>
      <c r="P518" s="24">
        <f>O518*(1+P$498)^($E508*P$499)*(1+P$500)*IF(Rebate_Industry!O$242&lt;=0,1,Rebate_Industry!P$242/Rebate_Industry!O$242)^$F508*(IF(O491&lt;=0,1,P491/O491)^$G508/(1+$H508+$I508))^(1+$F508)</f>
        <v>0</v>
      </c>
      <c r="Q518" s="24">
        <f>P518*(1+Q$498)^($E508*Q$499)*(1+Q$500)*IF(Rebate_Industry!P$242&lt;=0,1,Rebate_Industry!Q$242/Rebate_Industry!P$242)^$F508*(IF(P491&lt;=0,1,Q491/P491)^$G508/(1+$H508+$I508))^(1+$F508)</f>
        <v>0</v>
      </c>
      <c r="R518" s="24">
        <f>Q518*(1+R$498)^($E508*R$499)*(1+R$500)*IF(Rebate_Industry!Q$242&lt;=0,1,Rebate_Industry!R$242/Rebate_Industry!Q$242)^$F508*(IF(Q491&lt;=0,1,R491/Q491)^$G508/(1+$H508+$I508))^(1+$F508)</f>
        <v>0</v>
      </c>
      <c r="S518" s="24">
        <f>R518*(1+S$498)^($E508*S$499)*(1+S$500)*IF(Rebate_Industry!R$242&lt;=0,1,Rebate_Industry!S$242/Rebate_Industry!R$242)^$F508*(IF(R491&lt;=0,1,S491/R491)^$G508/(1+$H508+$I508))^(1+$F508)</f>
        <v>0</v>
      </c>
      <c r="T518" s="24">
        <f>S518*(1+T$498)^($E508*T$499)*(1+T$500)*IF(Rebate_Industry!S$242&lt;=0,1,Rebate_Industry!T$242/Rebate_Industry!S$242)^$F508*(IF(S491&lt;=0,1,T491/S491)^$G508/(1+$H508+$I508))^(1+$F508)</f>
        <v>0</v>
      </c>
      <c r="U518" s="24">
        <f>T518*(1+U$498)^($E508*U$499)*(1+U$500)*IF(Rebate_Industry!T$242&lt;=0,1,Rebate_Industry!U$242/Rebate_Industry!T$242)^$F508*(IF(T491&lt;=0,1,U491/T491)^$G508/(1+$H508+$I508))^(1+$F508)</f>
        <v>0</v>
      </c>
      <c r="V518" s="24">
        <f>U518*(1+V$498)^($E508*V$499)*(1+V$500)*IF(Rebate_Industry!U$242&lt;=0,1,Rebate_Industry!V$242/Rebate_Industry!U$242)^$F508*(IF(U491&lt;=0,1,V491/U491)^$G508/(1+$H508+$I508))^(1+$F508)</f>
        <v>0</v>
      </c>
      <c r="W518" s="24">
        <f>V518*(1+W$498)^($E508*W$499)*(1+W$500)*IF(Rebate_Industry!V$242&lt;=0,1,Rebate_Industry!W$242/Rebate_Industry!V$242)^$F508*(IF(V491&lt;=0,1,W491/V491)^$G508/(1+$H508+$I508))^(1+$F508)</f>
        <v>0</v>
      </c>
      <c r="X518" s="24">
        <f>W518*(1+X$498)^($E508*X$499)*(1+X$500)*IF(Rebate_Industry!W$242&lt;=0,1,Rebate_Industry!X$242/Rebate_Industry!W$242)^$F508*(IF(W491&lt;=0,1,X491/W491)^$G508/(1+$H508+$I508))^(1+$F508)</f>
        <v>0</v>
      </c>
      <c r="Y518" s="24">
        <f>X518*(1+Y$498)^($E508*Y$499)*(1+Y$500)*IF(Rebate_Industry!X$242&lt;=0,1,Rebate_Industry!Y$242/Rebate_Industry!X$242)^$F508*(IF(X491&lt;=0,1,Y491/X491)^$G508/(1+$H508+$I508))^(1+$F508)</f>
        <v>0</v>
      </c>
      <c r="Z518" s="24">
        <f>Y518*(1+Z$498)^($E508*Z$499)*(1+Z$500)*IF(Rebate_Industry!Y$242&lt;=0,1,Rebate_Industry!Z$242/Rebate_Industry!Y$242)^$F508*(IF(Y491&lt;=0,1,Z491/Y491)^$G508/(1+$H508+$I508))^(1+$F508)</f>
        <v>0</v>
      </c>
      <c r="AA518" s="24">
        <f>Z518*(1+AA$498)^($E508*AA$499)*(1+AA$500)*IF(Rebate_Industry!Z$242&lt;=0,1,Rebate_Industry!AA$242/Rebate_Industry!Z$242)^$F508*(IF(Z491&lt;=0,1,AA491/Z491)^$G508/(1+$H508+$I508))^(1+$F508)</f>
        <v>0</v>
      </c>
      <c r="AB518" s="24">
        <f>AA518*(1+AB$498)^($E508*AB$499)*(1+AB$500)*IF(Rebate_Industry!AA$242&lt;=0,1,Rebate_Industry!AB$242/Rebate_Industry!AA$242)^$F508*(IF(AA491&lt;=0,1,AB491/AA491)^$G508/(1+$H508+$I508))^(1+$F508)</f>
        <v>0</v>
      </c>
      <c r="AC518" s="24">
        <f>AB518*(1+AC$498)^($E508*AC$499)*(1+AC$500)*IF(Rebate_Industry!AB$242&lt;=0,1,Rebate_Industry!AC$242/Rebate_Industry!AB$242)^$F508*(IF(AB491&lt;=0,1,AC491/AB491)^$G508/(1+$H508+$I508))^(1+$F508)</f>
        <v>0</v>
      </c>
      <c r="AD518" s="24">
        <f>AC518*(1+AD$498)^($E508*AD$499)*(1+AD$500)*IF(Rebate_Industry!AC$242&lt;=0,1,Rebate_Industry!AD$242/Rebate_Industry!AC$242)^$F508*(IF(AC491&lt;=0,1,AD491/AC491)^$G508/(1+$H508+$I508))^(1+$F508)</f>
        <v>0</v>
      </c>
      <c r="AE518" s="24">
        <f>AD518*(1+AE$498)^($E508*AE$499)*(1+AE$500)*IF(Rebate_Industry!AD$242&lt;=0,1,Rebate_Industry!AE$242/Rebate_Industry!AD$242)^$F508*(IF(AD491&lt;=0,1,AE491/AD491)^$G508/(1+$H508+$I508))^(1+$F508)</f>
        <v>0</v>
      </c>
    </row>
    <row r="519" spans="1:35" x14ac:dyDescent="0.45">
      <c r="B519" s="14" t="s">
        <v>64</v>
      </c>
      <c r="C519" s="14" t="str">
        <f t="shared" si="178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I519" t="s">
        <v>2406</v>
      </c>
      <c r="L519" s="47">
        <f>INDEX(Data_Energy!$D$3:$U$22,MATCH($B519,Data_Energy!$C$3:$C$22,0),MATCH($C519,Data_Energy!$D$2:$U$2,0))</f>
        <v>0</v>
      </c>
      <c r="M519" s="24">
        <f>L519*(1+M$498)^($E509*M$499)*(1+M$500)*IF(Rebate_Industry!L$243&lt;=0,1,Rebate_Industry!M$243/Rebate_Industry!L$243)^$F509*(IF(L492&lt;=0,1,M492/L492)^$G509/(1+$H509+$I509))^(1+$F509)</f>
        <v>0</v>
      </c>
      <c r="N519" s="24">
        <f>M519*(1+N$498)^($E509*N$499)*(1+N$500)*IF(Rebate_Industry!M$243&lt;=0,1,Rebate_Industry!N$243/Rebate_Industry!M$243)^$F509*(IF(M492&lt;=0,1,N492/M492)^$G509/(1+$H509+$I509))^(1+$F509)</f>
        <v>0</v>
      </c>
      <c r="O519" s="24">
        <f>N519*(1+O$498)^($E509*O$499)*(1+O$500)*IF(Rebate_Industry!N$243&lt;=0,1,Rebate_Industry!O$243/Rebate_Industry!N$243)^$F509*(IF(N492&lt;=0,1,O492/N492)^$G509/(1+$H509+$I509))^(1+$F509)</f>
        <v>0</v>
      </c>
      <c r="P519" s="24">
        <f>O519*(1+P$498)^($E509*P$499)*(1+P$500)*IF(Rebate_Industry!O$243&lt;=0,1,Rebate_Industry!P$243/Rebate_Industry!O$243)^$F509*(IF(O492&lt;=0,1,P492/O492)^$G509/(1+$H509+$I509))^(1+$F509)</f>
        <v>0</v>
      </c>
      <c r="Q519" s="24">
        <f>P519*(1+Q$498)^($E509*Q$499)*(1+Q$500)*IF(Rebate_Industry!P$243&lt;=0,1,Rebate_Industry!Q$243/Rebate_Industry!P$243)^$F509*(IF(P492&lt;=0,1,Q492/P492)^$G509/(1+$H509+$I509))^(1+$F509)</f>
        <v>0</v>
      </c>
      <c r="R519" s="24">
        <f>Q519*(1+R$498)^($E509*R$499)*(1+R$500)*IF(Rebate_Industry!Q$243&lt;=0,1,Rebate_Industry!R$243/Rebate_Industry!Q$243)^$F509*(IF(Q492&lt;=0,1,R492/Q492)^$G509/(1+$H509+$I509))^(1+$F509)</f>
        <v>0</v>
      </c>
      <c r="S519" s="24">
        <f>R519*(1+S$498)^($E509*S$499)*(1+S$500)*IF(Rebate_Industry!R$243&lt;=0,1,Rebate_Industry!S$243/Rebate_Industry!R$243)^$F509*(IF(R492&lt;=0,1,S492/R492)^$G509/(1+$H509+$I509))^(1+$F509)</f>
        <v>0</v>
      </c>
      <c r="T519" s="24">
        <f>S519*(1+T$498)^($E509*T$499)*(1+T$500)*IF(Rebate_Industry!S$243&lt;=0,1,Rebate_Industry!T$243/Rebate_Industry!S$243)^$F509*(IF(S492&lt;=0,1,T492/S492)^$G509/(1+$H509+$I509))^(1+$F509)</f>
        <v>0</v>
      </c>
      <c r="U519" s="24">
        <f>T519*(1+U$498)^($E509*U$499)*(1+U$500)*IF(Rebate_Industry!T$243&lt;=0,1,Rebate_Industry!U$243/Rebate_Industry!T$243)^$F509*(IF(T492&lt;=0,1,U492/T492)^$G509/(1+$H509+$I509))^(1+$F509)</f>
        <v>0</v>
      </c>
      <c r="V519" s="24">
        <f>U519*(1+V$498)^($E509*V$499)*(1+V$500)*IF(Rebate_Industry!U$243&lt;=0,1,Rebate_Industry!V$243/Rebate_Industry!U$243)^$F509*(IF(U492&lt;=0,1,V492/U492)^$G509/(1+$H509+$I509))^(1+$F509)</f>
        <v>0</v>
      </c>
      <c r="W519" s="24">
        <f>V519*(1+W$498)^($E509*W$499)*(1+W$500)*IF(Rebate_Industry!V$243&lt;=0,1,Rebate_Industry!W$243/Rebate_Industry!V$243)^$F509*(IF(V492&lt;=0,1,W492/V492)^$G509/(1+$H509+$I509))^(1+$F509)</f>
        <v>0</v>
      </c>
      <c r="X519" s="24">
        <f>W519*(1+X$498)^($E509*X$499)*(1+X$500)*IF(Rebate_Industry!W$243&lt;=0,1,Rebate_Industry!X$243/Rebate_Industry!W$243)^$F509*(IF(W492&lt;=0,1,X492/W492)^$G509/(1+$H509+$I509))^(1+$F509)</f>
        <v>0</v>
      </c>
      <c r="Y519" s="24">
        <f>X519*(1+Y$498)^($E509*Y$499)*(1+Y$500)*IF(Rebate_Industry!X$243&lt;=0,1,Rebate_Industry!Y$243/Rebate_Industry!X$243)^$F509*(IF(X492&lt;=0,1,Y492/X492)^$G509/(1+$H509+$I509))^(1+$F509)</f>
        <v>0</v>
      </c>
      <c r="Z519" s="24">
        <f>Y519*(1+Z$498)^($E509*Z$499)*(1+Z$500)*IF(Rebate_Industry!Y$243&lt;=0,1,Rebate_Industry!Z$243/Rebate_Industry!Y$243)^$F509*(IF(Y492&lt;=0,1,Z492/Y492)^$G509/(1+$H509+$I509))^(1+$F509)</f>
        <v>0</v>
      </c>
      <c r="AA519" s="24">
        <f>Z519*(1+AA$498)^($E509*AA$499)*(1+AA$500)*IF(Rebate_Industry!Z$243&lt;=0,1,Rebate_Industry!AA$243/Rebate_Industry!Z$243)^$F509*(IF(Z492&lt;=0,1,AA492/Z492)^$G509/(1+$H509+$I509))^(1+$F509)</f>
        <v>0</v>
      </c>
      <c r="AB519" s="24">
        <f>AA519*(1+AB$498)^($E509*AB$499)*(1+AB$500)*IF(Rebate_Industry!AA$243&lt;=0,1,Rebate_Industry!AB$243/Rebate_Industry!AA$243)^$F509*(IF(AA492&lt;=0,1,AB492/AA492)^$G509/(1+$H509+$I509))^(1+$F509)</f>
        <v>0</v>
      </c>
      <c r="AC519" s="24">
        <f>AB519*(1+AC$498)^($E509*AC$499)*(1+AC$500)*IF(Rebate_Industry!AB$243&lt;=0,1,Rebate_Industry!AC$243/Rebate_Industry!AB$243)^$F509*(IF(AB492&lt;=0,1,AC492/AB492)^$G509/(1+$H509+$I509))^(1+$F509)</f>
        <v>0</v>
      </c>
      <c r="AD519" s="24">
        <f>AC519*(1+AD$498)^($E509*AD$499)*(1+AD$500)*IF(Rebate_Industry!AC$243&lt;=0,1,Rebate_Industry!AD$243/Rebate_Industry!AC$243)^$F509*(IF(AC492&lt;=0,1,AD492/AC492)^$G509/(1+$H509+$I509))^(1+$F509)</f>
        <v>0</v>
      </c>
      <c r="AE519" s="24">
        <f>AD519*(1+AE$498)^($E509*AE$499)*(1+AE$500)*IF(Rebate_Industry!AD$243&lt;=0,1,Rebate_Industry!AE$243/Rebate_Industry!AD$243)^$F509*(IF(AD492&lt;=0,1,AE492/AD492)^$G509/(1+$H509+$I509))^(1+$F509)</f>
        <v>0</v>
      </c>
    </row>
    <row r="520" spans="1:35" x14ac:dyDescent="0.45">
      <c r="B520" s="14" t="s">
        <v>67</v>
      </c>
      <c r="C520" s="14" t="str">
        <f t="shared" si="178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I520" t="s">
        <v>2407</v>
      </c>
      <c r="L520" s="47">
        <f>INDEX(Data_Energy!$D$3:$U$22,MATCH($B520,Data_Energy!$C$3:$C$22,0),MATCH($C520,Data_Energy!$D$2:$U$2,0))</f>
        <v>0</v>
      </c>
      <c r="M520" s="24">
        <f>L520*(1+M$498)^($E510*M$499)*(1+M$500)*IF(Rebate_Industry!L$244&lt;=0,1,Rebate_Industry!M$244/Rebate_Industry!L$244)^$F510*(IF(L493&lt;=0,1,M493/L493)^$G510/(1+$H510+$I510))^(1+$F510)</f>
        <v>0</v>
      </c>
      <c r="N520" s="24">
        <f>M520*(1+N$498)^($E510*N$499)*(1+N$500)*IF(Rebate_Industry!M$244&lt;=0,1,Rebate_Industry!N$244/Rebate_Industry!M$244)^$F510*(IF(M493&lt;=0,1,N493/M493)^$G510/(1+$H510+$I510))^(1+$F510)</f>
        <v>0</v>
      </c>
      <c r="O520" s="24">
        <f>N520*(1+O$498)^($E510*O$499)*(1+O$500)*IF(Rebate_Industry!N$244&lt;=0,1,Rebate_Industry!O$244/Rebate_Industry!N$244)^$F510*(IF(N493&lt;=0,1,O493/N493)^$G510/(1+$H510+$I510))^(1+$F510)</f>
        <v>0</v>
      </c>
      <c r="P520" s="24">
        <f>O520*(1+P$498)^($E510*P$499)*(1+P$500)*IF(Rebate_Industry!O$244&lt;=0,1,Rebate_Industry!P$244/Rebate_Industry!O$244)^$F510*(IF(O493&lt;=0,1,P493/O493)^$G510/(1+$H510+$I510))^(1+$F510)</f>
        <v>0</v>
      </c>
      <c r="Q520" s="24">
        <f>P520*(1+Q$498)^($E510*Q$499)*(1+Q$500)*IF(Rebate_Industry!P$244&lt;=0,1,Rebate_Industry!Q$244/Rebate_Industry!P$244)^$F510*(IF(P493&lt;=0,1,Q493/P493)^$G510/(1+$H510+$I510))^(1+$F510)</f>
        <v>0</v>
      </c>
      <c r="R520" s="24">
        <f>Q520*(1+R$498)^($E510*R$499)*(1+R$500)*IF(Rebate_Industry!Q$244&lt;=0,1,Rebate_Industry!R$244/Rebate_Industry!Q$244)^$F510*(IF(Q493&lt;=0,1,R493/Q493)^$G510/(1+$H510+$I510))^(1+$F510)</f>
        <v>0</v>
      </c>
      <c r="S520" s="24">
        <f>R520*(1+S$498)^($E510*S$499)*(1+S$500)*IF(Rebate_Industry!R$244&lt;=0,1,Rebate_Industry!S$244/Rebate_Industry!R$244)^$F510*(IF(R493&lt;=0,1,S493/R493)^$G510/(1+$H510+$I510))^(1+$F510)</f>
        <v>0</v>
      </c>
      <c r="T520" s="24">
        <f>S520*(1+T$498)^($E510*T$499)*(1+T$500)*IF(Rebate_Industry!S$244&lt;=0,1,Rebate_Industry!T$244/Rebate_Industry!S$244)^$F510*(IF(S493&lt;=0,1,T493/S493)^$G510/(1+$H510+$I510))^(1+$F510)</f>
        <v>0</v>
      </c>
      <c r="U520" s="24">
        <f>T520*(1+U$498)^($E510*U$499)*(1+U$500)*IF(Rebate_Industry!T$244&lt;=0,1,Rebate_Industry!U$244/Rebate_Industry!T$244)^$F510*(IF(T493&lt;=0,1,U493/T493)^$G510/(1+$H510+$I510))^(1+$F510)</f>
        <v>0</v>
      </c>
      <c r="V520" s="24">
        <f>U520*(1+V$498)^($E510*V$499)*(1+V$500)*IF(Rebate_Industry!U$244&lt;=0,1,Rebate_Industry!V$244/Rebate_Industry!U$244)^$F510*(IF(U493&lt;=0,1,V493/U493)^$G510/(1+$H510+$I510))^(1+$F510)</f>
        <v>0</v>
      </c>
      <c r="W520" s="24">
        <f>V520*(1+W$498)^($E510*W$499)*(1+W$500)*IF(Rebate_Industry!V$244&lt;=0,1,Rebate_Industry!W$244/Rebate_Industry!V$244)^$F510*(IF(V493&lt;=0,1,W493/V493)^$G510/(1+$H510+$I510))^(1+$F510)</f>
        <v>0</v>
      </c>
      <c r="X520" s="24">
        <f>W520*(1+X$498)^($E510*X$499)*(1+X$500)*IF(Rebate_Industry!W$244&lt;=0,1,Rebate_Industry!X$244/Rebate_Industry!W$244)^$F510*(IF(W493&lt;=0,1,X493/W493)^$G510/(1+$H510+$I510))^(1+$F510)</f>
        <v>0</v>
      </c>
      <c r="Y520" s="24">
        <f>X520*(1+Y$498)^($E510*Y$499)*(1+Y$500)*IF(Rebate_Industry!X$244&lt;=0,1,Rebate_Industry!Y$244/Rebate_Industry!X$244)^$F510*(IF(X493&lt;=0,1,Y493/X493)^$G510/(1+$H510+$I510))^(1+$F510)</f>
        <v>0</v>
      </c>
      <c r="Z520" s="24">
        <f>Y520*(1+Z$498)^($E510*Z$499)*(1+Z$500)*IF(Rebate_Industry!Y$244&lt;=0,1,Rebate_Industry!Z$244/Rebate_Industry!Y$244)^$F510*(IF(Y493&lt;=0,1,Z493/Y493)^$G510/(1+$H510+$I510))^(1+$F510)</f>
        <v>0</v>
      </c>
      <c r="AA520" s="24">
        <f>Z520*(1+AA$498)^($E510*AA$499)*(1+AA$500)*IF(Rebate_Industry!Z$244&lt;=0,1,Rebate_Industry!AA$244/Rebate_Industry!Z$244)^$F510*(IF(Z493&lt;=0,1,AA493/Z493)^$G510/(1+$H510+$I510))^(1+$F510)</f>
        <v>0</v>
      </c>
      <c r="AB520" s="24">
        <f>AA520*(1+AB$498)^($E510*AB$499)*(1+AB$500)*IF(Rebate_Industry!AA$244&lt;=0,1,Rebate_Industry!AB$244/Rebate_Industry!AA$244)^$F510*(IF(AA493&lt;=0,1,AB493/AA493)^$G510/(1+$H510+$I510))^(1+$F510)</f>
        <v>0</v>
      </c>
      <c r="AC520" s="24">
        <f>AB520*(1+AC$498)^($E510*AC$499)*(1+AC$500)*IF(Rebate_Industry!AB$244&lt;=0,1,Rebate_Industry!AC$244/Rebate_Industry!AB$244)^$F510*(IF(AB493&lt;=0,1,AC493/AB493)^$G510/(1+$H510+$I510))^(1+$F510)</f>
        <v>0</v>
      </c>
      <c r="AD520" s="24">
        <f>AC520*(1+AD$498)^($E510*AD$499)*(1+AD$500)*IF(Rebate_Industry!AC$244&lt;=0,1,Rebate_Industry!AD$244/Rebate_Industry!AC$244)^$F510*(IF(AC493&lt;=0,1,AD493/AC493)^$G510/(1+$H510+$I510))^(1+$F510)</f>
        <v>0</v>
      </c>
      <c r="AE520" s="24">
        <f>AD520*(1+AE$498)^($E510*AE$499)*(1+AE$500)*IF(Rebate_Industry!AD$244&lt;=0,1,Rebate_Industry!AE$244/Rebate_Industry!AD$244)^$F510*(IF(AD493&lt;=0,1,AE493/AD493)^$G510/(1+$H510+$I510))^(1+$F510)</f>
        <v>0</v>
      </c>
    </row>
    <row r="521" spans="1:35" x14ac:dyDescent="0.45">
      <c r="B521" s="14" t="s">
        <v>69</v>
      </c>
      <c r="C521" s="14" t="str">
        <f t="shared" si="178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I521" t="s">
        <v>2408</v>
      </c>
      <c r="L521" s="47">
        <f>INDEX(Data_Energy!$D$3:$U$22,MATCH($B521,Data_Energy!$C$3:$C$22,0),MATCH($C521,Data_Energy!$D$2:$U$2,0))</f>
        <v>0</v>
      </c>
      <c r="M521" s="24">
        <f>L521*(1+M$498)^($E511*M$499)*(1+M$500)*IF(Rebate_Industry!L$245&lt;=0,1,Rebate_Industry!M$245/Rebate_Industry!L$245)^$F511*(IF(L494&lt;=0,1,M494/L494)^$G511/(1+$H511+$I511))^(1+$F511)</f>
        <v>0</v>
      </c>
      <c r="N521" s="24">
        <f>M521*(1+N$498)^($E511*N$499)*(1+N$500)*IF(Rebate_Industry!M$245&lt;=0,1,Rebate_Industry!N$245/Rebate_Industry!M$245)^$F511*(IF(M494&lt;=0,1,N494/M494)^$G511/(1+$H511+$I511))^(1+$F511)</f>
        <v>0</v>
      </c>
      <c r="O521" s="24">
        <f>N521*(1+O$498)^($E511*O$499)*(1+O$500)*IF(Rebate_Industry!N$245&lt;=0,1,Rebate_Industry!O$245/Rebate_Industry!N$245)^$F511*(IF(N494&lt;=0,1,O494/N494)^$G511/(1+$H511+$I511))^(1+$F511)</f>
        <v>0</v>
      </c>
      <c r="P521" s="24">
        <f>O521*(1+P$498)^($E511*P$499)*(1+P$500)*IF(Rebate_Industry!O$245&lt;=0,1,Rebate_Industry!P$245/Rebate_Industry!O$245)^$F511*(IF(O494&lt;=0,1,P494/O494)^$G511/(1+$H511+$I511))^(1+$F511)</f>
        <v>0</v>
      </c>
      <c r="Q521" s="24">
        <f>P521*(1+Q$498)^($E511*Q$499)*(1+Q$500)*IF(Rebate_Industry!P$245&lt;=0,1,Rebate_Industry!Q$245/Rebate_Industry!P$245)^$F511*(IF(P494&lt;=0,1,Q494/P494)^$G511/(1+$H511+$I511))^(1+$F511)</f>
        <v>0</v>
      </c>
      <c r="R521" s="24">
        <f>Q521*(1+R$498)^($E511*R$499)*(1+R$500)*IF(Rebate_Industry!Q$245&lt;=0,1,Rebate_Industry!R$245/Rebate_Industry!Q$245)^$F511*(IF(Q494&lt;=0,1,R494/Q494)^$G511/(1+$H511+$I511))^(1+$F511)</f>
        <v>0</v>
      </c>
      <c r="S521" s="24">
        <f>R521*(1+S$498)^($E511*S$499)*(1+S$500)*IF(Rebate_Industry!R$245&lt;=0,1,Rebate_Industry!S$245/Rebate_Industry!R$245)^$F511*(IF(R494&lt;=0,1,S494/R494)^$G511/(1+$H511+$I511))^(1+$F511)</f>
        <v>0</v>
      </c>
      <c r="T521" s="24">
        <f>S521*(1+T$498)^($E511*T$499)*(1+T$500)*IF(Rebate_Industry!S$245&lt;=0,1,Rebate_Industry!T$245/Rebate_Industry!S$245)^$F511*(IF(S494&lt;=0,1,T494/S494)^$G511/(1+$H511+$I511))^(1+$F511)</f>
        <v>0</v>
      </c>
      <c r="U521" s="24">
        <f>T521*(1+U$498)^($E511*U$499)*(1+U$500)*IF(Rebate_Industry!T$245&lt;=0,1,Rebate_Industry!U$245/Rebate_Industry!T$245)^$F511*(IF(T494&lt;=0,1,U494/T494)^$G511/(1+$H511+$I511))^(1+$F511)</f>
        <v>0</v>
      </c>
      <c r="V521" s="24">
        <f>U521*(1+V$498)^($E511*V$499)*(1+V$500)*IF(Rebate_Industry!U$245&lt;=0,1,Rebate_Industry!V$245/Rebate_Industry!U$245)^$F511*(IF(U494&lt;=0,1,V494/U494)^$G511/(1+$H511+$I511))^(1+$F511)</f>
        <v>0</v>
      </c>
      <c r="W521" s="24">
        <f>V521*(1+W$498)^($E511*W$499)*(1+W$500)*IF(Rebate_Industry!V$245&lt;=0,1,Rebate_Industry!W$245/Rebate_Industry!V$245)^$F511*(IF(V494&lt;=0,1,W494/V494)^$G511/(1+$H511+$I511))^(1+$F511)</f>
        <v>0</v>
      </c>
      <c r="X521" s="24">
        <f>W521*(1+X$498)^($E511*X$499)*(1+X$500)*IF(Rebate_Industry!W$245&lt;=0,1,Rebate_Industry!X$245/Rebate_Industry!W$245)^$F511*(IF(W494&lt;=0,1,X494/W494)^$G511/(1+$H511+$I511))^(1+$F511)</f>
        <v>0</v>
      </c>
      <c r="Y521" s="24">
        <f>X521*(1+Y$498)^($E511*Y$499)*(1+Y$500)*IF(Rebate_Industry!X$245&lt;=0,1,Rebate_Industry!Y$245/Rebate_Industry!X$245)^$F511*(IF(X494&lt;=0,1,Y494/X494)^$G511/(1+$H511+$I511))^(1+$F511)</f>
        <v>0</v>
      </c>
      <c r="Z521" s="24">
        <f>Y521*(1+Z$498)^($E511*Z$499)*(1+Z$500)*IF(Rebate_Industry!Y$245&lt;=0,1,Rebate_Industry!Z$245/Rebate_Industry!Y$245)^$F511*(IF(Y494&lt;=0,1,Z494/Y494)^$G511/(1+$H511+$I511))^(1+$F511)</f>
        <v>0</v>
      </c>
      <c r="AA521" s="24">
        <f>Z521*(1+AA$498)^($E511*AA$499)*(1+AA$500)*IF(Rebate_Industry!Z$245&lt;=0,1,Rebate_Industry!AA$245/Rebate_Industry!Z$245)^$F511*(IF(Z494&lt;=0,1,AA494/Z494)^$G511/(1+$H511+$I511))^(1+$F511)</f>
        <v>0</v>
      </c>
      <c r="AB521" s="24">
        <f>AA521*(1+AB$498)^($E511*AB$499)*(1+AB$500)*IF(Rebate_Industry!AA$245&lt;=0,1,Rebate_Industry!AB$245/Rebate_Industry!AA$245)^$F511*(IF(AA494&lt;=0,1,AB494/AA494)^$G511/(1+$H511+$I511))^(1+$F511)</f>
        <v>0</v>
      </c>
      <c r="AC521" s="24">
        <f>AB521*(1+AC$498)^($E511*AC$499)*(1+AC$500)*IF(Rebate_Industry!AB$245&lt;=0,1,Rebate_Industry!AC$245/Rebate_Industry!AB$245)^$F511*(IF(AB494&lt;=0,1,AC494/AB494)^$G511/(1+$H511+$I511))^(1+$F511)</f>
        <v>0</v>
      </c>
      <c r="AD521" s="24">
        <f>AC521*(1+AD$498)^($E511*AD$499)*(1+AD$500)*IF(Rebate_Industry!AC$245&lt;=0,1,Rebate_Industry!AD$245/Rebate_Industry!AC$245)^$F511*(IF(AC494&lt;=0,1,AD494/AC494)^$G511/(1+$H511+$I511))^(1+$F511)</f>
        <v>0</v>
      </c>
      <c r="AE521" s="24">
        <f>AD521*(1+AE$498)^($E511*AE$499)*(1+AE$500)*IF(Rebate_Industry!AD$245&lt;=0,1,Rebate_Industry!AE$245/Rebate_Industry!AD$245)^$F511*(IF(AD494&lt;=0,1,AE494/AD494)^$G511/(1+$H511+$I511))^(1+$F511)</f>
        <v>0</v>
      </c>
    </row>
    <row r="522" spans="1:35" x14ac:dyDescent="0.45">
      <c r="B522" s="14" t="s">
        <v>110</v>
      </c>
      <c r="C522" s="14" t="str">
        <f t="shared" si="178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179">SUM(L513:L521)</f>
        <v>3210.4467592248702</v>
      </c>
      <c r="M522" s="26">
        <f t="shared" si="179"/>
        <v>2690.3404093921163</v>
      </c>
      <c r="N522" s="26">
        <f t="shared" si="179"/>
        <v>3047.5360888007326</v>
      </c>
      <c r="O522" s="26">
        <f t="shared" si="179"/>
        <v>3240.6928223889822</v>
      </c>
      <c r="P522" s="26">
        <f t="shared" si="179"/>
        <v>3273.2119677539522</v>
      </c>
      <c r="Q522" s="26">
        <f t="shared" si="179"/>
        <v>3089.4258527074826</v>
      </c>
      <c r="R522" s="26">
        <f t="shared" si="179"/>
        <v>2975.1242061609983</v>
      </c>
      <c r="S522" s="26">
        <f t="shared" si="179"/>
        <v>2878.4338008647092</v>
      </c>
      <c r="T522" s="26">
        <f t="shared" si="179"/>
        <v>2793.1021878663519</v>
      </c>
      <c r="U522" s="26">
        <f t="shared" si="179"/>
        <v>2721.6867792281105</v>
      </c>
      <c r="V522" s="26">
        <f t="shared" si="179"/>
        <v>2659.4365656902273</v>
      </c>
      <c r="W522" s="26">
        <f t="shared" si="179"/>
        <v>2608.3843590415554</v>
      </c>
      <c r="X522" s="26">
        <f t="shared" si="179"/>
        <v>2567.1439632109241</v>
      </c>
      <c r="Y522" s="26">
        <f t="shared" si="179"/>
        <v>2534.8641732295537</v>
      </c>
      <c r="Z522" s="26">
        <f t="shared" si="179"/>
        <v>2511.2970995969799</v>
      </c>
      <c r="AA522" s="26">
        <f t="shared" si="179"/>
        <v>2495.8988717310085</v>
      </c>
      <c r="AB522" s="26">
        <f t="shared" si="179"/>
        <v>2488.1145593655265</v>
      </c>
      <c r="AC522" s="26">
        <f t="shared" si="179"/>
        <v>2487.0912005211107</v>
      </c>
      <c r="AD522" s="26">
        <f t="shared" si="179"/>
        <v>2492.116697620846</v>
      </c>
      <c r="AE522" s="26">
        <f t="shared" si="179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180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180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180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180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180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180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180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180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180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181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181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181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181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181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181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181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181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181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182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182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182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182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182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182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182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182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182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1</v>
      </c>
      <c r="M557" s="19">
        <f>INDEX(Data_Prices!M:M,MATCH($G557,Data_Prices!$A:$A,0))</f>
        <v>1</v>
      </c>
      <c r="N557" s="19">
        <f>INDEX(Data_Prices!N:N,MATCH($G557,Data_Prices!$A:$A,0))</f>
        <v>1</v>
      </c>
      <c r="O557" s="19">
        <f>INDEX(Data_Prices!O:O,MATCH($G557,Data_Prices!$A:$A,0))</f>
        <v>1</v>
      </c>
      <c r="P557" s="19">
        <f>INDEX(Data_Prices!P:P,MATCH($G557,Data_Prices!$A:$A,0))</f>
        <v>1</v>
      </c>
      <c r="Q557" s="19">
        <f>INDEX(Data_Prices!Q:Q,MATCH($G557,Data_Prices!$A:$A,0))</f>
        <v>1</v>
      </c>
      <c r="R557" s="19">
        <f>INDEX(Data_Prices!R:R,MATCH($G557,Data_Prices!$A:$A,0))</f>
        <v>1</v>
      </c>
      <c r="S557" s="19">
        <f>INDEX(Data_Prices!S:S,MATCH($G557,Data_Prices!$A:$A,0))</f>
        <v>1</v>
      </c>
      <c r="T557" s="19">
        <f>INDEX(Data_Prices!T:T,MATCH($G557,Data_Prices!$A:$A,0))</f>
        <v>1</v>
      </c>
      <c r="U557" s="19">
        <f>INDEX(Data_Prices!U:U,MATCH($G557,Data_Prices!$A:$A,0))</f>
        <v>1</v>
      </c>
      <c r="V557" s="19">
        <f>INDEX(Data_Prices!V:V,MATCH($G557,Data_Prices!$A:$A,0))</f>
        <v>1</v>
      </c>
      <c r="W557" s="19">
        <f>INDEX(Data_Prices!W:W,MATCH($G557,Data_Prices!$A:$A,0))</f>
        <v>1</v>
      </c>
      <c r="X557" s="19">
        <f>INDEX(Data_Prices!X:X,MATCH($G557,Data_Prices!$A:$A,0))</f>
        <v>1</v>
      </c>
      <c r="Y557" s="19">
        <f>INDEX(Data_Prices!Y:Y,MATCH($G557,Data_Prices!$A:$A,0))</f>
        <v>1</v>
      </c>
      <c r="Z557" s="19">
        <f>INDEX(Data_Prices!Z:Z,MATCH($G557,Data_Prices!$A:$A,0))</f>
        <v>1</v>
      </c>
      <c r="AA557" s="19">
        <f>INDEX(Data_Prices!AA:AA,MATCH($G557,Data_Prices!$A:$A,0))</f>
        <v>1</v>
      </c>
      <c r="AB557" s="19">
        <f>INDEX(Data_Prices!AB:AB,MATCH($G557,Data_Prices!$A:$A,0))</f>
        <v>1</v>
      </c>
      <c r="AC557" s="19">
        <f>INDEX(Data_Prices!AC:AC,MATCH($G557,Data_Prices!$A:$A,0))</f>
        <v>1</v>
      </c>
      <c r="AD557" s="19">
        <f>INDEX(Data_Prices!AD:AD,MATCH($G557,Data_Prices!$A:$A,0))</f>
        <v>1</v>
      </c>
      <c r="AE557" s="19">
        <f>INDEX(Data_Prices!AE:AE,MATCH($G557,Data_Prices!$A:$A,0))</f>
        <v>1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183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183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183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183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183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183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183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183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183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184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I573" t="s">
        <v>2409</v>
      </c>
      <c r="L573" s="47">
        <f>INDEX(Data_Energy!$D$3:$U$22,MATCH($B573,Data_Energy!$C$3:$C$22,0),MATCH($C573,Data_Energy!$D$2:$U$2,0))</f>
        <v>0</v>
      </c>
      <c r="M573" s="24">
        <f>L573*(1+M$558)^($E563*M$559)*(1+M$560)*IF(Rebate_Industry!L$251&lt;=0,1,Rebate_Industry!M$251/Rebate_Industry!L$251)^$F563*(IF(L546&lt;=0,1,M546/L546)^$G563/(1+$H563+$I563))^(1+$F563)</f>
        <v>0</v>
      </c>
      <c r="N573" s="24">
        <f>M573*(1+N$558)^($E563*N$559)*(1+N$560)*IF(Rebate_Industry!M$251&lt;=0,1,Rebate_Industry!N$251/Rebate_Industry!M$251)^$F563*(IF(M546&lt;=0,1,N546/M546)^$G563/(1+$H563+$I563))^(1+$F563)</f>
        <v>0</v>
      </c>
      <c r="O573" s="24">
        <f>N573*(1+O$558)^($E563*O$559)*(1+O$560)*IF(Rebate_Industry!N$251&lt;=0,1,Rebate_Industry!O$251/Rebate_Industry!N$251)^$F563*(IF(N546&lt;=0,1,O546/N546)^$G563/(1+$H563+$I563))^(1+$F563)</f>
        <v>0</v>
      </c>
      <c r="P573" s="24">
        <f>O573*(1+P$558)^($E563*P$559)*(1+P$560)*IF(Rebate_Industry!O$251&lt;=0,1,Rebate_Industry!P$251/Rebate_Industry!O$251)^$F563*(IF(O546&lt;=0,1,P546/O546)^$G563/(1+$H563+$I563))^(1+$F563)</f>
        <v>0</v>
      </c>
      <c r="Q573" s="24">
        <f>P573*(1+Q$558)^($E563*Q$559)*(1+Q$560)*IF(Rebate_Industry!P$251&lt;=0,1,Rebate_Industry!Q$251/Rebate_Industry!P$251)^$F563*(IF(P546&lt;=0,1,Q546/P546)^$G563/(1+$H563+$I563))^(1+$F563)</f>
        <v>0</v>
      </c>
      <c r="R573" s="24">
        <f>Q573*(1+R$558)^($E563*R$559)*(1+R$560)*IF(Rebate_Industry!Q$251&lt;=0,1,Rebate_Industry!R$251/Rebate_Industry!Q$251)^$F563*(IF(Q546&lt;=0,1,R546/Q546)^$G563/(1+$H563+$I563))^(1+$F563)</f>
        <v>0</v>
      </c>
      <c r="S573" s="24">
        <f>R573*(1+S$558)^($E563*S$559)*(1+S$560)*IF(Rebate_Industry!R$251&lt;=0,1,Rebate_Industry!S$251/Rebate_Industry!R$251)^$F563*(IF(R546&lt;=0,1,S546/R546)^$G563/(1+$H563+$I563))^(1+$F563)</f>
        <v>0</v>
      </c>
      <c r="T573" s="24">
        <f>S573*(1+T$558)^($E563*T$559)*(1+T$560)*IF(Rebate_Industry!S$251&lt;=0,1,Rebate_Industry!T$251/Rebate_Industry!S$251)^$F563*(IF(S546&lt;=0,1,T546/S546)^$G563/(1+$H563+$I563))^(1+$F563)</f>
        <v>0</v>
      </c>
      <c r="U573" s="24">
        <f>T573*(1+U$558)^($E563*U$559)*(1+U$560)*IF(Rebate_Industry!T$251&lt;=0,1,Rebate_Industry!U$251/Rebate_Industry!T$251)^$F563*(IF(T546&lt;=0,1,U546/T546)^$G563/(1+$H563+$I563))^(1+$F563)</f>
        <v>0</v>
      </c>
      <c r="V573" s="24">
        <f>U573*(1+V$558)^($E563*V$559)*(1+V$560)*IF(Rebate_Industry!U$251&lt;=0,1,Rebate_Industry!V$251/Rebate_Industry!U$251)^$F563*(IF(U546&lt;=0,1,V546/U546)^$G563/(1+$H563+$I563))^(1+$F563)</f>
        <v>0</v>
      </c>
      <c r="W573" s="24">
        <f>V573*(1+W$558)^($E563*W$559)*(1+W$560)*IF(Rebate_Industry!V$251&lt;=0,1,Rebate_Industry!W$251/Rebate_Industry!V$251)^$F563*(IF(V546&lt;=0,1,W546/V546)^$G563/(1+$H563+$I563))^(1+$F563)</f>
        <v>0</v>
      </c>
      <c r="X573" s="24">
        <f>W573*(1+X$558)^($E563*X$559)*(1+X$560)*IF(Rebate_Industry!W$251&lt;=0,1,Rebate_Industry!X$251/Rebate_Industry!W$251)^$F563*(IF(W546&lt;=0,1,X546/W546)^$G563/(1+$H563+$I563))^(1+$F563)</f>
        <v>0</v>
      </c>
      <c r="Y573" s="24">
        <f>X573*(1+Y$558)^($E563*Y$559)*(1+Y$560)*IF(Rebate_Industry!X$251&lt;=0,1,Rebate_Industry!Y$251/Rebate_Industry!X$251)^$F563*(IF(X546&lt;=0,1,Y546/X546)^$G563/(1+$H563+$I563))^(1+$F563)</f>
        <v>0</v>
      </c>
      <c r="Z573" s="24">
        <f>Y573*(1+Z$558)^($E563*Z$559)*(1+Z$560)*IF(Rebate_Industry!Y$251&lt;=0,1,Rebate_Industry!Z$251/Rebate_Industry!Y$251)^$F563*(IF(Y546&lt;=0,1,Z546/Y546)^$G563/(1+$H563+$I563))^(1+$F563)</f>
        <v>0</v>
      </c>
      <c r="AA573" s="24">
        <f>Z573*(1+AA$558)^($E563*AA$559)*(1+AA$560)*IF(Rebate_Industry!Z$251&lt;=0,1,Rebate_Industry!AA$251/Rebate_Industry!Z$251)^$F563*(IF(Z546&lt;=0,1,AA546/Z546)^$G563/(1+$H563+$I563))^(1+$F563)</f>
        <v>0</v>
      </c>
      <c r="AB573" s="24">
        <f>AA573*(1+AB$558)^($E563*AB$559)*(1+AB$560)*IF(Rebate_Industry!AA$251&lt;=0,1,Rebate_Industry!AB$251/Rebate_Industry!AA$251)^$F563*(IF(AA546&lt;=0,1,AB546/AA546)^$G563/(1+$H563+$I563))^(1+$F563)</f>
        <v>0</v>
      </c>
      <c r="AC573" s="24">
        <f>AB573*(1+AC$558)^($E563*AC$559)*(1+AC$560)*IF(Rebate_Industry!AB$251&lt;=0,1,Rebate_Industry!AC$251/Rebate_Industry!AB$251)^$F563*(IF(AB546&lt;=0,1,AC546/AB546)^$G563/(1+$H563+$I563))^(1+$F563)</f>
        <v>0</v>
      </c>
      <c r="AD573" s="24">
        <f>AC573*(1+AD$558)^($E563*AD$559)*(1+AD$560)*IF(Rebate_Industry!AC$251&lt;=0,1,Rebate_Industry!AD$251/Rebate_Industry!AC$251)^$F563*(IF(AC546&lt;=0,1,AD546/AC546)^$G563/(1+$H563+$I563))^(1+$F563)</f>
        <v>0</v>
      </c>
      <c r="AE573" s="24">
        <f>AD573*(1+AE$558)^($E563*AE$559)*(1+AE$560)*IF(Rebate_Industry!AD$251&lt;=0,1,Rebate_Industry!AE$251/Rebate_Industry!AD$251)^$F563*(IF(AD546&lt;=0,1,AE546/AD546)^$G563/(1+$H563+$I563))^(1+$F563)</f>
        <v>0</v>
      </c>
    </row>
    <row r="574" spans="2:31" x14ac:dyDescent="0.45">
      <c r="B574" s="14" t="s">
        <v>53</v>
      </c>
      <c r="C574" s="14" t="str">
        <f t="shared" si="184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I574" t="s">
        <v>2410</v>
      </c>
      <c r="L574" s="47">
        <f>INDEX(Data_Energy!$D$3:$U$22,MATCH($B574,Data_Energy!$C$3:$C$22,0),MATCH($C574,Data_Energy!$D$2:$U$2,0))</f>
        <v>0</v>
      </c>
      <c r="M574" s="24">
        <f>L574*(1+M$558)^($E564*M$559)*(1+M$560)*IF(Rebate_Industry!L$252&lt;=0,1,Rebate_Industry!M$252/Rebate_Industry!L$252)^$F564*(IF(L547&lt;=0,1,M547/L547)^$G564/(1+$H564+$I564))^(1+$F564)</f>
        <v>0</v>
      </c>
      <c r="N574" s="24">
        <f>M574*(1+N$558)^($E564*N$559)*(1+N$560)*IF(Rebate_Industry!M$252&lt;=0,1,Rebate_Industry!N$252/Rebate_Industry!M$252)^$F564*(IF(M547&lt;=0,1,N547/M547)^$G564/(1+$H564+$I564))^(1+$F564)</f>
        <v>0</v>
      </c>
      <c r="O574" s="24">
        <f>N574*(1+O$558)^($E564*O$559)*(1+O$560)*IF(Rebate_Industry!N$252&lt;=0,1,Rebate_Industry!O$252/Rebate_Industry!N$252)^$F564*(IF(N547&lt;=0,1,O547/N547)^$G564/(1+$H564+$I564))^(1+$F564)</f>
        <v>0</v>
      </c>
      <c r="P574" s="24">
        <f>O574*(1+P$558)^($E564*P$559)*(1+P$560)*IF(Rebate_Industry!O$252&lt;=0,1,Rebate_Industry!P$252/Rebate_Industry!O$252)^$F564*(IF(O547&lt;=0,1,P547/O547)^$G564/(1+$H564+$I564))^(1+$F564)</f>
        <v>0</v>
      </c>
      <c r="Q574" s="24">
        <f>P574*(1+Q$558)^($E564*Q$559)*(1+Q$560)*IF(Rebate_Industry!P$252&lt;=0,1,Rebate_Industry!Q$252/Rebate_Industry!P$252)^$F564*(IF(P547&lt;=0,1,Q547/P547)^$G564/(1+$H564+$I564))^(1+$F564)</f>
        <v>0</v>
      </c>
      <c r="R574" s="24">
        <f>Q574*(1+R$558)^($E564*R$559)*(1+R$560)*IF(Rebate_Industry!Q$252&lt;=0,1,Rebate_Industry!R$252/Rebate_Industry!Q$252)^$F564*(IF(Q547&lt;=0,1,R547/Q547)^$G564/(1+$H564+$I564))^(1+$F564)</f>
        <v>0</v>
      </c>
      <c r="S574" s="24">
        <f>R574*(1+S$558)^($E564*S$559)*(1+S$560)*IF(Rebate_Industry!R$252&lt;=0,1,Rebate_Industry!S$252/Rebate_Industry!R$252)^$F564*(IF(R547&lt;=0,1,S547/R547)^$G564/(1+$H564+$I564))^(1+$F564)</f>
        <v>0</v>
      </c>
      <c r="T574" s="24">
        <f>S574*(1+T$558)^($E564*T$559)*(1+T$560)*IF(Rebate_Industry!S$252&lt;=0,1,Rebate_Industry!T$252/Rebate_Industry!S$252)^$F564*(IF(S547&lt;=0,1,T547/S547)^$G564/(1+$H564+$I564))^(1+$F564)</f>
        <v>0</v>
      </c>
      <c r="U574" s="24">
        <f>T574*(1+U$558)^($E564*U$559)*(1+U$560)*IF(Rebate_Industry!T$252&lt;=0,1,Rebate_Industry!U$252/Rebate_Industry!T$252)^$F564*(IF(T547&lt;=0,1,U547/T547)^$G564/(1+$H564+$I564))^(1+$F564)</f>
        <v>0</v>
      </c>
      <c r="V574" s="24">
        <f>U574*(1+V$558)^($E564*V$559)*(1+V$560)*IF(Rebate_Industry!U$252&lt;=0,1,Rebate_Industry!V$252/Rebate_Industry!U$252)^$F564*(IF(U547&lt;=0,1,V547/U547)^$G564/(1+$H564+$I564))^(1+$F564)</f>
        <v>0</v>
      </c>
      <c r="W574" s="24">
        <f>V574*(1+W$558)^($E564*W$559)*(1+W$560)*IF(Rebate_Industry!V$252&lt;=0,1,Rebate_Industry!W$252/Rebate_Industry!V$252)^$F564*(IF(V547&lt;=0,1,W547/V547)^$G564/(1+$H564+$I564))^(1+$F564)</f>
        <v>0</v>
      </c>
      <c r="X574" s="24">
        <f>W574*(1+X$558)^($E564*X$559)*(1+X$560)*IF(Rebate_Industry!W$252&lt;=0,1,Rebate_Industry!X$252/Rebate_Industry!W$252)^$F564*(IF(W547&lt;=0,1,X547/W547)^$G564/(1+$H564+$I564))^(1+$F564)</f>
        <v>0</v>
      </c>
      <c r="Y574" s="24">
        <f>X574*(1+Y$558)^($E564*Y$559)*(1+Y$560)*IF(Rebate_Industry!X$252&lt;=0,1,Rebate_Industry!Y$252/Rebate_Industry!X$252)^$F564*(IF(X547&lt;=0,1,Y547/X547)^$G564/(1+$H564+$I564))^(1+$F564)</f>
        <v>0</v>
      </c>
      <c r="Z574" s="24">
        <f>Y574*(1+Z$558)^($E564*Z$559)*(1+Z$560)*IF(Rebate_Industry!Y$252&lt;=0,1,Rebate_Industry!Z$252/Rebate_Industry!Y$252)^$F564*(IF(Y547&lt;=0,1,Z547/Y547)^$G564/(1+$H564+$I564))^(1+$F564)</f>
        <v>0</v>
      </c>
      <c r="AA574" s="24">
        <f>Z574*(1+AA$558)^($E564*AA$559)*(1+AA$560)*IF(Rebate_Industry!Z$252&lt;=0,1,Rebate_Industry!AA$252/Rebate_Industry!Z$252)^$F564*(IF(Z547&lt;=0,1,AA547/Z547)^$G564/(1+$H564+$I564))^(1+$F564)</f>
        <v>0</v>
      </c>
      <c r="AB574" s="24">
        <f>AA574*(1+AB$558)^($E564*AB$559)*(1+AB$560)*IF(Rebate_Industry!AA$252&lt;=0,1,Rebate_Industry!AB$252/Rebate_Industry!AA$252)^$F564*(IF(AA547&lt;=0,1,AB547/AA547)^$G564/(1+$H564+$I564))^(1+$F564)</f>
        <v>0</v>
      </c>
      <c r="AC574" s="24">
        <f>AB574*(1+AC$558)^($E564*AC$559)*(1+AC$560)*IF(Rebate_Industry!AB$252&lt;=0,1,Rebate_Industry!AC$252/Rebate_Industry!AB$252)^$F564*(IF(AB547&lt;=0,1,AC547/AB547)^$G564/(1+$H564+$I564))^(1+$F564)</f>
        <v>0</v>
      </c>
      <c r="AD574" s="24">
        <f>AC574*(1+AD$558)^($E564*AD$559)*(1+AD$560)*IF(Rebate_Industry!AC$252&lt;=0,1,Rebate_Industry!AD$252/Rebate_Industry!AC$252)^$F564*(IF(AC547&lt;=0,1,AD547/AC547)^$G564/(1+$H564+$I564))^(1+$F564)</f>
        <v>0</v>
      </c>
      <c r="AE574" s="24">
        <f>AD574*(1+AE$558)^($E564*AE$559)*(1+AE$560)*IF(Rebate_Industry!AD$252&lt;=0,1,Rebate_Industry!AE$252/Rebate_Industry!AD$252)^$F564*(IF(AD547&lt;=0,1,AE547/AD547)^$G564/(1+$H564+$I564))^(1+$F564)</f>
        <v>0</v>
      </c>
    </row>
    <row r="575" spans="2:31" x14ac:dyDescent="0.45">
      <c r="B575" s="14" t="s">
        <v>55</v>
      </c>
      <c r="C575" s="14" t="str">
        <f t="shared" si="184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I575" t="s">
        <v>2411</v>
      </c>
      <c r="L575" s="47">
        <f>INDEX(Data_Energy!$D$3:$U$22,MATCH($B575,Data_Energy!$C$3:$C$22,0),MATCH($C575,Data_Energy!$D$2:$U$2,0))</f>
        <v>0</v>
      </c>
      <c r="M575" s="24">
        <f>L575*(1+M$558)^($E565*M$559)*(1+M$560)*IF(Rebate_Industry!L$253&lt;=0,1,Rebate_Industry!M$253/Rebate_Industry!L$253)^$F565*(IF(L548&lt;=0,1,M548/L548)^$G565/(1+$H565+$I565))^(1+$F565)</f>
        <v>0</v>
      </c>
      <c r="N575" s="24">
        <f>M575*(1+N$558)^($E565*N$559)*(1+N$560)*IF(Rebate_Industry!M$253&lt;=0,1,Rebate_Industry!N$253/Rebate_Industry!M$253)^$F565*(IF(M548&lt;=0,1,N548/M548)^$G565/(1+$H565+$I565))^(1+$F565)</f>
        <v>0</v>
      </c>
      <c r="O575" s="24">
        <f>N575*(1+O$558)^($E565*O$559)*(1+O$560)*IF(Rebate_Industry!N$253&lt;=0,1,Rebate_Industry!O$253/Rebate_Industry!N$253)^$F565*(IF(N548&lt;=0,1,O548/N548)^$G565/(1+$H565+$I565))^(1+$F565)</f>
        <v>0</v>
      </c>
      <c r="P575" s="24">
        <f>O575*(1+P$558)^($E565*P$559)*(1+P$560)*IF(Rebate_Industry!O$253&lt;=0,1,Rebate_Industry!P$253/Rebate_Industry!O$253)^$F565*(IF(O548&lt;=0,1,P548/O548)^$G565/(1+$H565+$I565))^(1+$F565)</f>
        <v>0</v>
      </c>
      <c r="Q575" s="24">
        <f>P575*(1+Q$558)^($E565*Q$559)*(1+Q$560)*IF(Rebate_Industry!P$253&lt;=0,1,Rebate_Industry!Q$253/Rebate_Industry!P$253)^$F565*(IF(P548&lt;=0,1,Q548/P548)^$G565/(1+$H565+$I565))^(1+$F565)</f>
        <v>0</v>
      </c>
      <c r="R575" s="24">
        <f>Q575*(1+R$558)^($E565*R$559)*(1+R$560)*IF(Rebate_Industry!Q$253&lt;=0,1,Rebate_Industry!R$253/Rebate_Industry!Q$253)^$F565*(IF(Q548&lt;=0,1,R548/Q548)^$G565/(1+$H565+$I565))^(1+$F565)</f>
        <v>0</v>
      </c>
      <c r="S575" s="24">
        <f>R575*(1+S$558)^($E565*S$559)*(1+S$560)*IF(Rebate_Industry!R$253&lt;=0,1,Rebate_Industry!S$253/Rebate_Industry!R$253)^$F565*(IF(R548&lt;=0,1,S548/R548)^$G565/(1+$H565+$I565))^(1+$F565)</f>
        <v>0</v>
      </c>
      <c r="T575" s="24">
        <f>S575*(1+T$558)^($E565*T$559)*(1+T$560)*IF(Rebate_Industry!S$253&lt;=0,1,Rebate_Industry!T$253/Rebate_Industry!S$253)^$F565*(IF(S548&lt;=0,1,T548/S548)^$G565/(1+$H565+$I565))^(1+$F565)</f>
        <v>0</v>
      </c>
      <c r="U575" s="24">
        <f>T575*(1+U$558)^($E565*U$559)*(1+U$560)*IF(Rebate_Industry!T$253&lt;=0,1,Rebate_Industry!U$253/Rebate_Industry!T$253)^$F565*(IF(T548&lt;=0,1,U548/T548)^$G565/(1+$H565+$I565))^(1+$F565)</f>
        <v>0</v>
      </c>
      <c r="V575" s="24">
        <f>U575*(1+V$558)^($E565*V$559)*(1+V$560)*IF(Rebate_Industry!U$253&lt;=0,1,Rebate_Industry!V$253/Rebate_Industry!U$253)^$F565*(IF(U548&lt;=0,1,V548/U548)^$G565/(1+$H565+$I565))^(1+$F565)</f>
        <v>0</v>
      </c>
      <c r="W575" s="24">
        <f>V575*(1+W$558)^($E565*W$559)*(1+W$560)*IF(Rebate_Industry!V$253&lt;=0,1,Rebate_Industry!W$253/Rebate_Industry!V$253)^$F565*(IF(V548&lt;=0,1,W548/V548)^$G565/(1+$H565+$I565))^(1+$F565)</f>
        <v>0</v>
      </c>
      <c r="X575" s="24">
        <f>W575*(1+X$558)^($E565*X$559)*(1+X$560)*IF(Rebate_Industry!W$253&lt;=0,1,Rebate_Industry!X$253/Rebate_Industry!W$253)^$F565*(IF(W548&lt;=0,1,X548/W548)^$G565/(1+$H565+$I565))^(1+$F565)</f>
        <v>0</v>
      </c>
      <c r="Y575" s="24">
        <f>X575*(1+Y$558)^($E565*Y$559)*(1+Y$560)*IF(Rebate_Industry!X$253&lt;=0,1,Rebate_Industry!Y$253/Rebate_Industry!X$253)^$F565*(IF(X548&lt;=0,1,Y548/X548)^$G565/(1+$H565+$I565))^(1+$F565)</f>
        <v>0</v>
      </c>
      <c r="Z575" s="24">
        <f>Y575*(1+Z$558)^($E565*Z$559)*(1+Z$560)*IF(Rebate_Industry!Y$253&lt;=0,1,Rebate_Industry!Z$253/Rebate_Industry!Y$253)^$F565*(IF(Y548&lt;=0,1,Z548/Y548)^$G565/(1+$H565+$I565))^(1+$F565)</f>
        <v>0</v>
      </c>
      <c r="AA575" s="24">
        <f>Z575*(1+AA$558)^($E565*AA$559)*(1+AA$560)*IF(Rebate_Industry!Z$253&lt;=0,1,Rebate_Industry!AA$253/Rebate_Industry!Z$253)^$F565*(IF(Z548&lt;=0,1,AA548/Z548)^$G565/(1+$H565+$I565))^(1+$F565)</f>
        <v>0</v>
      </c>
      <c r="AB575" s="24">
        <f>AA575*(1+AB$558)^($E565*AB$559)*(1+AB$560)*IF(Rebate_Industry!AA$253&lt;=0,1,Rebate_Industry!AB$253/Rebate_Industry!AA$253)^$F565*(IF(AA548&lt;=0,1,AB548/AA548)^$G565/(1+$H565+$I565))^(1+$F565)</f>
        <v>0</v>
      </c>
      <c r="AC575" s="24">
        <f>AB575*(1+AC$558)^($E565*AC$559)*(1+AC$560)*IF(Rebate_Industry!AB$253&lt;=0,1,Rebate_Industry!AC$253/Rebate_Industry!AB$253)^$F565*(IF(AB548&lt;=0,1,AC548/AB548)^$G565/(1+$H565+$I565))^(1+$F565)</f>
        <v>0</v>
      </c>
      <c r="AD575" s="24">
        <f>AC575*(1+AD$558)^($E565*AD$559)*(1+AD$560)*IF(Rebate_Industry!AC$253&lt;=0,1,Rebate_Industry!AD$253/Rebate_Industry!AC$253)^$F565*(IF(AC548&lt;=0,1,AD548/AC548)^$G565/(1+$H565+$I565))^(1+$F565)</f>
        <v>0</v>
      </c>
      <c r="AE575" s="24">
        <f>AD575*(1+AE$558)^($E565*AE$559)*(1+AE$560)*IF(Rebate_Industry!AD$253&lt;=0,1,Rebate_Industry!AE$253/Rebate_Industry!AD$253)^$F565*(IF(AD548&lt;=0,1,AE548/AD548)^$G565/(1+$H565+$I565))^(1+$F565)</f>
        <v>0</v>
      </c>
    </row>
    <row r="576" spans="2:31" x14ac:dyDescent="0.45">
      <c r="B576" s="14" t="s">
        <v>58</v>
      </c>
      <c r="C576" s="14" t="str">
        <f t="shared" si="184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I576" t="s">
        <v>2412</v>
      </c>
      <c r="L576" s="47">
        <f>INDEX(Data_Energy!$D$3:$U$22,MATCH($B576,Data_Energy!$C$3:$C$22,0),MATCH($C576,Data_Energy!$D$2:$U$2,0))</f>
        <v>0</v>
      </c>
      <c r="M576" s="24">
        <f>L576*(1+M$558)^($E566*M$559)*(1+M$560)*IF(Rebate_Industry!L$254&lt;=0,1,Rebate_Industry!M$254/Rebate_Industry!L$254)^$F566*(IF(L549&lt;=0,1,M549/L549)^$G566/(1+$H566+$I566))^(1+$F566)</f>
        <v>0</v>
      </c>
      <c r="N576" s="24">
        <f>M576*(1+N$558)^($E566*N$559)*(1+N$560)*IF(Rebate_Industry!M$254&lt;=0,1,Rebate_Industry!N$254/Rebate_Industry!M$254)^$F566*(IF(M549&lt;=0,1,N549/M549)^$G566/(1+$H566+$I566))^(1+$F566)</f>
        <v>0</v>
      </c>
      <c r="O576" s="24">
        <f>N576*(1+O$558)^($E566*O$559)*(1+O$560)*IF(Rebate_Industry!N$254&lt;=0,1,Rebate_Industry!O$254/Rebate_Industry!N$254)^$F566*(IF(N549&lt;=0,1,O549/N549)^$G566/(1+$H566+$I566))^(1+$F566)</f>
        <v>0</v>
      </c>
      <c r="P576" s="24">
        <f>O576*(1+P$558)^($E566*P$559)*(1+P$560)*IF(Rebate_Industry!O$254&lt;=0,1,Rebate_Industry!P$254/Rebate_Industry!O$254)^$F566*(IF(O549&lt;=0,1,P549/O549)^$G566/(1+$H566+$I566))^(1+$F566)</f>
        <v>0</v>
      </c>
      <c r="Q576" s="24">
        <f>P576*(1+Q$558)^($E566*Q$559)*(1+Q$560)*IF(Rebate_Industry!P$254&lt;=0,1,Rebate_Industry!Q$254/Rebate_Industry!P$254)^$F566*(IF(P549&lt;=0,1,Q549/P549)^$G566/(1+$H566+$I566))^(1+$F566)</f>
        <v>0</v>
      </c>
      <c r="R576" s="24">
        <f>Q576*(1+R$558)^($E566*R$559)*(1+R$560)*IF(Rebate_Industry!Q$254&lt;=0,1,Rebate_Industry!R$254/Rebate_Industry!Q$254)^$F566*(IF(Q549&lt;=0,1,R549/Q549)^$G566/(1+$H566+$I566))^(1+$F566)</f>
        <v>0</v>
      </c>
      <c r="S576" s="24">
        <f>R576*(1+S$558)^($E566*S$559)*(1+S$560)*IF(Rebate_Industry!R$254&lt;=0,1,Rebate_Industry!S$254/Rebate_Industry!R$254)^$F566*(IF(R549&lt;=0,1,S549/R549)^$G566/(1+$H566+$I566))^(1+$F566)</f>
        <v>0</v>
      </c>
      <c r="T576" s="24">
        <f>S576*(1+T$558)^($E566*T$559)*(1+T$560)*IF(Rebate_Industry!S$254&lt;=0,1,Rebate_Industry!T$254/Rebate_Industry!S$254)^$F566*(IF(S549&lt;=0,1,T549/S549)^$G566/(1+$H566+$I566))^(1+$F566)</f>
        <v>0</v>
      </c>
      <c r="U576" s="24">
        <f>T576*(1+U$558)^($E566*U$559)*(1+U$560)*IF(Rebate_Industry!T$254&lt;=0,1,Rebate_Industry!U$254/Rebate_Industry!T$254)^$F566*(IF(T549&lt;=0,1,U549/T549)^$G566/(1+$H566+$I566))^(1+$F566)</f>
        <v>0</v>
      </c>
      <c r="V576" s="24">
        <f>U576*(1+V$558)^($E566*V$559)*(1+V$560)*IF(Rebate_Industry!U$254&lt;=0,1,Rebate_Industry!V$254/Rebate_Industry!U$254)^$F566*(IF(U549&lt;=0,1,V549/U549)^$G566/(1+$H566+$I566))^(1+$F566)</f>
        <v>0</v>
      </c>
      <c r="W576" s="24">
        <f>V576*(1+W$558)^($E566*W$559)*(1+W$560)*IF(Rebate_Industry!V$254&lt;=0,1,Rebate_Industry!W$254/Rebate_Industry!V$254)^$F566*(IF(V549&lt;=0,1,W549/V549)^$G566/(1+$H566+$I566))^(1+$F566)</f>
        <v>0</v>
      </c>
      <c r="X576" s="24">
        <f>W576*(1+X$558)^($E566*X$559)*(1+X$560)*IF(Rebate_Industry!W$254&lt;=0,1,Rebate_Industry!X$254/Rebate_Industry!W$254)^$F566*(IF(W549&lt;=0,1,X549/W549)^$G566/(1+$H566+$I566))^(1+$F566)</f>
        <v>0</v>
      </c>
      <c r="Y576" s="24">
        <f>X576*(1+Y$558)^($E566*Y$559)*(1+Y$560)*IF(Rebate_Industry!X$254&lt;=0,1,Rebate_Industry!Y$254/Rebate_Industry!X$254)^$F566*(IF(X549&lt;=0,1,Y549/X549)^$G566/(1+$H566+$I566))^(1+$F566)</f>
        <v>0</v>
      </c>
      <c r="Z576" s="24">
        <f>Y576*(1+Z$558)^($E566*Z$559)*(1+Z$560)*IF(Rebate_Industry!Y$254&lt;=0,1,Rebate_Industry!Z$254/Rebate_Industry!Y$254)^$F566*(IF(Y549&lt;=0,1,Z549/Y549)^$G566/(1+$H566+$I566))^(1+$F566)</f>
        <v>0</v>
      </c>
      <c r="AA576" s="24">
        <f>Z576*(1+AA$558)^($E566*AA$559)*(1+AA$560)*IF(Rebate_Industry!Z$254&lt;=0,1,Rebate_Industry!AA$254/Rebate_Industry!Z$254)^$F566*(IF(Z549&lt;=0,1,AA549/Z549)^$G566/(1+$H566+$I566))^(1+$F566)</f>
        <v>0</v>
      </c>
      <c r="AB576" s="24">
        <f>AA576*(1+AB$558)^($E566*AB$559)*(1+AB$560)*IF(Rebate_Industry!AA$254&lt;=0,1,Rebate_Industry!AB$254/Rebate_Industry!AA$254)^$F566*(IF(AA549&lt;=0,1,AB549/AA549)^$G566/(1+$H566+$I566))^(1+$F566)</f>
        <v>0</v>
      </c>
      <c r="AC576" s="24">
        <f>AB576*(1+AC$558)^($E566*AC$559)*(1+AC$560)*IF(Rebate_Industry!AB$254&lt;=0,1,Rebate_Industry!AC$254/Rebate_Industry!AB$254)^$F566*(IF(AB549&lt;=0,1,AC549/AB549)^$G566/(1+$H566+$I566))^(1+$F566)</f>
        <v>0</v>
      </c>
      <c r="AD576" s="24">
        <f>AC576*(1+AD$558)^($E566*AD$559)*(1+AD$560)*IF(Rebate_Industry!AC$254&lt;=0,1,Rebate_Industry!AD$254/Rebate_Industry!AC$254)^$F566*(IF(AC549&lt;=0,1,AD549/AC549)^$G566/(1+$H566+$I566))^(1+$F566)</f>
        <v>0</v>
      </c>
      <c r="AE576" s="24">
        <f>AD576*(1+AE$558)^($E566*AE$559)*(1+AE$560)*IF(Rebate_Industry!AD$254&lt;=0,1,Rebate_Industry!AE$254/Rebate_Industry!AD$254)^$F566*(IF(AD549&lt;=0,1,AE549/AD549)^$G566/(1+$H566+$I566))^(1+$F566)</f>
        <v>0</v>
      </c>
    </row>
    <row r="577" spans="1:35" x14ac:dyDescent="0.45">
      <c r="B577" s="14" t="s">
        <v>60</v>
      </c>
      <c r="C577" s="14" t="str">
        <f t="shared" si="184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I577" t="s">
        <v>2413</v>
      </c>
      <c r="L577" s="47">
        <f>INDEX(Data_Energy!$D$3:$U$22,MATCH($B577,Data_Energy!$C$3:$C$22,0),MATCH($C577,Data_Energy!$D$2:$U$2,0))</f>
        <v>0</v>
      </c>
      <c r="M577" s="24">
        <f>L577*(1+M$558)^($E567*M$559)*(1+M$560)*IF(Rebate_Industry!L$255&lt;=0,1,Rebate_Industry!M$255/Rebate_Industry!L$255)^$F567*(IF(L550&lt;=0,1,M550/L550)^$G567/(1+$H567+$I567))^(1+$F567)</f>
        <v>0</v>
      </c>
      <c r="N577" s="24">
        <f>M577*(1+N$558)^($E567*N$559)*(1+N$560)*IF(Rebate_Industry!M$255&lt;=0,1,Rebate_Industry!N$255/Rebate_Industry!M$255)^$F567*(IF(M550&lt;=0,1,N550/M550)^$G567/(1+$H567+$I567))^(1+$F567)</f>
        <v>0</v>
      </c>
      <c r="O577" s="24">
        <f>N577*(1+O$558)^($E567*O$559)*(1+O$560)*IF(Rebate_Industry!N$255&lt;=0,1,Rebate_Industry!O$255/Rebate_Industry!N$255)^$F567*(IF(N550&lt;=0,1,O550/N550)^$G567/(1+$H567+$I567))^(1+$F567)</f>
        <v>0</v>
      </c>
      <c r="P577" s="24">
        <f>O577*(1+P$558)^($E567*P$559)*(1+P$560)*IF(Rebate_Industry!O$255&lt;=0,1,Rebate_Industry!P$255/Rebate_Industry!O$255)^$F567*(IF(O550&lt;=0,1,P550/O550)^$G567/(1+$H567+$I567))^(1+$F567)</f>
        <v>0</v>
      </c>
      <c r="Q577" s="24">
        <f>P577*(1+Q$558)^($E567*Q$559)*(1+Q$560)*IF(Rebate_Industry!P$255&lt;=0,1,Rebate_Industry!Q$255/Rebate_Industry!P$255)^$F567*(IF(P550&lt;=0,1,Q550/P550)^$G567/(1+$H567+$I567))^(1+$F567)</f>
        <v>0</v>
      </c>
      <c r="R577" s="24">
        <f>Q577*(1+R$558)^($E567*R$559)*(1+R$560)*IF(Rebate_Industry!Q$255&lt;=0,1,Rebate_Industry!R$255/Rebate_Industry!Q$255)^$F567*(IF(Q550&lt;=0,1,R550/Q550)^$G567/(1+$H567+$I567))^(1+$F567)</f>
        <v>0</v>
      </c>
      <c r="S577" s="24">
        <f>R577*(1+S$558)^($E567*S$559)*(1+S$560)*IF(Rebate_Industry!R$255&lt;=0,1,Rebate_Industry!S$255/Rebate_Industry!R$255)^$F567*(IF(R550&lt;=0,1,S550/R550)^$G567/(1+$H567+$I567))^(1+$F567)</f>
        <v>0</v>
      </c>
      <c r="T577" s="24">
        <f>S577*(1+T$558)^($E567*T$559)*(1+T$560)*IF(Rebate_Industry!S$255&lt;=0,1,Rebate_Industry!T$255/Rebate_Industry!S$255)^$F567*(IF(S550&lt;=0,1,T550/S550)^$G567/(1+$H567+$I567))^(1+$F567)</f>
        <v>0</v>
      </c>
      <c r="U577" s="24">
        <f>T577*(1+U$558)^($E567*U$559)*(1+U$560)*IF(Rebate_Industry!T$255&lt;=0,1,Rebate_Industry!U$255/Rebate_Industry!T$255)^$F567*(IF(T550&lt;=0,1,U550/T550)^$G567/(1+$H567+$I567))^(1+$F567)</f>
        <v>0</v>
      </c>
      <c r="V577" s="24">
        <f>U577*(1+V$558)^($E567*V$559)*(1+V$560)*IF(Rebate_Industry!U$255&lt;=0,1,Rebate_Industry!V$255/Rebate_Industry!U$255)^$F567*(IF(U550&lt;=0,1,V550/U550)^$G567/(1+$H567+$I567))^(1+$F567)</f>
        <v>0</v>
      </c>
      <c r="W577" s="24">
        <f>V577*(1+W$558)^($E567*W$559)*(1+W$560)*IF(Rebate_Industry!V$255&lt;=0,1,Rebate_Industry!W$255/Rebate_Industry!V$255)^$F567*(IF(V550&lt;=0,1,W550/V550)^$G567/(1+$H567+$I567))^(1+$F567)</f>
        <v>0</v>
      </c>
      <c r="X577" s="24">
        <f>W577*(1+X$558)^($E567*X$559)*(1+X$560)*IF(Rebate_Industry!W$255&lt;=0,1,Rebate_Industry!X$255/Rebate_Industry!W$255)^$F567*(IF(W550&lt;=0,1,X550/W550)^$G567/(1+$H567+$I567))^(1+$F567)</f>
        <v>0</v>
      </c>
      <c r="Y577" s="24">
        <f>X577*(1+Y$558)^($E567*Y$559)*(1+Y$560)*IF(Rebate_Industry!X$255&lt;=0,1,Rebate_Industry!Y$255/Rebate_Industry!X$255)^$F567*(IF(X550&lt;=0,1,Y550/X550)^$G567/(1+$H567+$I567))^(1+$F567)</f>
        <v>0</v>
      </c>
      <c r="Z577" s="24">
        <f>Y577*(1+Z$558)^($E567*Z$559)*(1+Z$560)*IF(Rebate_Industry!Y$255&lt;=0,1,Rebate_Industry!Z$255/Rebate_Industry!Y$255)^$F567*(IF(Y550&lt;=0,1,Z550/Y550)^$G567/(1+$H567+$I567))^(1+$F567)</f>
        <v>0</v>
      </c>
      <c r="AA577" s="24">
        <f>Z577*(1+AA$558)^($E567*AA$559)*(1+AA$560)*IF(Rebate_Industry!Z$255&lt;=0,1,Rebate_Industry!AA$255/Rebate_Industry!Z$255)^$F567*(IF(Z550&lt;=0,1,AA550/Z550)^$G567/(1+$H567+$I567))^(1+$F567)</f>
        <v>0</v>
      </c>
      <c r="AB577" s="24">
        <f>AA577*(1+AB$558)^($E567*AB$559)*(1+AB$560)*IF(Rebate_Industry!AA$255&lt;=0,1,Rebate_Industry!AB$255/Rebate_Industry!AA$255)^$F567*(IF(AA550&lt;=0,1,AB550/AA550)^$G567/(1+$H567+$I567))^(1+$F567)</f>
        <v>0</v>
      </c>
      <c r="AC577" s="24">
        <f>AB577*(1+AC$558)^($E567*AC$559)*(1+AC$560)*IF(Rebate_Industry!AB$255&lt;=0,1,Rebate_Industry!AC$255/Rebate_Industry!AB$255)^$F567*(IF(AB550&lt;=0,1,AC550/AB550)^$G567/(1+$H567+$I567))^(1+$F567)</f>
        <v>0</v>
      </c>
      <c r="AD577" s="24">
        <f>AC577*(1+AD$558)^($E567*AD$559)*(1+AD$560)*IF(Rebate_Industry!AC$255&lt;=0,1,Rebate_Industry!AD$255/Rebate_Industry!AC$255)^$F567*(IF(AC550&lt;=0,1,AD550/AC550)^$G567/(1+$H567+$I567))^(1+$F567)</f>
        <v>0</v>
      </c>
      <c r="AE577" s="24">
        <f>AD577*(1+AE$558)^($E567*AE$559)*(1+AE$560)*IF(Rebate_Industry!AD$255&lt;=0,1,Rebate_Industry!AE$255/Rebate_Industry!AD$255)^$F567*(IF(AD550&lt;=0,1,AE550/AD550)^$G567/(1+$H567+$I567))^(1+$F567)</f>
        <v>0</v>
      </c>
    </row>
    <row r="578" spans="1:35" x14ac:dyDescent="0.45">
      <c r="B578" s="14" t="s">
        <v>62</v>
      </c>
      <c r="C578" s="14" t="str">
        <f t="shared" si="184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I578" t="s">
        <v>2414</v>
      </c>
      <c r="L578" s="47">
        <f>INDEX(Data_Energy!$D$3:$U$22,MATCH($B578,Data_Energy!$C$3:$C$22,0),MATCH($C578,Data_Energy!$D$2:$U$2,0))</f>
        <v>0</v>
      </c>
      <c r="M578" s="24">
        <f>L578*(1+M$558)^($E568*M$559)*(1+M$560)*IF(Rebate_Industry!L$256&lt;=0,1,Rebate_Industry!M$256/Rebate_Industry!L$256)^$F568*(IF(L551&lt;=0,1,M551/L551)^$G568/(1+$H568+$I568))^(1+$F568)</f>
        <v>0</v>
      </c>
      <c r="N578" s="24">
        <f>M578*(1+N$558)^($E568*N$559)*(1+N$560)*IF(Rebate_Industry!M$256&lt;=0,1,Rebate_Industry!N$256/Rebate_Industry!M$256)^$F568*(IF(M551&lt;=0,1,N551/M551)^$G568/(1+$H568+$I568))^(1+$F568)</f>
        <v>0</v>
      </c>
      <c r="O578" s="24">
        <f>N578*(1+O$558)^($E568*O$559)*(1+O$560)*IF(Rebate_Industry!N$256&lt;=0,1,Rebate_Industry!O$256/Rebate_Industry!N$256)^$F568*(IF(N551&lt;=0,1,O551/N551)^$G568/(1+$H568+$I568))^(1+$F568)</f>
        <v>0</v>
      </c>
      <c r="P578" s="24">
        <f>O578*(1+P$558)^($E568*P$559)*(1+P$560)*IF(Rebate_Industry!O$256&lt;=0,1,Rebate_Industry!P$256/Rebate_Industry!O$256)^$F568*(IF(O551&lt;=0,1,P551/O551)^$G568/(1+$H568+$I568))^(1+$F568)</f>
        <v>0</v>
      </c>
      <c r="Q578" s="24">
        <f>P578*(1+Q$558)^($E568*Q$559)*(1+Q$560)*IF(Rebate_Industry!P$256&lt;=0,1,Rebate_Industry!Q$256/Rebate_Industry!P$256)^$F568*(IF(P551&lt;=0,1,Q551/P551)^$G568/(1+$H568+$I568))^(1+$F568)</f>
        <v>0</v>
      </c>
      <c r="R578" s="24">
        <f>Q578*(1+R$558)^($E568*R$559)*(1+R$560)*IF(Rebate_Industry!Q$256&lt;=0,1,Rebate_Industry!R$256/Rebate_Industry!Q$256)^$F568*(IF(Q551&lt;=0,1,R551/Q551)^$G568/(1+$H568+$I568))^(1+$F568)</f>
        <v>0</v>
      </c>
      <c r="S578" s="24">
        <f>R578*(1+S$558)^($E568*S$559)*(1+S$560)*IF(Rebate_Industry!R$256&lt;=0,1,Rebate_Industry!S$256/Rebate_Industry!R$256)^$F568*(IF(R551&lt;=0,1,S551/R551)^$G568/(1+$H568+$I568))^(1+$F568)</f>
        <v>0</v>
      </c>
      <c r="T578" s="24">
        <f>S578*(1+T$558)^($E568*T$559)*(1+T$560)*IF(Rebate_Industry!S$256&lt;=0,1,Rebate_Industry!T$256/Rebate_Industry!S$256)^$F568*(IF(S551&lt;=0,1,T551/S551)^$G568/(1+$H568+$I568))^(1+$F568)</f>
        <v>0</v>
      </c>
      <c r="U578" s="24">
        <f>T578*(1+U$558)^($E568*U$559)*(1+U$560)*IF(Rebate_Industry!T$256&lt;=0,1,Rebate_Industry!U$256/Rebate_Industry!T$256)^$F568*(IF(T551&lt;=0,1,U551/T551)^$G568/(1+$H568+$I568))^(1+$F568)</f>
        <v>0</v>
      </c>
      <c r="V578" s="24">
        <f>U578*(1+V$558)^($E568*V$559)*(1+V$560)*IF(Rebate_Industry!U$256&lt;=0,1,Rebate_Industry!V$256/Rebate_Industry!U$256)^$F568*(IF(U551&lt;=0,1,V551/U551)^$G568/(1+$H568+$I568))^(1+$F568)</f>
        <v>0</v>
      </c>
      <c r="W578" s="24">
        <f>V578*(1+W$558)^($E568*W$559)*(1+W$560)*IF(Rebate_Industry!V$256&lt;=0,1,Rebate_Industry!W$256/Rebate_Industry!V$256)^$F568*(IF(V551&lt;=0,1,W551/V551)^$G568/(1+$H568+$I568))^(1+$F568)</f>
        <v>0</v>
      </c>
      <c r="X578" s="24">
        <f>W578*(1+X$558)^($E568*X$559)*(1+X$560)*IF(Rebate_Industry!W$256&lt;=0,1,Rebate_Industry!X$256/Rebate_Industry!W$256)^$F568*(IF(W551&lt;=0,1,X551/W551)^$G568/(1+$H568+$I568))^(1+$F568)</f>
        <v>0</v>
      </c>
      <c r="Y578" s="24">
        <f>X578*(1+Y$558)^($E568*Y$559)*(1+Y$560)*IF(Rebate_Industry!X$256&lt;=0,1,Rebate_Industry!Y$256/Rebate_Industry!X$256)^$F568*(IF(X551&lt;=0,1,Y551/X551)^$G568/(1+$H568+$I568))^(1+$F568)</f>
        <v>0</v>
      </c>
      <c r="Z578" s="24">
        <f>Y578*(1+Z$558)^($E568*Z$559)*(1+Z$560)*IF(Rebate_Industry!Y$256&lt;=0,1,Rebate_Industry!Z$256/Rebate_Industry!Y$256)^$F568*(IF(Y551&lt;=0,1,Z551/Y551)^$G568/(1+$H568+$I568))^(1+$F568)</f>
        <v>0</v>
      </c>
      <c r="AA578" s="24">
        <f>Z578*(1+AA$558)^($E568*AA$559)*(1+AA$560)*IF(Rebate_Industry!Z$256&lt;=0,1,Rebate_Industry!AA$256/Rebate_Industry!Z$256)^$F568*(IF(Z551&lt;=0,1,AA551/Z551)^$G568/(1+$H568+$I568))^(1+$F568)</f>
        <v>0</v>
      </c>
      <c r="AB578" s="24">
        <f>AA578*(1+AB$558)^($E568*AB$559)*(1+AB$560)*IF(Rebate_Industry!AA$256&lt;=0,1,Rebate_Industry!AB$256/Rebate_Industry!AA$256)^$F568*(IF(AA551&lt;=0,1,AB551/AA551)^$G568/(1+$H568+$I568))^(1+$F568)</f>
        <v>0</v>
      </c>
      <c r="AC578" s="24">
        <f>AB578*(1+AC$558)^($E568*AC$559)*(1+AC$560)*IF(Rebate_Industry!AB$256&lt;=0,1,Rebate_Industry!AC$256/Rebate_Industry!AB$256)^$F568*(IF(AB551&lt;=0,1,AC551/AB551)^$G568/(1+$H568+$I568))^(1+$F568)</f>
        <v>0</v>
      </c>
      <c r="AD578" s="24">
        <f>AC578*(1+AD$558)^($E568*AD$559)*(1+AD$560)*IF(Rebate_Industry!AC$256&lt;=0,1,Rebate_Industry!AD$256/Rebate_Industry!AC$256)^$F568*(IF(AC551&lt;=0,1,AD551/AC551)^$G568/(1+$H568+$I568))^(1+$F568)</f>
        <v>0</v>
      </c>
      <c r="AE578" s="24">
        <f>AD578*(1+AE$558)^($E568*AE$559)*(1+AE$560)*IF(Rebate_Industry!AD$256&lt;=0,1,Rebate_Industry!AE$256/Rebate_Industry!AD$256)^$F568*(IF(AD551&lt;=0,1,AE551/AD551)^$G568/(1+$H568+$I568))^(1+$F568)</f>
        <v>0</v>
      </c>
    </row>
    <row r="579" spans="1:35" x14ac:dyDescent="0.45">
      <c r="B579" s="14" t="s">
        <v>64</v>
      </c>
      <c r="C579" s="14" t="str">
        <f t="shared" si="184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I579" t="s">
        <v>2415</v>
      </c>
      <c r="L579" s="47">
        <f>INDEX(Data_Energy!$D$3:$U$22,MATCH($B579,Data_Energy!$C$3:$C$22,0),MATCH($C579,Data_Energy!$D$2:$U$2,0))</f>
        <v>0</v>
      </c>
      <c r="M579" s="24">
        <f>L579*(1+M$558)^($E569*M$559)*(1+M$560)*IF(Rebate_Industry!L$257&lt;=0,1,Rebate_Industry!M$257/Rebate_Industry!L$257)^$F569*(IF(L552&lt;=0,1,M552/L552)^$G569/(1+$H569+$I569))^(1+$F569)</f>
        <v>0</v>
      </c>
      <c r="N579" s="24">
        <f>M579*(1+N$558)^($E569*N$559)*(1+N$560)*IF(Rebate_Industry!M$257&lt;=0,1,Rebate_Industry!N$257/Rebate_Industry!M$257)^$F569*(IF(M552&lt;=0,1,N552/M552)^$G569/(1+$H569+$I569))^(1+$F569)</f>
        <v>0</v>
      </c>
      <c r="O579" s="24">
        <f>N579*(1+O$558)^($E569*O$559)*(1+O$560)*IF(Rebate_Industry!N$257&lt;=0,1,Rebate_Industry!O$257/Rebate_Industry!N$257)^$F569*(IF(N552&lt;=0,1,O552/N552)^$G569/(1+$H569+$I569))^(1+$F569)</f>
        <v>0</v>
      </c>
      <c r="P579" s="24">
        <f>O579*(1+P$558)^($E569*P$559)*(1+P$560)*IF(Rebate_Industry!O$257&lt;=0,1,Rebate_Industry!P$257/Rebate_Industry!O$257)^$F569*(IF(O552&lt;=0,1,P552/O552)^$G569/(1+$H569+$I569))^(1+$F569)</f>
        <v>0</v>
      </c>
      <c r="Q579" s="24">
        <f>P579*(1+Q$558)^($E569*Q$559)*(1+Q$560)*IF(Rebate_Industry!P$257&lt;=0,1,Rebate_Industry!Q$257/Rebate_Industry!P$257)^$F569*(IF(P552&lt;=0,1,Q552/P552)^$G569/(1+$H569+$I569))^(1+$F569)</f>
        <v>0</v>
      </c>
      <c r="R579" s="24">
        <f>Q579*(1+R$558)^($E569*R$559)*(1+R$560)*IF(Rebate_Industry!Q$257&lt;=0,1,Rebate_Industry!R$257/Rebate_Industry!Q$257)^$F569*(IF(Q552&lt;=0,1,R552/Q552)^$G569/(1+$H569+$I569))^(1+$F569)</f>
        <v>0</v>
      </c>
      <c r="S579" s="24">
        <f>R579*(1+S$558)^($E569*S$559)*(1+S$560)*IF(Rebate_Industry!R$257&lt;=0,1,Rebate_Industry!S$257/Rebate_Industry!R$257)^$F569*(IF(R552&lt;=0,1,S552/R552)^$G569/(1+$H569+$I569))^(1+$F569)</f>
        <v>0</v>
      </c>
      <c r="T579" s="24">
        <f>S579*(1+T$558)^($E569*T$559)*(1+T$560)*IF(Rebate_Industry!S$257&lt;=0,1,Rebate_Industry!T$257/Rebate_Industry!S$257)^$F569*(IF(S552&lt;=0,1,T552/S552)^$G569/(1+$H569+$I569))^(1+$F569)</f>
        <v>0</v>
      </c>
      <c r="U579" s="24">
        <f>T579*(1+U$558)^($E569*U$559)*(1+U$560)*IF(Rebate_Industry!T$257&lt;=0,1,Rebate_Industry!U$257/Rebate_Industry!T$257)^$F569*(IF(T552&lt;=0,1,U552/T552)^$G569/(1+$H569+$I569))^(1+$F569)</f>
        <v>0</v>
      </c>
      <c r="V579" s="24">
        <f>U579*(1+V$558)^($E569*V$559)*(1+V$560)*IF(Rebate_Industry!U$257&lt;=0,1,Rebate_Industry!V$257/Rebate_Industry!U$257)^$F569*(IF(U552&lt;=0,1,V552/U552)^$G569/(1+$H569+$I569))^(1+$F569)</f>
        <v>0</v>
      </c>
      <c r="W579" s="24">
        <f>V579*(1+W$558)^($E569*W$559)*(1+W$560)*IF(Rebate_Industry!V$257&lt;=0,1,Rebate_Industry!W$257/Rebate_Industry!V$257)^$F569*(IF(V552&lt;=0,1,W552/V552)^$G569/(1+$H569+$I569))^(1+$F569)</f>
        <v>0</v>
      </c>
      <c r="X579" s="24">
        <f>W579*(1+X$558)^($E569*X$559)*(1+X$560)*IF(Rebate_Industry!W$257&lt;=0,1,Rebate_Industry!X$257/Rebate_Industry!W$257)^$F569*(IF(W552&lt;=0,1,X552/W552)^$G569/(1+$H569+$I569))^(1+$F569)</f>
        <v>0</v>
      </c>
      <c r="Y579" s="24">
        <f>X579*(1+Y$558)^($E569*Y$559)*(1+Y$560)*IF(Rebate_Industry!X$257&lt;=0,1,Rebate_Industry!Y$257/Rebate_Industry!X$257)^$F569*(IF(X552&lt;=0,1,Y552/X552)^$G569/(1+$H569+$I569))^(1+$F569)</f>
        <v>0</v>
      </c>
      <c r="Z579" s="24">
        <f>Y579*(1+Z$558)^($E569*Z$559)*(1+Z$560)*IF(Rebate_Industry!Y$257&lt;=0,1,Rebate_Industry!Z$257/Rebate_Industry!Y$257)^$F569*(IF(Y552&lt;=0,1,Z552/Y552)^$G569/(1+$H569+$I569))^(1+$F569)</f>
        <v>0</v>
      </c>
      <c r="AA579" s="24">
        <f>Z579*(1+AA$558)^($E569*AA$559)*(1+AA$560)*IF(Rebate_Industry!Z$257&lt;=0,1,Rebate_Industry!AA$257/Rebate_Industry!Z$257)^$F569*(IF(Z552&lt;=0,1,AA552/Z552)^$G569/(1+$H569+$I569))^(1+$F569)</f>
        <v>0</v>
      </c>
      <c r="AB579" s="24">
        <f>AA579*(1+AB$558)^($E569*AB$559)*(1+AB$560)*IF(Rebate_Industry!AA$257&lt;=0,1,Rebate_Industry!AB$257/Rebate_Industry!AA$257)^$F569*(IF(AA552&lt;=0,1,AB552/AA552)^$G569/(1+$H569+$I569))^(1+$F569)</f>
        <v>0</v>
      </c>
      <c r="AC579" s="24">
        <f>AB579*(1+AC$558)^($E569*AC$559)*(1+AC$560)*IF(Rebate_Industry!AB$257&lt;=0,1,Rebate_Industry!AC$257/Rebate_Industry!AB$257)^$F569*(IF(AB552&lt;=0,1,AC552/AB552)^$G569/(1+$H569+$I569))^(1+$F569)</f>
        <v>0</v>
      </c>
      <c r="AD579" s="24">
        <f>AC579*(1+AD$558)^($E569*AD$559)*(1+AD$560)*IF(Rebate_Industry!AC$257&lt;=0,1,Rebate_Industry!AD$257/Rebate_Industry!AC$257)^$F569*(IF(AC552&lt;=0,1,AD552/AC552)^$G569/(1+$H569+$I569))^(1+$F569)</f>
        <v>0</v>
      </c>
      <c r="AE579" s="24">
        <f>AD579*(1+AE$558)^($E569*AE$559)*(1+AE$560)*IF(Rebate_Industry!AD$257&lt;=0,1,Rebate_Industry!AE$257/Rebate_Industry!AD$257)^$F569*(IF(AD552&lt;=0,1,AE552/AD552)^$G569/(1+$H569+$I569))^(1+$F569)</f>
        <v>0</v>
      </c>
    </row>
    <row r="580" spans="1:35" x14ac:dyDescent="0.45">
      <c r="B580" s="14" t="s">
        <v>67</v>
      </c>
      <c r="C580" s="14" t="str">
        <f t="shared" si="184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I580" t="s">
        <v>2416</v>
      </c>
      <c r="L580" s="47">
        <f>INDEX(Data_Energy!$D$3:$U$22,MATCH($B580,Data_Energy!$C$3:$C$22,0),MATCH($C580,Data_Energy!$D$2:$U$2,0))</f>
        <v>0</v>
      </c>
      <c r="M580" s="24">
        <f>L580*(1+M$558)^($E570*M$559)*(1+M$560)*IF(Rebate_Industry!L$258&lt;=0,1,Rebate_Industry!M$258/Rebate_Industry!L$258)^$F570*(IF(L553&lt;=0,1,M553/L553)^$G570/(1+$H570+$I570))^(1+$F570)</f>
        <v>0</v>
      </c>
      <c r="N580" s="24">
        <f>M580*(1+N$558)^($E570*N$559)*(1+N$560)*IF(Rebate_Industry!M$258&lt;=0,1,Rebate_Industry!N$258/Rebate_Industry!M$258)^$F570*(IF(M553&lt;=0,1,N553/M553)^$G570/(1+$H570+$I570))^(1+$F570)</f>
        <v>0</v>
      </c>
      <c r="O580" s="24">
        <f>N580*(1+O$558)^($E570*O$559)*(1+O$560)*IF(Rebate_Industry!N$258&lt;=0,1,Rebate_Industry!O$258/Rebate_Industry!N$258)^$F570*(IF(N553&lt;=0,1,O553/N553)^$G570/(1+$H570+$I570))^(1+$F570)</f>
        <v>0</v>
      </c>
      <c r="P580" s="24">
        <f>O580*(1+P$558)^($E570*P$559)*(1+P$560)*IF(Rebate_Industry!O$258&lt;=0,1,Rebate_Industry!P$258/Rebate_Industry!O$258)^$F570*(IF(O553&lt;=0,1,P553/O553)^$G570/(1+$H570+$I570))^(1+$F570)</f>
        <v>0</v>
      </c>
      <c r="Q580" s="24">
        <f>P580*(1+Q$558)^($E570*Q$559)*(1+Q$560)*IF(Rebate_Industry!P$258&lt;=0,1,Rebate_Industry!Q$258/Rebate_Industry!P$258)^$F570*(IF(P553&lt;=0,1,Q553/P553)^$G570/(1+$H570+$I570))^(1+$F570)</f>
        <v>0</v>
      </c>
      <c r="R580" s="24">
        <f>Q580*(1+R$558)^($E570*R$559)*(1+R$560)*IF(Rebate_Industry!Q$258&lt;=0,1,Rebate_Industry!R$258/Rebate_Industry!Q$258)^$F570*(IF(Q553&lt;=0,1,R553/Q553)^$G570/(1+$H570+$I570))^(1+$F570)</f>
        <v>0</v>
      </c>
      <c r="S580" s="24">
        <f>R580*(1+S$558)^($E570*S$559)*(1+S$560)*IF(Rebate_Industry!R$258&lt;=0,1,Rebate_Industry!S$258/Rebate_Industry!R$258)^$F570*(IF(R553&lt;=0,1,S553/R553)^$G570/(1+$H570+$I570))^(1+$F570)</f>
        <v>0</v>
      </c>
      <c r="T580" s="24">
        <f>S580*(1+T$558)^($E570*T$559)*(1+T$560)*IF(Rebate_Industry!S$258&lt;=0,1,Rebate_Industry!T$258/Rebate_Industry!S$258)^$F570*(IF(S553&lt;=0,1,T553/S553)^$G570/(1+$H570+$I570))^(1+$F570)</f>
        <v>0</v>
      </c>
      <c r="U580" s="24">
        <f>T580*(1+U$558)^($E570*U$559)*(1+U$560)*IF(Rebate_Industry!T$258&lt;=0,1,Rebate_Industry!U$258/Rebate_Industry!T$258)^$F570*(IF(T553&lt;=0,1,U553/T553)^$G570/(1+$H570+$I570))^(1+$F570)</f>
        <v>0</v>
      </c>
      <c r="V580" s="24">
        <f>U580*(1+V$558)^($E570*V$559)*(1+V$560)*IF(Rebate_Industry!U$258&lt;=0,1,Rebate_Industry!V$258/Rebate_Industry!U$258)^$F570*(IF(U553&lt;=0,1,V553/U553)^$G570/(1+$H570+$I570))^(1+$F570)</f>
        <v>0</v>
      </c>
      <c r="W580" s="24">
        <f>V580*(1+W$558)^($E570*W$559)*(1+W$560)*IF(Rebate_Industry!V$258&lt;=0,1,Rebate_Industry!W$258/Rebate_Industry!V$258)^$F570*(IF(V553&lt;=0,1,W553/V553)^$G570/(1+$H570+$I570))^(1+$F570)</f>
        <v>0</v>
      </c>
      <c r="X580" s="24">
        <f>W580*(1+X$558)^($E570*X$559)*(1+X$560)*IF(Rebate_Industry!W$258&lt;=0,1,Rebate_Industry!X$258/Rebate_Industry!W$258)^$F570*(IF(W553&lt;=0,1,X553/W553)^$G570/(1+$H570+$I570))^(1+$F570)</f>
        <v>0</v>
      </c>
      <c r="Y580" s="24">
        <f>X580*(1+Y$558)^($E570*Y$559)*(1+Y$560)*IF(Rebate_Industry!X$258&lt;=0,1,Rebate_Industry!Y$258/Rebate_Industry!X$258)^$F570*(IF(X553&lt;=0,1,Y553/X553)^$G570/(1+$H570+$I570))^(1+$F570)</f>
        <v>0</v>
      </c>
      <c r="Z580" s="24">
        <f>Y580*(1+Z$558)^($E570*Z$559)*(1+Z$560)*IF(Rebate_Industry!Y$258&lt;=0,1,Rebate_Industry!Z$258/Rebate_Industry!Y$258)^$F570*(IF(Y553&lt;=0,1,Z553/Y553)^$G570/(1+$H570+$I570))^(1+$F570)</f>
        <v>0</v>
      </c>
      <c r="AA580" s="24">
        <f>Z580*(1+AA$558)^($E570*AA$559)*(1+AA$560)*IF(Rebate_Industry!Z$258&lt;=0,1,Rebate_Industry!AA$258/Rebate_Industry!Z$258)^$F570*(IF(Z553&lt;=0,1,AA553/Z553)^$G570/(1+$H570+$I570))^(1+$F570)</f>
        <v>0</v>
      </c>
      <c r="AB580" s="24">
        <f>AA580*(1+AB$558)^($E570*AB$559)*(1+AB$560)*IF(Rebate_Industry!AA$258&lt;=0,1,Rebate_Industry!AB$258/Rebate_Industry!AA$258)^$F570*(IF(AA553&lt;=0,1,AB553/AA553)^$G570/(1+$H570+$I570))^(1+$F570)</f>
        <v>0</v>
      </c>
      <c r="AC580" s="24">
        <f>AB580*(1+AC$558)^($E570*AC$559)*(1+AC$560)*IF(Rebate_Industry!AB$258&lt;=0,1,Rebate_Industry!AC$258/Rebate_Industry!AB$258)^$F570*(IF(AB553&lt;=0,1,AC553/AB553)^$G570/(1+$H570+$I570))^(1+$F570)</f>
        <v>0</v>
      </c>
      <c r="AD580" s="24">
        <f>AC580*(1+AD$558)^($E570*AD$559)*(1+AD$560)*IF(Rebate_Industry!AC$258&lt;=0,1,Rebate_Industry!AD$258/Rebate_Industry!AC$258)^$F570*(IF(AC553&lt;=0,1,AD553/AC553)^$G570/(1+$H570+$I570))^(1+$F570)</f>
        <v>0</v>
      </c>
      <c r="AE580" s="24">
        <f>AD580*(1+AE$558)^($E570*AE$559)*(1+AE$560)*IF(Rebate_Industry!AD$258&lt;=0,1,Rebate_Industry!AE$258/Rebate_Industry!AD$258)^$F570*(IF(AD553&lt;=0,1,AE553/AD553)^$G570/(1+$H570+$I570))^(1+$F570)</f>
        <v>0</v>
      </c>
    </row>
    <row r="581" spans="1:35" x14ac:dyDescent="0.45">
      <c r="B581" s="14" t="s">
        <v>69</v>
      </c>
      <c r="C581" s="14" t="str">
        <f t="shared" si="184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I581" t="s">
        <v>2417</v>
      </c>
      <c r="L581" s="47">
        <f>INDEX(Data_Energy!$D$3:$U$22,MATCH($B581,Data_Energy!$C$3:$C$22,0),MATCH($C581,Data_Energy!$D$2:$U$2,0))</f>
        <v>0</v>
      </c>
      <c r="M581" s="24">
        <f>L581*(1+M$558)^($E571*M$559)*(1+M$560)*IF(Rebate_Industry!L$259&lt;=0,1,Rebate_Industry!M$259/Rebate_Industry!L$259)^$F571*(IF(L554&lt;=0,1,M554/L554)^$G571/(1+$H571+$I571))^(1+$F571)</f>
        <v>0</v>
      </c>
      <c r="N581" s="24">
        <f>M581*(1+N$558)^($E571*N$559)*(1+N$560)*IF(Rebate_Industry!M$259&lt;=0,1,Rebate_Industry!N$259/Rebate_Industry!M$259)^$F571*(IF(M554&lt;=0,1,N554/M554)^$G571/(1+$H571+$I571))^(1+$F571)</f>
        <v>0</v>
      </c>
      <c r="O581" s="24">
        <f>N581*(1+O$558)^($E571*O$559)*(1+O$560)*IF(Rebate_Industry!N$259&lt;=0,1,Rebate_Industry!O$259/Rebate_Industry!N$259)^$F571*(IF(N554&lt;=0,1,O554/N554)^$G571/(1+$H571+$I571))^(1+$F571)</f>
        <v>0</v>
      </c>
      <c r="P581" s="24">
        <f>O581*(1+P$558)^($E571*P$559)*(1+P$560)*IF(Rebate_Industry!O$259&lt;=0,1,Rebate_Industry!P$259/Rebate_Industry!O$259)^$F571*(IF(O554&lt;=0,1,P554/O554)^$G571/(1+$H571+$I571))^(1+$F571)</f>
        <v>0</v>
      </c>
      <c r="Q581" s="24">
        <f>P581*(1+Q$558)^($E571*Q$559)*(1+Q$560)*IF(Rebate_Industry!P$259&lt;=0,1,Rebate_Industry!Q$259/Rebate_Industry!P$259)^$F571*(IF(P554&lt;=0,1,Q554/P554)^$G571/(1+$H571+$I571))^(1+$F571)</f>
        <v>0</v>
      </c>
      <c r="R581" s="24">
        <f>Q581*(1+R$558)^($E571*R$559)*(1+R$560)*IF(Rebate_Industry!Q$259&lt;=0,1,Rebate_Industry!R$259/Rebate_Industry!Q$259)^$F571*(IF(Q554&lt;=0,1,R554/Q554)^$G571/(1+$H571+$I571))^(1+$F571)</f>
        <v>0</v>
      </c>
      <c r="S581" s="24">
        <f>R581*(1+S$558)^($E571*S$559)*(1+S$560)*IF(Rebate_Industry!R$259&lt;=0,1,Rebate_Industry!S$259/Rebate_Industry!R$259)^$F571*(IF(R554&lt;=0,1,S554/R554)^$G571/(1+$H571+$I571))^(1+$F571)</f>
        <v>0</v>
      </c>
      <c r="T581" s="24">
        <f>S581*(1+T$558)^($E571*T$559)*(1+T$560)*IF(Rebate_Industry!S$259&lt;=0,1,Rebate_Industry!T$259/Rebate_Industry!S$259)^$F571*(IF(S554&lt;=0,1,T554/S554)^$G571/(1+$H571+$I571))^(1+$F571)</f>
        <v>0</v>
      </c>
      <c r="U581" s="24">
        <f>T581*(1+U$558)^($E571*U$559)*(1+U$560)*IF(Rebate_Industry!T$259&lt;=0,1,Rebate_Industry!U$259/Rebate_Industry!T$259)^$F571*(IF(T554&lt;=0,1,U554/T554)^$G571/(1+$H571+$I571))^(1+$F571)</f>
        <v>0</v>
      </c>
      <c r="V581" s="24">
        <f>U581*(1+V$558)^($E571*V$559)*(1+V$560)*IF(Rebate_Industry!U$259&lt;=0,1,Rebate_Industry!V$259/Rebate_Industry!U$259)^$F571*(IF(U554&lt;=0,1,V554/U554)^$G571/(1+$H571+$I571))^(1+$F571)</f>
        <v>0</v>
      </c>
      <c r="W581" s="24">
        <f>V581*(1+W$558)^($E571*W$559)*(1+W$560)*IF(Rebate_Industry!V$259&lt;=0,1,Rebate_Industry!W$259/Rebate_Industry!V$259)^$F571*(IF(V554&lt;=0,1,W554/V554)^$G571/(1+$H571+$I571))^(1+$F571)</f>
        <v>0</v>
      </c>
      <c r="X581" s="24">
        <f>W581*(1+X$558)^($E571*X$559)*(1+X$560)*IF(Rebate_Industry!W$259&lt;=0,1,Rebate_Industry!X$259/Rebate_Industry!W$259)^$F571*(IF(W554&lt;=0,1,X554/W554)^$G571/(1+$H571+$I571))^(1+$F571)</f>
        <v>0</v>
      </c>
      <c r="Y581" s="24">
        <f>X581*(1+Y$558)^($E571*Y$559)*(1+Y$560)*IF(Rebate_Industry!X$259&lt;=0,1,Rebate_Industry!Y$259/Rebate_Industry!X$259)^$F571*(IF(X554&lt;=0,1,Y554/X554)^$G571/(1+$H571+$I571))^(1+$F571)</f>
        <v>0</v>
      </c>
      <c r="Z581" s="24">
        <f>Y581*(1+Z$558)^($E571*Z$559)*(1+Z$560)*IF(Rebate_Industry!Y$259&lt;=0,1,Rebate_Industry!Z$259/Rebate_Industry!Y$259)^$F571*(IF(Y554&lt;=0,1,Z554/Y554)^$G571/(1+$H571+$I571))^(1+$F571)</f>
        <v>0</v>
      </c>
      <c r="AA581" s="24">
        <f>Z581*(1+AA$558)^($E571*AA$559)*(1+AA$560)*IF(Rebate_Industry!Z$259&lt;=0,1,Rebate_Industry!AA$259/Rebate_Industry!Z$259)^$F571*(IF(Z554&lt;=0,1,AA554/Z554)^$G571/(1+$H571+$I571))^(1+$F571)</f>
        <v>0</v>
      </c>
      <c r="AB581" s="24">
        <f>AA581*(1+AB$558)^($E571*AB$559)*(1+AB$560)*IF(Rebate_Industry!AA$259&lt;=0,1,Rebate_Industry!AB$259/Rebate_Industry!AA$259)^$F571*(IF(AA554&lt;=0,1,AB554/AA554)^$G571/(1+$H571+$I571))^(1+$F571)</f>
        <v>0</v>
      </c>
      <c r="AC581" s="24">
        <f>AB581*(1+AC$558)^($E571*AC$559)*(1+AC$560)*IF(Rebate_Industry!AB$259&lt;=0,1,Rebate_Industry!AC$259/Rebate_Industry!AB$259)^$F571*(IF(AB554&lt;=0,1,AC554/AB554)^$G571/(1+$H571+$I571))^(1+$F571)</f>
        <v>0</v>
      </c>
      <c r="AD581" s="24">
        <f>AC581*(1+AD$558)^($E571*AD$559)*(1+AD$560)*IF(Rebate_Industry!AC$259&lt;=0,1,Rebate_Industry!AD$259/Rebate_Industry!AC$259)^$F571*(IF(AC554&lt;=0,1,AD554/AC554)^$G571/(1+$H571+$I571))^(1+$F571)</f>
        <v>0</v>
      </c>
      <c r="AE581" s="24">
        <f>AD581*(1+AE$558)^($E571*AE$559)*(1+AE$560)*IF(Rebate_Industry!AD$259&lt;=0,1,Rebate_Industry!AE$259/Rebate_Industry!AD$259)^$F571*(IF(AD554&lt;=0,1,AE554/AD554)^$G571/(1+$H571+$I571))^(1+$F571)</f>
        <v>0</v>
      </c>
    </row>
    <row r="582" spans="1:35" x14ac:dyDescent="0.45">
      <c r="B582" s="14" t="s">
        <v>110</v>
      </c>
      <c r="C582" s="14" t="str">
        <f t="shared" si="184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185">SUM(L573:L581)</f>
        <v>0</v>
      </c>
      <c r="M582" s="26">
        <f t="shared" si="185"/>
        <v>0</v>
      </c>
      <c r="N582" s="26">
        <f t="shared" si="185"/>
        <v>0</v>
      </c>
      <c r="O582" s="26">
        <f t="shared" si="185"/>
        <v>0</v>
      </c>
      <c r="P582" s="26">
        <f t="shared" si="185"/>
        <v>0</v>
      </c>
      <c r="Q582" s="26">
        <f t="shared" si="185"/>
        <v>0</v>
      </c>
      <c r="R582" s="26">
        <f t="shared" si="185"/>
        <v>0</v>
      </c>
      <c r="S582" s="26">
        <f t="shared" si="185"/>
        <v>0</v>
      </c>
      <c r="T582" s="26">
        <f t="shared" si="185"/>
        <v>0</v>
      </c>
      <c r="U582" s="26">
        <f t="shared" si="185"/>
        <v>0</v>
      </c>
      <c r="V582" s="26">
        <f t="shared" si="185"/>
        <v>0</v>
      </c>
      <c r="W582" s="26">
        <f t="shared" si="185"/>
        <v>0</v>
      </c>
      <c r="X582" s="26">
        <f t="shared" si="185"/>
        <v>0</v>
      </c>
      <c r="Y582" s="26">
        <f t="shared" si="185"/>
        <v>0</v>
      </c>
      <c r="Z582" s="26">
        <f t="shared" si="185"/>
        <v>0</v>
      </c>
      <c r="AA582" s="26">
        <f t="shared" si="185"/>
        <v>0</v>
      </c>
      <c r="AB582" s="26">
        <f t="shared" si="185"/>
        <v>0</v>
      </c>
      <c r="AC582" s="26">
        <f t="shared" si="185"/>
        <v>0</v>
      </c>
      <c r="AD582" s="26">
        <f t="shared" si="185"/>
        <v>0</v>
      </c>
      <c r="AE582" s="26">
        <f t="shared" si="185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186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186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186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186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186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186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186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186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186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187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187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187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187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187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187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187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187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187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188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188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188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188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188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188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188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188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188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1</v>
      </c>
      <c r="M617" s="19">
        <f>INDEX(Data_Prices!M:M,MATCH($G617,Data_Prices!$A:$A,0))</f>
        <v>1</v>
      </c>
      <c r="N617" s="19">
        <f>INDEX(Data_Prices!N:N,MATCH($G617,Data_Prices!$A:$A,0))</f>
        <v>1</v>
      </c>
      <c r="O617" s="19">
        <f>INDEX(Data_Prices!O:O,MATCH($G617,Data_Prices!$A:$A,0))</f>
        <v>1</v>
      </c>
      <c r="P617" s="19">
        <f>INDEX(Data_Prices!P:P,MATCH($G617,Data_Prices!$A:$A,0))</f>
        <v>1</v>
      </c>
      <c r="Q617" s="19">
        <f>INDEX(Data_Prices!Q:Q,MATCH($G617,Data_Prices!$A:$A,0))</f>
        <v>1</v>
      </c>
      <c r="R617" s="19">
        <f>INDEX(Data_Prices!R:R,MATCH($G617,Data_Prices!$A:$A,0))</f>
        <v>1</v>
      </c>
      <c r="S617" s="19">
        <f>INDEX(Data_Prices!S:S,MATCH($G617,Data_Prices!$A:$A,0))</f>
        <v>1</v>
      </c>
      <c r="T617" s="19">
        <f>INDEX(Data_Prices!T:T,MATCH($G617,Data_Prices!$A:$A,0))</f>
        <v>1</v>
      </c>
      <c r="U617" s="19">
        <f>INDEX(Data_Prices!U:U,MATCH($G617,Data_Prices!$A:$A,0))</f>
        <v>1</v>
      </c>
      <c r="V617" s="19">
        <f>INDEX(Data_Prices!V:V,MATCH($G617,Data_Prices!$A:$A,0))</f>
        <v>1</v>
      </c>
      <c r="W617" s="19">
        <f>INDEX(Data_Prices!W:W,MATCH($G617,Data_Prices!$A:$A,0))</f>
        <v>1</v>
      </c>
      <c r="X617" s="19">
        <f>INDEX(Data_Prices!X:X,MATCH($G617,Data_Prices!$A:$A,0))</f>
        <v>1</v>
      </c>
      <c r="Y617" s="19">
        <f>INDEX(Data_Prices!Y:Y,MATCH($G617,Data_Prices!$A:$A,0))</f>
        <v>1</v>
      </c>
      <c r="Z617" s="19">
        <f>INDEX(Data_Prices!Z:Z,MATCH($G617,Data_Prices!$A:$A,0))</f>
        <v>1</v>
      </c>
      <c r="AA617" s="19">
        <f>INDEX(Data_Prices!AA:AA,MATCH($G617,Data_Prices!$A:$A,0))</f>
        <v>1</v>
      </c>
      <c r="AB617" s="19">
        <f>INDEX(Data_Prices!AB:AB,MATCH($G617,Data_Prices!$A:$A,0))</f>
        <v>1</v>
      </c>
      <c r="AC617" s="19">
        <f>INDEX(Data_Prices!AC:AC,MATCH($G617,Data_Prices!$A:$A,0))</f>
        <v>1</v>
      </c>
      <c r="AD617" s="19">
        <f>INDEX(Data_Prices!AD:AD,MATCH($G617,Data_Prices!$A:$A,0))</f>
        <v>1</v>
      </c>
      <c r="AE617" s="19">
        <f>INDEX(Data_Prices!AE:AE,MATCH($G617,Data_Prices!$A:$A,0))</f>
        <v>1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189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189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189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189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189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189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189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189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189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190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I633" t="s">
        <v>2418</v>
      </c>
      <c r="L633" s="47">
        <f>INDEX(Data_Energy!$D$3:$U$22,MATCH($B633,Data_Energy!$C$3:$C$22,0),MATCH($C633,Data_Energy!$D$2:$U$2,0))</f>
        <v>0</v>
      </c>
      <c r="M633" s="24">
        <f>L633*(1+M$618)^($E623*M$619)*(1+M$620)*IF(Rebate_Industry!L$265&lt;=0,1,Rebate_Industry!M$265/Rebate_Industry!L$265)^$F623*(IF(L606&lt;=0,1,M606/L606)^$G623/(1+$H623+$I623))^(1+$F623)</f>
        <v>0</v>
      </c>
      <c r="N633" s="24">
        <f>M633*(1+N$618)^($E623*N$619)*(1+N$620)*IF(Rebate_Industry!M$265&lt;=0,1,Rebate_Industry!N$265/Rebate_Industry!M$265)^$F623*(IF(M606&lt;=0,1,N606/M606)^$G623/(1+$H623+$I623))^(1+$F623)</f>
        <v>0</v>
      </c>
      <c r="O633" s="24">
        <f>N633*(1+O$618)^($E623*O$619)*(1+O$620)*IF(Rebate_Industry!N$265&lt;=0,1,Rebate_Industry!O$265/Rebate_Industry!N$265)^$F623*(IF(N606&lt;=0,1,O606/N606)^$G623/(1+$H623+$I623))^(1+$F623)</f>
        <v>0</v>
      </c>
      <c r="P633" s="24">
        <f>O633*(1+P$618)^($E623*P$619)*(1+P$620)*IF(Rebate_Industry!O$265&lt;=0,1,Rebate_Industry!P$265/Rebate_Industry!O$265)^$F623*(IF(O606&lt;=0,1,P606/O606)^$G623/(1+$H623+$I623))^(1+$F623)</f>
        <v>0</v>
      </c>
      <c r="Q633" s="24">
        <f>P633*(1+Q$618)^($E623*Q$619)*(1+Q$620)*IF(Rebate_Industry!P$265&lt;=0,1,Rebate_Industry!Q$265/Rebate_Industry!P$265)^$F623*(IF(P606&lt;=0,1,Q606/P606)^$G623/(1+$H623+$I623))^(1+$F623)</f>
        <v>0</v>
      </c>
      <c r="R633" s="24">
        <f>Q633*(1+R$618)^($E623*R$619)*(1+R$620)*IF(Rebate_Industry!Q$265&lt;=0,1,Rebate_Industry!R$265/Rebate_Industry!Q$265)^$F623*(IF(Q606&lt;=0,1,R606/Q606)^$G623/(1+$H623+$I623))^(1+$F623)</f>
        <v>0</v>
      </c>
      <c r="S633" s="24">
        <f>R633*(1+S$618)^($E623*S$619)*(1+S$620)*IF(Rebate_Industry!R$265&lt;=0,1,Rebate_Industry!S$265/Rebate_Industry!R$265)^$F623*(IF(R606&lt;=0,1,S606/R606)^$G623/(1+$H623+$I623))^(1+$F623)</f>
        <v>0</v>
      </c>
      <c r="T633" s="24">
        <f>S633*(1+T$618)^($E623*T$619)*(1+T$620)*IF(Rebate_Industry!S$265&lt;=0,1,Rebate_Industry!T$265/Rebate_Industry!S$265)^$F623*(IF(S606&lt;=0,1,T606/S606)^$G623/(1+$H623+$I623))^(1+$F623)</f>
        <v>0</v>
      </c>
      <c r="U633" s="24">
        <f>T633*(1+U$618)^($E623*U$619)*(1+U$620)*IF(Rebate_Industry!T$265&lt;=0,1,Rebate_Industry!U$265/Rebate_Industry!T$265)^$F623*(IF(T606&lt;=0,1,U606/T606)^$G623/(1+$H623+$I623))^(1+$F623)</f>
        <v>0</v>
      </c>
      <c r="V633" s="24">
        <f>U633*(1+V$618)^($E623*V$619)*(1+V$620)*IF(Rebate_Industry!U$265&lt;=0,1,Rebate_Industry!V$265/Rebate_Industry!U$265)^$F623*(IF(U606&lt;=0,1,V606/U606)^$G623/(1+$H623+$I623))^(1+$F623)</f>
        <v>0</v>
      </c>
      <c r="W633" s="24">
        <f>V633*(1+W$618)^($E623*W$619)*(1+W$620)*IF(Rebate_Industry!V$265&lt;=0,1,Rebate_Industry!W$265/Rebate_Industry!V$265)^$F623*(IF(V606&lt;=0,1,W606/V606)^$G623/(1+$H623+$I623))^(1+$F623)</f>
        <v>0</v>
      </c>
      <c r="X633" s="24">
        <f>W633*(1+X$618)^($E623*X$619)*(1+X$620)*IF(Rebate_Industry!W$265&lt;=0,1,Rebate_Industry!X$265/Rebate_Industry!W$265)^$F623*(IF(W606&lt;=0,1,X606/W606)^$G623/(1+$H623+$I623))^(1+$F623)</f>
        <v>0</v>
      </c>
      <c r="Y633" s="24">
        <f>X633*(1+Y$618)^($E623*Y$619)*(1+Y$620)*IF(Rebate_Industry!X$265&lt;=0,1,Rebate_Industry!Y$265/Rebate_Industry!X$265)^$F623*(IF(X606&lt;=0,1,Y606/X606)^$G623/(1+$H623+$I623))^(1+$F623)</f>
        <v>0</v>
      </c>
      <c r="Z633" s="24">
        <f>Y633*(1+Z$618)^($E623*Z$619)*(1+Z$620)*IF(Rebate_Industry!Y$265&lt;=0,1,Rebate_Industry!Z$265/Rebate_Industry!Y$265)^$F623*(IF(Y606&lt;=0,1,Z606/Y606)^$G623/(1+$H623+$I623))^(1+$F623)</f>
        <v>0</v>
      </c>
      <c r="AA633" s="24">
        <f>Z633*(1+AA$618)^($E623*AA$619)*(1+AA$620)*IF(Rebate_Industry!Z$265&lt;=0,1,Rebate_Industry!AA$265/Rebate_Industry!Z$265)^$F623*(IF(Z606&lt;=0,1,AA606/Z606)^$G623/(1+$H623+$I623))^(1+$F623)</f>
        <v>0</v>
      </c>
      <c r="AB633" s="24">
        <f>AA633*(1+AB$618)^($E623*AB$619)*(1+AB$620)*IF(Rebate_Industry!AA$265&lt;=0,1,Rebate_Industry!AB$265/Rebate_Industry!AA$265)^$F623*(IF(AA606&lt;=0,1,AB606/AA606)^$G623/(1+$H623+$I623))^(1+$F623)</f>
        <v>0</v>
      </c>
      <c r="AC633" s="24">
        <f>AB633*(1+AC$618)^($E623*AC$619)*(1+AC$620)*IF(Rebate_Industry!AB$265&lt;=0,1,Rebate_Industry!AC$265/Rebate_Industry!AB$265)^$F623*(IF(AB606&lt;=0,1,AC606/AB606)^$G623/(1+$H623+$I623))^(1+$F623)</f>
        <v>0</v>
      </c>
      <c r="AD633" s="24">
        <f>AC633*(1+AD$618)^($E623*AD$619)*(1+AD$620)*IF(Rebate_Industry!AC$265&lt;=0,1,Rebate_Industry!AD$265/Rebate_Industry!AC$265)^$F623*(IF(AC606&lt;=0,1,AD606/AC606)^$G623/(1+$H623+$I623))^(1+$F623)</f>
        <v>0</v>
      </c>
      <c r="AE633" s="24">
        <f>AD633*(1+AE$618)^($E623*AE$619)*(1+AE$620)*IF(Rebate_Industry!AD$265&lt;=0,1,Rebate_Industry!AE$265/Rebate_Industry!AD$265)^$F623*(IF(AD606&lt;=0,1,AE606/AD606)^$G623/(1+$H623+$I623))^(1+$F623)</f>
        <v>0</v>
      </c>
    </row>
    <row r="634" spans="2:31" x14ac:dyDescent="0.45">
      <c r="B634" s="14" t="s">
        <v>53</v>
      </c>
      <c r="C634" s="14" t="str">
        <f t="shared" si="190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I634" t="s">
        <v>2419</v>
      </c>
      <c r="L634" s="47">
        <f>INDEX(Data_Energy!$D$3:$U$22,MATCH($B634,Data_Energy!$C$3:$C$22,0),MATCH($C634,Data_Energy!$D$2:$U$2,0))</f>
        <v>0</v>
      </c>
      <c r="M634" s="24">
        <f>L634*(1+M$618)^($E624*M$619)*(1+M$620)*IF(Rebate_Industry!L$266&lt;=0,1,Rebate_Industry!M$266/Rebate_Industry!L$266)^$F624*(IF(L607&lt;=0,1,M607/L607)^$G624/(1+$H624+$I624))^(1+$F624)</f>
        <v>0</v>
      </c>
      <c r="N634" s="24">
        <f>M634*(1+N$618)^($E624*N$619)*(1+N$620)*IF(Rebate_Industry!M$266&lt;=0,1,Rebate_Industry!N$266/Rebate_Industry!M$266)^$F624*(IF(M607&lt;=0,1,N607/M607)^$G624/(1+$H624+$I624))^(1+$F624)</f>
        <v>0</v>
      </c>
      <c r="O634" s="24">
        <f>N634*(1+O$618)^($E624*O$619)*(1+O$620)*IF(Rebate_Industry!N$266&lt;=0,1,Rebate_Industry!O$266/Rebate_Industry!N$266)^$F624*(IF(N607&lt;=0,1,O607/N607)^$G624/(1+$H624+$I624))^(1+$F624)</f>
        <v>0</v>
      </c>
      <c r="P634" s="24">
        <f>O634*(1+P$618)^($E624*P$619)*(1+P$620)*IF(Rebate_Industry!O$266&lt;=0,1,Rebate_Industry!P$266/Rebate_Industry!O$266)^$F624*(IF(O607&lt;=0,1,P607/O607)^$G624/(1+$H624+$I624))^(1+$F624)</f>
        <v>0</v>
      </c>
      <c r="Q634" s="24">
        <f>P634*(1+Q$618)^($E624*Q$619)*(1+Q$620)*IF(Rebate_Industry!P$266&lt;=0,1,Rebate_Industry!Q$266/Rebate_Industry!P$266)^$F624*(IF(P607&lt;=0,1,Q607/P607)^$G624/(1+$H624+$I624))^(1+$F624)</f>
        <v>0</v>
      </c>
      <c r="R634" s="24">
        <f>Q634*(1+R$618)^($E624*R$619)*(1+R$620)*IF(Rebate_Industry!Q$266&lt;=0,1,Rebate_Industry!R$266/Rebate_Industry!Q$266)^$F624*(IF(Q607&lt;=0,1,R607/Q607)^$G624/(1+$H624+$I624))^(1+$F624)</f>
        <v>0</v>
      </c>
      <c r="S634" s="24">
        <f>R634*(1+S$618)^($E624*S$619)*(1+S$620)*IF(Rebate_Industry!R$266&lt;=0,1,Rebate_Industry!S$266/Rebate_Industry!R$266)^$F624*(IF(R607&lt;=0,1,S607/R607)^$G624/(1+$H624+$I624))^(1+$F624)</f>
        <v>0</v>
      </c>
      <c r="T634" s="24">
        <f>S634*(1+T$618)^($E624*T$619)*(1+T$620)*IF(Rebate_Industry!S$266&lt;=0,1,Rebate_Industry!T$266/Rebate_Industry!S$266)^$F624*(IF(S607&lt;=0,1,T607/S607)^$G624/(1+$H624+$I624))^(1+$F624)</f>
        <v>0</v>
      </c>
      <c r="U634" s="24">
        <f>T634*(1+U$618)^($E624*U$619)*(1+U$620)*IF(Rebate_Industry!T$266&lt;=0,1,Rebate_Industry!U$266/Rebate_Industry!T$266)^$F624*(IF(T607&lt;=0,1,U607/T607)^$G624/(1+$H624+$I624))^(1+$F624)</f>
        <v>0</v>
      </c>
      <c r="V634" s="24">
        <f>U634*(1+V$618)^($E624*V$619)*(1+V$620)*IF(Rebate_Industry!U$266&lt;=0,1,Rebate_Industry!V$266/Rebate_Industry!U$266)^$F624*(IF(U607&lt;=0,1,V607/U607)^$G624/(1+$H624+$I624))^(1+$F624)</f>
        <v>0</v>
      </c>
      <c r="W634" s="24">
        <f>V634*(1+W$618)^($E624*W$619)*(1+W$620)*IF(Rebate_Industry!V$266&lt;=0,1,Rebate_Industry!W$266/Rebate_Industry!V$266)^$F624*(IF(V607&lt;=0,1,W607/V607)^$G624/(1+$H624+$I624))^(1+$F624)</f>
        <v>0</v>
      </c>
      <c r="X634" s="24">
        <f>W634*(1+X$618)^($E624*X$619)*(1+X$620)*IF(Rebate_Industry!W$266&lt;=0,1,Rebate_Industry!X$266/Rebate_Industry!W$266)^$F624*(IF(W607&lt;=0,1,X607/W607)^$G624/(1+$H624+$I624))^(1+$F624)</f>
        <v>0</v>
      </c>
      <c r="Y634" s="24">
        <f>X634*(1+Y$618)^($E624*Y$619)*(1+Y$620)*IF(Rebate_Industry!X$266&lt;=0,1,Rebate_Industry!Y$266/Rebate_Industry!X$266)^$F624*(IF(X607&lt;=0,1,Y607/X607)^$G624/(1+$H624+$I624))^(1+$F624)</f>
        <v>0</v>
      </c>
      <c r="Z634" s="24">
        <f>Y634*(1+Z$618)^($E624*Z$619)*(1+Z$620)*IF(Rebate_Industry!Y$266&lt;=0,1,Rebate_Industry!Z$266/Rebate_Industry!Y$266)^$F624*(IF(Y607&lt;=0,1,Z607/Y607)^$G624/(1+$H624+$I624))^(1+$F624)</f>
        <v>0</v>
      </c>
      <c r="AA634" s="24">
        <f>Z634*(1+AA$618)^($E624*AA$619)*(1+AA$620)*IF(Rebate_Industry!Z$266&lt;=0,1,Rebate_Industry!AA$266/Rebate_Industry!Z$266)^$F624*(IF(Z607&lt;=0,1,AA607/Z607)^$G624/(1+$H624+$I624))^(1+$F624)</f>
        <v>0</v>
      </c>
      <c r="AB634" s="24">
        <f>AA634*(1+AB$618)^($E624*AB$619)*(1+AB$620)*IF(Rebate_Industry!AA$266&lt;=0,1,Rebate_Industry!AB$266/Rebate_Industry!AA$266)^$F624*(IF(AA607&lt;=0,1,AB607/AA607)^$G624/(1+$H624+$I624))^(1+$F624)</f>
        <v>0</v>
      </c>
      <c r="AC634" s="24">
        <f>AB634*(1+AC$618)^($E624*AC$619)*(1+AC$620)*IF(Rebate_Industry!AB$266&lt;=0,1,Rebate_Industry!AC$266/Rebate_Industry!AB$266)^$F624*(IF(AB607&lt;=0,1,AC607/AB607)^$G624/(1+$H624+$I624))^(1+$F624)</f>
        <v>0</v>
      </c>
      <c r="AD634" s="24">
        <f>AC634*(1+AD$618)^($E624*AD$619)*(1+AD$620)*IF(Rebate_Industry!AC$266&lt;=0,1,Rebate_Industry!AD$266/Rebate_Industry!AC$266)^$F624*(IF(AC607&lt;=0,1,AD607/AC607)^$G624/(1+$H624+$I624))^(1+$F624)</f>
        <v>0</v>
      </c>
      <c r="AE634" s="24">
        <f>AD634*(1+AE$618)^($E624*AE$619)*(1+AE$620)*IF(Rebate_Industry!AD$266&lt;=0,1,Rebate_Industry!AE$266/Rebate_Industry!AD$266)^$F624*(IF(AD607&lt;=0,1,AE607/AD607)^$G624/(1+$H624+$I624))^(1+$F624)</f>
        <v>0</v>
      </c>
    </row>
    <row r="635" spans="2:31" x14ac:dyDescent="0.45">
      <c r="B635" s="14" t="s">
        <v>55</v>
      </c>
      <c r="C635" s="14" t="str">
        <f t="shared" si="190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I635" t="s">
        <v>2420</v>
      </c>
      <c r="L635" s="47">
        <f>INDEX(Data_Energy!$D$3:$U$22,MATCH($B635,Data_Energy!$C$3:$C$22,0),MATCH($C635,Data_Energy!$D$2:$U$2,0))</f>
        <v>0</v>
      </c>
      <c r="M635" s="24">
        <f>L635*(1+M$618)^($E625*M$619)*(1+M$620)*IF(Rebate_Industry!L$267&lt;=0,1,Rebate_Industry!M$267/Rebate_Industry!L$267)^$F625*(IF(L608&lt;=0,1,M608/L608)^$G625/(1+$H625+$I625))^(1+$F625)</f>
        <v>0</v>
      </c>
      <c r="N635" s="24">
        <f>M635*(1+N$618)^($E625*N$619)*(1+N$620)*IF(Rebate_Industry!M$267&lt;=0,1,Rebate_Industry!N$267/Rebate_Industry!M$267)^$F625*(IF(M608&lt;=0,1,N608/M608)^$G625/(1+$H625+$I625))^(1+$F625)</f>
        <v>0</v>
      </c>
      <c r="O635" s="24">
        <f>N635*(1+O$618)^($E625*O$619)*(1+O$620)*IF(Rebate_Industry!N$267&lt;=0,1,Rebate_Industry!O$267/Rebate_Industry!N$267)^$F625*(IF(N608&lt;=0,1,O608/N608)^$G625/(1+$H625+$I625))^(1+$F625)</f>
        <v>0</v>
      </c>
      <c r="P635" s="24">
        <f>O635*(1+P$618)^($E625*P$619)*(1+P$620)*IF(Rebate_Industry!O$267&lt;=0,1,Rebate_Industry!P$267/Rebate_Industry!O$267)^$F625*(IF(O608&lt;=0,1,P608/O608)^$G625/(1+$H625+$I625))^(1+$F625)</f>
        <v>0</v>
      </c>
      <c r="Q635" s="24">
        <f>P635*(1+Q$618)^($E625*Q$619)*(1+Q$620)*IF(Rebate_Industry!P$267&lt;=0,1,Rebate_Industry!Q$267/Rebate_Industry!P$267)^$F625*(IF(P608&lt;=0,1,Q608/P608)^$G625/(1+$H625+$I625))^(1+$F625)</f>
        <v>0</v>
      </c>
      <c r="R635" s="24">
        <f>Q635*(1+R$618)^($E625*R$619)*(1+R$620)*IF(Rebate_Industry!Q$267&lt;=0,1,Rebate_Industry!R$267/Rebate_Industry!Q$267)^$F625*(IF(Q608&lt;=0,1,R608/Q608)^$G625/(1+$H625+$I625))^(1+$F625)</f>
        <v>0</v>
      </c>
      <c r="S635" s="24">
        <f>R635*(1+S$618)^($E625*S$619)*(1+S$620)*IF(Rebate_Industry!R$267&lt;=0,1,Rebate_Industry!S$267/Rebate_Industry!R$267)^$F625*(IF(R608&lt;=0,1,S608/R608)^$G625/(1+$H625+$I625))^(1+$F625)</f>
        <v>0</v>
      </c>
      <c r="T635" s="24">
        <f>S635*(1+T$618)^($E625*T$619)*(1+T$620)*IF(Rebate_Industry!S$267&lt;=0,1,Rebate_Industry!T$267/Rebate_Industry!S$267)^$F625*(IF(S608&lt;=0,1,T608/S608)^$G625/(1+$H625+$I625))^(1+$F625)</f>
        <v>0</v>
      </c>
      <c r="U635" s="24">
        <f>T635*(1+U$618)^($E625*U$619)*(1+U$620)*IF(Rebate_Industry!T$267&lt;=0,1,Rebate_Industry!U$267/Rebate_Industry!T$267)^$F625*(IF(T608&lt;=0,1,U608/T608)^$G625/(1+$H625+$I625))^(1+$F625)</f>
        <v>0</v>
      </c>
      <c r="V635" s="24">
        <f>U635*(1+V$618)^($E625*V$619)*(1+V$620)*IF(Rebate_Industry!U$267&lt;=0,1,Rebate_Industry!V$267/Rebate_Industry!U$267)^$F625*(IF(U608&lt;=0,1,V608/U608)^$G625/(1+$H625+$I625))^(1+$F625)</f>
        <v>0</v>
      </c>
      <c r="W635" s="24">
        <f>V635*(1+W$618)^($E625*W$619)*(1+W$620)*IF(Rebate_Industry!V$267&lt;=0,1,Rebate_Industry!W$267/Rebate_Industry!V$267)^$F625*(IF(V608&lt;=0,1,W608/V608)^$G625/(1+$H625+$I625))^(1+$F625)</f>
        <v>0</v>
      </c>
      <c r="X635" s="24">
        <f>W635*(1+X$618)^($E625*X$619)*(1+X$620)*IF(Rebate_Industry!W$267&lt;=0,1,Rebate_Industry!X$267/Rebate_Industry!W$267)^$F625*(IF(W608&lt;=0,1,X608/W608)^$G625/(1+$H625+$I625))^(1+$F625)</f>
        <v>0</v>
      </c>
      <c r="Y635" s="24">
        <f>X635*(1+Y$618)^($E625*Y$619)*(1+Y$620)*IF(Rebate_Industry!X$267&lt;=0,1,Rebate_Industry!Y$267/Rebate_Industry!X$267)^$F625*(IF(X608&lt;=0,1,Y608/X608)^$G625/(1+$H625+$I625))^(1+$F625)</f>
        <v>0</v>
      </c>
      <c r="Z635" s="24">
        <f>Y635*(1+Z$618)^($E625*Z$619)*(1+Z$620)*IF(Rebate_Industry!Y$267&lt;=0,1,Rebate_Industry!Z$267/Rebate_Industry!Y$267)^$F625*(IF(Y608&lt;=0,1,Z608/Y608)^$G625/(1+$H625+$I625))^(1+$F625)</f>
        <v>0</v>
      </c>
      <c r="AA635" s="24">
        <f>Z635*(1+AA$618)^($E625*AA$619)*(1+AA$620)*IF(Rebate_Industry!Z$267&lt;=0,1,Rebate_Industry!AA$267/Rebate_Industry!Z$267)^$F625*(IF(Z608&lt;=0,1,AA608/Z608)^$G625/(1+$H625+$I625))^(1+$F625)</f>
        <v>0</v>
      </c>
      <c r="AB635" s="24">
        <f>AA635*(1+AB$618)^($E625*AB$619)*(1+AB$620)*IF(Rebate_Industry!AA$267&lt;=0,1,Rebate_Industry!AB$267/Rebate_Industry!AA$267)^$F625*(IF(AA608&lt;=0,1,AB608/AA608)^$G625/(1+$H625+$I625))^(1+$F625)</f>
        <v>0</v>
      </c>
      <c r="AC635" s="24">
        <f>AB635*(1+AC$618)^($E625*AC$619)*(1+AC$620)*IF(Rebate_Industry!AB$267&lt;=0,1,Rebate_Industry!AC$267/Rebate_Industry!AB$267)^$F625*(IF(AB608&lt;=0,1,AC608/AB608)^$G625/(1+$H625+$I625))^(1+$F625)</f>
        <v>0</v>
      </c>
      <c r="AD635" s="24">
        <f>AC635*(1+AD$618)^($E625*AD$619)*(1+AD$620)*IF(Rebate_Industry!AC$267&lt;=0,1,Rebate_Industry!AD$267/Rebate_Industry!AC$267)^$F625*(IF(AC608&lt;=0,1,AD608/AC608)^$G625/(1+$H625+$I625))^(1+$F625)</f>
        <v>0</v>
      </c>
      <c r="AE635" s="24">
        <f>AD635*(1+AE$618)^($E625*AE$619)*(1+AE$620)*IF(Rebate_Industry!AD$267&lt;=0,1,Rebate_Industry!AE$267/Rebate_Industry!AD$267)^$F625*(IF(AD608&lt;=0,1,AE608/AD608)^$G625/(1+$H625+$I625))^(1+$F625)</f>
        <v>0</v>
      </c>
    </row>
    <row r="636" spans="2:31" x14ac:dyDescent="0.45">
      <c r="B636" s="14" t="s">
        <v>58</v>
      </c>
      <c r="C636" s="14" t="str">
        <f t="shared" si="190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I636" t="s">
        <v>2421</v>
      </c>
      <c r="L636" s="47">
        <f>INDEX(Data_Energy!$D$3:$U$22,MATCH($B636,Data_Energy!$C$3:$C$22,0),MATCH($C636,Data_Energy!$D$2:$U$2,0))</f>
        <v>0</v>
      </c>
      <c r="M636" s="24">
        <f>L636*(1+M$618)^($E626*M$619)*(1+M$620)*IF(Rebate_Industry!L$268&lt;=0,1,Rebate_Industry!M$268/Rebate_Industry!L$268)^$F626*(IF(L609&lt;=0,1,M609/L609)^$G626/(1+$H626+$I626))^(1+$F626)</f>
        <v>0</v>
      </c>
      <c r="N636" s="24">
        <f>M636*(1+N$618)^($E626*N$619)*(1+N$620)*IF(Rebate_Industry!M$268&lt;=0,1,Rebate_Industry!N$268/Rebate_Industry!M$268)^$F626*(IF(M609&lt;=0,1,N609/M609)^$G626/(1+$H626+$I626))^(1+$F626)</f>
        <v>0</v>
      </c>
      <c r="O636" s="24">
        <f>N636*(1+O$618)^($E626*O$619)*(1+O$620)*IF(Rebate_Industry!N$268&lt;=0,1,Rebate_Industry!O$268/Rebate_Industry!N$268)^$F626*(IF(N609&lt;=0,1,O609/N609)^$G626/(1+$H626+$I626))^(1+$F626)</f>
        <v>0</v>
      </c>
      <c r="P636" s="24">
        <f>O636*(1+P$618)^($E626*P$619)*(1+P$620)*IF(Rebate_Industry!O$268&lt;=0,1,Rebate_Industry!P$268/Rebate_Industry!O$268)^$F626*(IF(O609&lt;=0,1,P609/O609)^$G626/(1+$H626+$I626))^(1+$F626)</f>
        <v>0</v>
      </c>
      <c r="Q636" s="24">
        <f>P636*(1+Q$618)^($E626*Q$619)*(1+Q$620)*IF(Rebate_Industry!P$268&lt;=0,1,Rebate_Industry!Q$268/Rebate_Industry!P$268)^$F626*(IF(P609&lt;=0,1,Q609/P609)^$G626/(1+$H626+$I626))^(1+$F626)</f>
        <v>0</v>
      </c>
      <c r="R636" s="24">
        <f>Q636*(1+R$618)^($E626*R$619)*(1+R$620)*IF(Rebate_Industry!Q$268&lt;=0,1,Rebate_Industry!R$268/Rebate_Industry!Q$268)^$F626*(IF(Q609&lt;=0,1,R609/Q609)^$G626/(1+$H626+$I626))^(1+$F626)</f>
        <v>0</v>
      </c>
      <c r="S636" s="24">
        <f>R636*(1+S$618)^($E626*S$619)*(1+S$620)*IF(Rebate_Industry!R$268&lt;=0,1,Rebate_Industry!S$268/Rebate_Industry!R$268)^$F626*(IF(R609&lt;=0,1,S609/R609)^$G626/(1+$H626+$I626))^(1+$F626)</f>
        <v>0</v>
      </c>
      <c r="T636" s="24">
        <f>S636*(1+T$618)^($E626*T$619)*(1+T$620)*IF(Rebate_Industry!S$268&lt;=0,1,Rebate_Industry!T$268/Rebate_Industry!S$268)^$F626*(IF(S609&lt;=0,1,T609/S609)^$G626/(1+$H626+$I626))^(1+$F626)</f>
        <v>0</v>
      </c>
      <c r="U636" s="24">
        <f>T636*(1+U$618)^($E626*U$619)*(1+U$620)*IF(Rebate_Industry!T$268&lt;=0,1,Rebate_Industry!U$268/Rebate_Industry!T$268)^$F626*(IF(T609&lt;=0,1,U609/T609)^$G626/(1+$H626+$I626))^(1+$F626)</f>
        <v>0</v>
      </c>
      <c r="V636" s="24">
        <f>U636*(1+V$618)^($E626*V$619)*(1+V$620)*IF(Rebate_Industry!U$268&lt;=0,1,Rebate_Industry!V$268/Rebate_Industry!U$268)^$F626*(IF(U609&lt;=0,1,V609/U609)^$G626/(1+$H626+$I626))^(1+$F626)</f>
        <v>0</v>
      </c>
      <c r="W636" s="24">
        <f>V636*(1+W$618)^($E626*W$619)*(1+W$620)*IF(Rebate_Industry!V$268&lt;=0,1,Rebate_Industry!W$268/Rebate_Industry!V$268)^$F626*(IF(V609&lt;=0,1,W609/V609)^$G626/(1+$H626+$I626))^(1+$F626)</f>
        <v>0</v>
      </c>
      <c r="X636" s="24">
        <f>W636*(1+X$618)^($E626*X$619)*(1+X$620)*IF(Rebate_Industry!W$268&lt;=0,1,Rebate_Industry!X$268/Rebate_Industry!W$268)^$F626*(IF(W609&lt;=0,1,X609/W609)^$G626/(1+$H626+$I626))^(1+$F626)</f>
        <v>0</v>
      </c>
      <c r="Y636" s="24">
        <f>X636*(1+Y$618)^($E626*Y$619)*(1+Y$620)*IF(Rebate_Industry!X$268&lt;=0,1,Rebate_Industry!Y$268/Rebate_Industry!X$268)^$F626*(IF(X609&lt;=0,1,Y609/X609)^$G626/(1+$H626+$I626))^(1+$F626)</f>
        <v>0</v>
      </c>
      <c r="Z636" s="24">
        <f>Y636*(1+Z$618)^($E626*Z$619)*(1+Z$620)*IF(Rebate_Industry!Y$268&lt;=0,1,Rebate_Industry!Z$268/Rebate_Industry!Y$268)^$F626*(IF(Y609&lt;=0,1,Z609/Y609)^$G626/(1+$H626+$I626))^(1+$F626)</f>
        <v>0</v>
      </c>
      <c r="AA636" s="24">
        <f>Z636*(1+AA$618)^($E626*AA$619)*(1+AA$620)*IF(Rebate_Industry!Z$268&lt;=0,1,Rebate_Industry!AA$268/Rebate_Industry!Z$268)^$F626*(IF(Z609&lt;=0,1,AA609/Z609)^$G626/(1+$H626+$I626))^(1+$F626)</f>
        <v>0</v>
      </c>
      <c r="AB636" s="24">
        <f>AA636*(1+AB$618)^($E626*AB$619)*(1+AB$620)*IF(Rebate_Industry!AA$268&lt;=0,1,Rebate_Industry!AB$268/Rebate_Industry!AA$268)^$F626*(IF(AA609&lt;=0,1,AB609/AA609)^$G626/(1+$H626+$I626))^(1+$F626)</f>
        <v>0</v>
      </c>
      <c r="AC636" s="24">
        <f>AB636*(1+AC$618)^($E626*AC$619)*(1+AC$620)*IF(Rebate_Industry!AB$268&lt;=0,1,Rebate_Industry!AC$268/Rebate_Industry!AB$268)^$F626*(IF(AB609&lt;=0,1,AC609/AB609)^$G626/(1+$H626+$I626))^(1+$F626)</f>
        <v>0</v>
      </c>
      <c r="AD636" s="24">
        <f>AC636*(1+AD$618)^($E626*AD$619)*(1+AD$620)*IF(Rebate_Industry!AC$268&lt;=0,1,Rebate_Industry!AD$268/Rebate_Industry!AC$268)^$F626*(IF(AC609&lt;=0,1,AD609/AC609)^$G626/(1+$H626+$I626))^(1+$F626)</f>
        <v>0</v>
      </c>
      <c r="AE636" s="24">
        <f>AD636*(1+AE$618)^($E626*AE$619)*(1+AE$620)*IF(Rebate_Industry!AD$268&lt;=0,1,Rebate_Industry!AE$268/Rebate_Industry!AD$268)^$F626*(IF(AD609&lt;=0,1,AE609/AD609)^$G626/(1+$H626+$I626))^(1+$F626)</f>
        <v>0</v>
      </c>
    </row>
    <row r="637" spans="2:31" x14ac:dyDescent="0.45">
      <c r="B637" s="14" t="s">
        <v>60</v>
      </c>
      <c r="C637" s="14" t="str">
        <f t="shared" si="190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I637" t="s">
        <v>2422</v>
      </c>
      <c r="L637" s="47">
        <f>INDEX(Data_Energy!$D$3:$U$22,MATCH($B637,Data_Energy!$C$3:$C$22,0),MATCH($C637,Data_Energy!$D$2:$U$2,0))</f>
        <v>0</v>
      </c>
      <c r="M637" s="24">
        <f>L637*(1+M$618)^($E627*M$619)*(1+M$620)*IF(Rebate_Industry!L$269&lt;=0,1,Rebate_Industry!M$269/Rebate_Industry!L$269)^$F627*(IF(L610&lt;=0,1,M610/L610)^$G627/(1+$H627+$I627))^(1+$F627)</f>
        <v>0</v>
      </c>
      <c r="N637" s="24">
        <f>M637*(1+N$618)^($E627*N$619)*(1+N$620)*IF(Rebate_Industry!M$269&lt;=0,1,Rebate_Industry!N$269/Rebate_Industry!M$269)^$F627*(IF(M610&lt;=0,1,N610/M610)^$G627/(1+$H627+$I627))^(1+$F627)</f>
        <v>0</v>
      </c>
      <c r="O637" s="24">
        <f>N637*(1+O$618)^($E627*O$619)*(1+O$620)*IF(Rebate_Industry!N$269&lt;=0,1,Rebate_Industry!O$269/Rebate_Industry!N$269)^$F627*(IF(N610&lt;=0,1,O610/N610)^$G627/(1+$H627+$I627))^(1+$F627)</f>
        <v>0</v>
      </c>
      <c r="P637" s="24">
        <f>O637*(1+P$618)^($E627*P$619)*(1+P$620)*IF(Rebate_Industry!O$269&lt;=0,1,Rebate_Industry!P$269/Rebate_Industry!O$269)^$F627*(IF(O610&lt;=0,1,P610/O610)^$G627/(1+$H627+$I627))^(1+$F627)</f>
        <v>0</v>
      </c>
      <c r="Q637" s="24">
        <f>P637*(1+Q$618)^($E627*Q$619)*(1+Q$620)*IF(Rebate_Industry!P$269&lt;=0,1,Rebate_Industry!Q$269/Rebate_Industry!P$269)^$F627*(IF(P610&lt;=0,1,Q610/P610)^$G627/(1+$H627+$I627))^(1+$F627)</f>
        <v>0</v>
      </c>
      <c r="R637" s="24">
        <f>Q637*(1+R$618)^($E627*R$619)*(1+R$620)*IF(Rebate_Industry!Q$269&lt;=0,1,Rebate_Industry!R$269/Rebate_Industry!Q$269)^$F627*(IF(Q610&lt;=0,1,R610/Q610)^$G627/(1+$H627+$I627))^(1+$F627)</f>
        <v>0</v>
      </c>
      <c r="S637" s="24">
        <f>R637*(1+S$618)^($E627*S$619)*(1+S$620)*IF(Rebate_Industry!R$269&lt;=0,1,Rebate_Industry!S$269/Rebate_Industry!R$269)^$F627*(IF(R610&lt;=0,1,S610/R610)^$G627/(1+$H627+$I627))^(1+$F627)</f>
        <v>0</v>
      </c>
      <c r="T637" s="24">
        <f>S637*(1+T$618)^($E627*T$619)*(1+T$620)*IF(Rebate_Industry!S$269&lt;=0,1,Rebate_Industry!T$269/Rebate_Industry!S$269)^$F627*(IF(S610&lt;=0,1,T610/S610)^$G627/(1+$H627+$I627))^(1+$F627)</f>
        <v>0</v>
      </c>
      <c r="U637" s="24">
        <f>T637*(1+U$618)^($E627*U$619)*(1+U$620)*IF(Rebate_Industry!T$269&lt;=0,1,Rebate_Industry!U$269/Rebate_Industry!T$269)^$F627*(IF(T610&lt;=0,1,U610/T610)^$G627/(1+$H627+$I627))^(1+$F627)</f>
        <v>0</v>
      </c>
      <c r="V637" s="24">
        <f>U637*(1+V$618)^($E627*V$619)*(1+V$620)*IF(Rebate_Industry!U$269&lt;=0,1,Rebate_Industry!V$269/Rebate_Industry!U$269)^$F627*(IF(U610&lt;=0,1,V610/U610)^$G627/(1+$H627+$I627))^(1+$F627)</f>
        <v>0</v>
      </c>
      <c r="W637" s="24">
        <f>V637*(1+W$618)^($E627*W$619)*(1+W$620)*IF(Rebate_Industry!V$269&lt;=0,1,Rebate_Industry!W$269/Rebate_Industry!V$269)^$F627*(IF(V610&lt;=0,1,W610/V610)^$G627/(1+$H627+$I627))^(1+$F627)</f>
        <v>0</v>
      </c>
      <c r="X637" s="24">
        <f>W637*(1+X$618)^($E627*X$619)*(1+X$620)*IF(Rebate_Industry!W$269&lt;=0,1,Rebate_Industry!X$269/Rebate_Industry!W$269)^$F627*(IF(W610&lt;=0,1,X610/W610)^$G627/(1+$H627+$I627))^(1+$F627)</f>
        <v>0</v>
      </c>
      <c r="Y637" s="24">
        <f>X637*(1+Y$618)^($E627*Y$619)*(1+Y$620)*IF(Rebate_Industry!X$269&lt;=0,1,Rebate_Industry!Y$269/Rebate_Industry!X$269)^$F627*(IF(X610&lt;=0,1,Y610/X610)^$G627/(1+$H627+$I627))^(1+$F627)</f>
        <v>0</v>
      </c>
      <c r="Z637" s="24">
        <f>Y637*(1+Z$618)^($E627*Z$619)*(1+Z$620)*IF(Rebate_Industry!Y$269&lt;=0,1,Rebate_Industry!Z$269/Rebate_Industry!Y$269)^$F627*(IF(Y610&lt;=0,1,Z610/Y610)^$G627/(1+$H627+$I627))^(1+$F627)</f>
        <v>0</v>
      </c>
      <c r="AA637" s="24">
        <f>Z637*(1+AA$618)^($E627*AA$619)*(1+AA$620)*IF(Rebate_Industry!Z$269&lt;=0,1,Rebate_Industry!AA$269/Rebate_Industry!Z$269)^$F627*(IF(Z610&lt;=0,1,AA610/Z610)^$G627/(1+$H627+$I627))^(1+$F627)</f>
        <v>0</v>
      </c>
      <c r="AB637" s="24">
        <f>AA637*(1+AB$618)^($E627*AB$619)*(1+AB$620)*IF(Rebate_Industry!AA$269&lt;=0,1,Rebate_Industry!AB$269/Rebate_Industry!AA$269)^$F627*(IF(AA610&lt;=0,1,AB610/AA610)^$G627/(1+$H627+$I627))^(1+$F627)</f>
        <v>0</v>
      </c>
      <c r="AC637" s="24">
        <f>AB637*(1+AC$618)^($E627*AC$619)*(1+AC$620)*IF(Rebate_Industry!AB$269&lt;=0,1,Rebate_Industry!AC$269/Rebate_Industry!AB$269)^$F627*(IF(AB610&lt;=0,1,AC610/AB610)^$G627/(1+$H627+$I627))^(1+$F627)</f>
        <v>0</v>
      </c>
      <c r="AD637" s="24">
        <f>AC637*(1+AD$618)^($E627*AD$619)*(1+AD$620)*IF(Rebate_Industry!AC$269&lt;=0,1,Rebate_Industry!AD$269/Rebate_Industry!AC$269)^$F627*(IF(AC610&lt;=0,1,AD610/AC610)^$G627/(1+$H627+$I627))^(1+$F627)</f>
        <v>0</v>
      </c>
      <c r="AE637" s="24">
        <f>AD637*(1+AE$618)^($E627*AE$619)*(1+AE$620)*IF(Rebate_Industry!AD$269&lt;=0,1,Rebate_Industry!AE$269/Rebate_Industry!AD$269)^$F627*(IF(AD610&lt;=0,1,AE610/AD610)^$G627/(1+$H627+$I627))^(1+$F627)</f>
        <v>0</v>
      </c>
    </row>
    <row r="638" spans="2:31" x14ac:dyDescent="0.45">
      <c r="B638" s="14" t="s">
        <v>62</v>
      </c>
      <c r="C638" s="14" t="str">
        <f t="shared" si="190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I638" t="s">
        <v>2423</v>
      </c>
      <c r="L638" s="47">
        <f>INDEX(Data_Energy!$D$3:$U$22,MATCH($B638,Data_Energy!$C$3:$C$22,0),MATCH($C638,Data_Energy!$D$2:$U$2,0))</f>
        <v>0</v>
      </c>
      <c r="M638" s="24">
        <f>L638*(1+M$618)^($E628*M$619)*(1+M$620)*IF(Rebate_Industry!L$270&lt;=0,1,Rebate_Industry!M$270/Rebate_Industry!L$270)^$F628*(IF(L611&lt;=0,1,M611/L611)^$G628/(1+$H628+$I628))^(1+$F628)</f>
        <v>0</v>
      </c>
      <c r="N638" s="24">
        <f>M638*(1+N$618)^($E628*N$619)*(1+N$620)*IF(Rebate_Industry!M$270&lt;=0,1,Rebate_Industry!N$270/Rebate_Industry!M$270)^$F628*(IF(M611&lt;=0,1,N611/M611)^$G628/(1+$H628+$I628))^(1+$F628)</f>
        <v>0</v>
      </c>
      <c r="O638" s="24">
        <f>N638*(1+O$618)^($E628*O$619)*(1+O$620)*IF(Rebate_Industry!N$270&lt;=0,1,Rebate_Industry!O$270/Rebate_Industry!N$270)^$F628*(IF(N611&lt;=0,1,O611/N611)^$G628/(1+$H628+$I628))^(1+$F628)</f>
        <v>0</v>
      </c>
      <c r="P638" s="24">
        <f>O638*(1+P$618)^($E628*P$619)*(1+P$620)*IF(Rebate_Industry!O$270&lt;=0,1,Rebate_Industry!P$270/Rebate_Industry!O$270)^$F628*(IF(O611&lt;=0,1,P611/O611)^$G628/(1+$H628+$I628))^(1+$F628)</f>
        <v>0</v>
      </c>
      <c r="Q638" s="24">
        <f>P638*(1+Q$618)^($E628*Q$619)*(1+Q$620)*IF(Rebate_Industry!P$270&lt;=0,1,Rebate_Industry!Q$270/Rebate_Industry!P$270)^$F628*(IF(P611&lt;=0,1,Q611/P611)^$G628/(1+$H628+$I628))^(1+$F628)</f>
        <v>0</v>
      </c>
      <c r="R638" s="24">
        <f>Q638*(1+R$618)^($E628*R$619)*(1+R$620)*IF(Rebate_Industry!Q$270&lt;=0,1,Rebate_Industry!R$270/Rebate_Industry!Q$270)^$F628*(IF(Q611&lt;=0,1,R611/Q611)^$G628/(1+$H628+$I628))^(1+$F628)</f>
        <v>0</v>
      </c>
      <c r="S638" s="24">
        <f>R638*(1+S$618)^($E628*S$619)*(1+S$620)*IF(Rebate_Industry!R$270&lt;=0,1,Rebate_Industry!S$270/Rebate_Industry!R$270)^$F628*(IF(R611&lt;=0,1,S611/R611)^$G628/(1+$H628+$I628))^(1+$F628)</f>
        <v>0</v>
      </c>
      <c r="T638" s="24">
        <f>S638*(1+T$618)^($E628*T$619)*(1+T$620)*IF(Rebate_Industry!S$270&lt;=0,1,Rebate_Industry!T$270/Rebate_Industry!S$270)^$F628*(IF(S611&lt;=0,1,T611/S611)^$G628/(1+$H628+$I628))^(1+$F628)</f>
        <v>0</v>
      </c>
      <c r="U638" s="24">
        <f>T638*(1+U$618)^($E628*U$619)*(1+U$620)*IF(Rebate_Industry!T$270&lt;=0,1,Rebate_Industry!U$270/Rebate_Industry!T$270)^$F628*(IF(T611&lt;=0,1,U611/T611)^$G628/(1+$H628+$I628))^(1+$F628)</f>
        <v>0</v>
      </c>
      <c r="V638" s="24">
        <f>U638*(1+V$618)^($E628*V$619)*(1+V$620)*IF(Rebate_Industry!U$270&lt;=0,1,Rebate_Industry!V$270/Rebate_Industry!U$270)^$F628*(IF(U611&lt;=0,1,V611/U611)^$G628/(1+$H628+$I628))^(1+$F628)</f>
        <v>0</v>
      </c>
      <c r="W638" s="24">
        <f>V638*(1+W$618)^($E628*W$619)*(1+W$620)*IF(Rebate_Industry!V$270&lt;=0,1,Rebate_Industry!W$270/Rebate_Industry!V$270)^$F628*(IF(V611&lt;=0,1,W611/V611)^$G628/(1+$H628+$I628))^(1+$F628)</f>
        <v>0</v>
      </c>
      <c r="X638" s="24">
        <f>W638*(1+X$618)^($E628*X$619)*(1+X$620)*IF(Rebate_Industry!W$270&lt;=0,1,Rebate_Industry!X$270/Rebate_Industry!W$270)^$F628*(IF(W611&lt;=0,1,X611/W611)^$G628/(1+$H628+$I628))^(1+$F628)</f>
        <v>0</v>
      </c>
      <c r="Y638" s="24">
        <f>X638*(1+Y$618)^($E628*Y$619)*(1+Y$620)*IF(Rebate_Industry!X$270&lt;=0,1,Rebate_Industry!Y$270/Rebate_Industry!X$270)^$F628*(IF(X611&lt;=0,1,Y611/X611)^$G628/(1+$H628+$I628))^(1+$F628)</f>
        <v>0</v>
      </c>
      <c r="Z638" s="24">
        <f>Y638*(1+Z$618)^($E628*Z$619)*(1+Z$620)*IF(Rebate_Industry!Y$270&lt;=0,1,Rebate_Industry!Z$270/Rebate_Industry!Y$270)^$F628*(IF(Y611&lt;=0,1,Z611/Y611)^$G628/(1+$H628+$I628))^(1+$F628)</f>
        <v>0</v>
      </c>
      <c r="AA638" s="24">
        <f>Z638*(1+AA$618)^($E628*AA$619)*(1+AA$620)*IF(Rebate_Industry!Z$270&lt;=0,1,Rebate_Industry!AA$270/Rebate_Industry!Z$270)^$F628*(IF(Z611&lt;=0,1,AA611/Z611)^$G628/(1+$H628+$I628))^(1+$F628)</f>
        <v>0</v>
      </c>
      <c r="AB638" s="24">
        <f>AA638*(1+AB$618)^($E628*AB$619)*(1+AB$620)*IF(Rebate_Industry!AA$270&lt;=0,1,Rebate_Industry!AB$270/Rebate_Industry!AA$270)^$F628*(IF(AA611&lt;=0,1,AB611/AA611)^$G628/(1+$H628+$I628))^(1+$F628)</f>
        <v>0</v>
      </c>
      <c r="AC638" s="24">
        <f>AB638*(1+AC$618)^($E628*AC$619)*(1+AC$620)*IF(Rebate_Industry!AB$270&lt;=0,1,Rebate_Industry!AC$270/Rebate_Industry!AB$270)^$F628*(IF(AB611&lt;=0,1,AC611/AB611)^$G628/(1+$H628+$I628))^(1+$F628)</f>
        <v>0</v>
      </c>
      <c r="AD638" s="24">
        <f>AC638*(1+AD$618)^($E628*AD$619)*(1+AD$620)*IF(Rebate_Industry!AC$270&lt;=0,1,Rebate_Industry!AD$270/Rebate_Industry!AC$270)^$F628*(IF(AC611&lt;=0,1,AD611/AC611)^$G628/(1+$H628+$I628))^(1+$F628)</f>
        <v>0</v>
      </c>
      <c r="AE638" s="24">
        <f>AD638*(1+AE$618)^($E628*AE$619)*(1+AE$620)*IF(Rebate_Industry!AD$270&lt;=0,1,Rebate_Industry!AE$270/Rebate_Industry!AD$270)^$F628*(IF(AD611&lt;=0,1,AE611/AD611)^$G628/(1+$H628+$I628))^(1+$F628)</f>
        <v>0</v>
      </c>
    </row>
    <row r="639" spans="2:31" x14ac:dyDescent="0.45">
      <c r="B639" s="14" t="s">
        <v>64</v>
      </c>
      <c r="C639" s="14" t="str">
        <f t="shared" si="190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I639" t="s">
        <v>2424</v>
      </c>
      <c r="L639" s="47">
        <f>INDEX(Data_Energy!$D$3:$U$22,MATCH($B639,Data_Energy!$C$3:$C$22,0),MATCH($C639,Data_Energy!$D$2:$U$2,0))</f>
        <v>0</v>
      </c>
      <c r="M639" s="24">
        <f>L639*(1+M$618)^($E629*M$619)*(1+M$620)*IF(Rebate_Industry!L$271&lt;=0,1,Rebate_Industry!M$271/Rebate_Industry!L$271)^$F629*(IF(L612&lt;=0,1,M612/L612)^$G629/(1+$H629+$I629))^(1+$F629)</f>
        <v>0</v>
      </c>
      <c r="N639" s="24">
        <f>M639*(1+N$618)^($E629*N$619)*(1+N$620)*IF(Rebate_Industry!M$271&lt;=0,1,Rebate_Industry!N$271/Rebate_Industry!M$271)^$F629*(IF(M612&lt;=0,1,N612/M612)^$G629/(1+$H629+$I629))^(1+$F629)</f>
        <v>0</v>
      </c>
      <c r="O639" s="24">
        <f>N639*(1+O$618)^($E629*O$619)*(1+O$620)*IF(Rebate_Industry!N$271&lt;=0,1,Rebate_Industry!O$271/Rebate_Industry!N$271)^$F629*(IF(N612&lt;=0,1,O612/N612)^$G629/(1+$H629+$I629))^(1+$F629)</f>
        <v>0</v>
      </c>
      <c r="P639" s="24">
        <f>O639*(1+P$618)^($E629*P$619)*(1+P$620)*IF(Rebate_Industry!O$271&lt;=0,1,Rebate_Industry!P$271/Rebate_Industry!O$271)^$F629*(IF(O612&lt;=0,1,P612/O612)^$G629/(1+$H629+$I629))^(1+$F629)</f>
        <v>0</v>
      </c>
      <c r="Q639" s="24">
        <f>P639*(1+Q$618)^($E629*Q$619)*(1+Q$620)*IF(Rebate_Industry!P$271&lt;=0,1,Rebate_Industry!Q$271/Rebate_Industry!P$271)^$F629*(IF(P612&lt;=0,1,Q612/P612)^$G629/(1+$H629+$I629))^(1+$F629)</f>
        <v>0</v>
      </c>
      <c r="R639" s="24">
        <f>Q639*(1+R$618)^($E629*R$619)*(1+R$620)*IF(Rebate_Industry!Q$271&lt;=0,1,Rebate_Industry!R$271/Rebate_Industry!Q$271)^$F629*(IF(Q612&lt;=0,1,R612/Q612)^$G629/(1+$H629+$I629))^(1+$F629)</f>
        <v>0</v>
      </c>
      <c r="S639" s="24">
        <f>R639*(1+S$618)^($E629*S$619)*(1+S$620)*IF(Rebate_Industry!R$271&lt;=0,1,Rebate_Industry!S$271/Rebate_Industry!R$271)^$F629*(IF(R612&lt;=0,1,S612/R612)^$G629/(1+$H629+$I629))^(1+$F629)</f>
        <v>0</v>
      </c>
      <c r="T639" s="24">
        <f>S639*(1+T$618)^($E629*T$619)*(1+T$620)*IF(Rebate_Industry!S$271&lt;=0,1,Rebate_Industry!T$271/Rebate_Industry!S$271)^$F629*(IF(S612&lt;=0,1,T612/S612)^$G629/(1+$H629+$I629))^(1+$F629)</f>
        <v>0</v>
      </c>
      <c r="U639" s="24">
        <f>T639*(1+U$618)^($E629*U$619)*(1+U$620)*IF(Rebate_Industry!T$271&lt;=0,1,Rebate_Industry!U$271/Rebate_Industry!T$271)^$F629*(IF(T612&lt;=0,1,U612/T612)^$G629/(1+$H629+$I629))^(1+$F629)</f>
        <v>0</v>
      </c>
      <c r="V639" s="24">
        <f>U639*(1+V$618)^($E629*V$619)*(1+V$620)*IF(Rebate_Industry!U$271&lt;=0,1,Rebate_Industry!V$271/Rebate_Industry!U$271)^$F629*(IF(U612&lt;=0,1,V612/U612)^$G629/(1+$H629+$I629))^(1+$F629)</f>
        <v>0</v>
      </c>
      <c r="W639" s="24">
        <f>V639*(1+W$618)^($E629*W$619)*(1+W$620)*IF(Rebate_Industry!V$271&lt;=0,1,Rebate_Industry!W$271/Rebate_Industry!V$271)^$F629*(IF(V612&lt;=0,1,W612/V612)^$G629/(1+$H629+$I629))^(1+$F629)</f>
        <v>0</v>
      </c>
      <c r="X639" s="24">
        <f>W639*(1+X$618)^($E629*X$619)*(1+X$620)*IF(Rebate_Industry!W$271&lt;=0,1,Rebate_Industry!X$271/Rebate_Industry!W$271)^$F629*(IF(W612&lt;=0,1,X612/W612)^$G629/(1+$H629+$I629))^(1+$F629)</f>
        <v>0</v>
      </c>
      <c r="Y639" s="24">
        <f>X639*(1+Y$618)^($E629*Y$619)*(1+Y$620)*IF(Rebate_Industry!X$271&lt;=0,1,Rebate_Industry!Y$271/Rebate_Industry!X$271)^$F629*(IF(X612&lt;=0,1,Y612/X612)^$G629/(1+$H629+$I629))^(1+$F629)</f>
        <v>0</v>
      </c>
      <c r="Z639" s="24">
        <f>Y639*(1+Z$618)^($E629*Z$619)*(1+Z$620)*IF(Rebate_Industry!Y$271&lt;=0,1,Rebate_Industry!Z$271/Rebate_Industry!Y$271)^$F629*(IF(Y612&lt;=0,1,Z612/Y612)^$G629/(1+$H629+$I629))^(1+$F629)</f>
        <v>0</v>
      </c>
      <c r="AA639" s="24">
        <f>Z639*(1+AA$618)^($E629*AA$619)*(1+AA$620)*IF(Rebate_Industry!Z$271&lt;=0,1,Rebate_Industry!AA$271/Rebate_Industry!Z$271)^$F629*(IF(Z612&lt;=0,1,AA612/Z612)^$G629/(1+$H629+$I629))^(1+$F629)</f>
        <v>0</v>
      </c>
      <c r="AB639" s="24">
        <f>AA639*(1+AB$618)^($E629*AB$619)*(1+AB$620)*IF(Rebate_Industry!AA$271&lt;=0,1,Rebate_Industry!AB$271/Rebate_Industry!AA$271)^$F629*(IF(AA612&lt;=0,1,AB612/AA612)^$G629/(1+$H629+$I629))^(1+$F629)</f>
        <v>0</v>
      </c>
      <c r="AC639" s="24">
        <f>AB639*(1+AC$618)^($E629*AC$619)*(1+AC$620)*IF(Rebate_Industry!AB$271&lt;=0,1,Rebate_Industry!AC$271/Rebate_Industry!AB$271)^$F629*(IF(AB612&lt;=0,1,AC612/AB612)^$G629/(1+$H629+$I629))^(1+$F629)</f>
        <v>0</v>
      </c>
      <c r="AD639" s="24">
        <f>AC639*(1+AD$618)^($E629*AD$619)*(1+AD$620)*IF(Rebate_Industry!AC$271&lt;=0,1,Rebate_Industry!AD$271/Rebate_Industry!AC$271)^$F629*(IF(AC612&lt;=0,1,AD612/AC612)^$G629/(1+$H629+$I629))^(1+$F629)</f>
        <v>0</v>
      </c>
      <c r="AE639" s="24">
        <f>AD639*(1+AE$618)^($E629*AE$619)*(1+AE$620)*IF(Rebate_Industry!AD$271&lt;=0,1,Rebate_Industry!AE$271/Rebate_Industry!AD$271)^$F629*(IF(AD612&lt;=0,1,AE612/AD612)^$G629/(1+$H629+$I629))^(1+$F629)</f>
        <v>0</v>
      </c>
    </row>
    <row r="640" spans="2:31" x14ac:dyDescent="0.45">
      <c r="B640" s="14" t="s">
        <v>67</v>
      </c>
      <c r="C640" s="14" t="str">
        <f t="shared" si="190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I640" t="s">
        <v>2425</v>
      </c>
      <c r="L640" s="47">
        <f>INDEX(Data_Energy!$D$3:$U$22,MATCH($B640,Data_Energy!$C$3:$C$22,0),MATCH($C640,Data_Energy!$D$2:$U$2,0))</f>
        <v>0</v>
      </c>
      <c r="M640" s="24">
        <f>L640*(1+M$618)^($E630*M$619)*(1+M$620)*IF(Rebate_Industry!L$272&lt;=0,1,Rebate_Industry!M$272/Rebate_Industry!L$272)^$F630*(IF(L613&lt;=0,1,M613/L613)^$G630/(1+$H630+$I630))^(1+$F630)</f>
        <v>0</v>
      </c>
      <c r="N640" s="24">
        <f>M640*(1+N$618)^($E630*N$619)*(1+N$620)*IF(Rebate_Industry!M$272&lt;=0,1,Rebate_Industry!N$272/Rebate_Industry!M$272)^$F630*(IF(M613&lt;=0,1,N613/M613)^$G630/(1+$H630+$I630))^(1+$F630)</f>
        <v>0</v>
      </c>
      <c r="O640" s="24">
        <f>N640*(1+O$618)^($E630*O$619)*(1+O$620)*IF(Rebate_Industry!N$272&lt;=0,1,Rebate_Industry!O$272/Rebate_Industry!N$272)^$F630*(IF(N613&lt;=0,1,O613/N613)^$G630/(1+$H630+$I630))^(1+$F630)</f>
        <v>0</v>
      </c>
      <c r="P640" s="24">
        <f>O640*(1+P$618)^($E630*P$619)*(1+P$620)*IF(Rebate_Industry!O$272&lt;=0,1,Rebate_Industry!P$272/Rebate_Industry!O$272)^$F630*(IF(O613&lt;=0,1,P613/O613)^$G630/(1+$H630+$I630))^(1+$F630)</f>
        <v>0</v>
      </c>
      <c r="Q640" s="24">
        <f>P640*(1+Q$618)^($E630*Q$619)*(1+Q$620)*IF(Rebate_Industry!P$272&lt;=0,1,Rebate_Industry!Q$272/Rebate_Industry!P$272)^$F630*(IF(P613&lt;=0,1,Q613/P613)^$G630/(1+$H630+$I630))^(1+$F630)</f>
        <v>0</v>
      </c>
      <c r="R640" s="24">
        <f>Q640*(1+R$618)^($E630*R$619)*(1+R$620)*IF(Rebate_Industry!Q$272&lt;=0,1,Rebate_Industry!R$272/Rebate_Industry!Q$272)^$F630*(IF(Q613&lt;=0,1,R613/Q613)^$G630/(1+$H630+$I630))^(1+$F630)</f>
        <v>0</v>
      </c>
      <c r="S640" s="24">
        <f>R640*(1+S$618)^($E630*S$619)*(1+S$620)*IF(Rebate_Industry!R$272&lt;=0,1,Rebate_Industry!S$272/Rebate_Industry!R$272)^$F630*(IF(R613&lt;=0,1,S613/R613)^$G630/(1+$H630+$I630))^(1+$F630)</f>
        <v>0</v>
      </c>
      <c r="T640" s="24">
        <f>S640*(1+T$618)^($E630*T$619)*(1+T$620)*IF(Rebate_Industry!S$272&lt;=0,1,Rebate_Industry!T$272/Rebate_Industry!S$272)^$F630*(IF(S613&lt;=0,1,T613/S613)^$G630/(1+$H630+$I630))^(1+$F630)</f>
        <v>0</v>
      </c>
      <c r="U640" s="24">
        <f>T640*(1+U$618)^($E630*U$619)*(1+U$620)*IF(Rebate_Industry!T$272&lt;=0,1,Rebate_Industry!U$272/Rebate_Industry!T$272)^$F630*(IF(T613&lt;=0,1,U613/T613)^$G630/(1+$H630+$I630))^(1+$F630)</f>
        <v>0</v>
      </c>
      <c r="V640" s="24">
        <f>U640*(1+V$618)^($E630*V$619)*(1+V$620)*IF(Rebate_Industry!U$272&lt;=0,1,Rebate_Industry!V$272/Rebate_Industry!U$272)^$F630*(IF(U613&lt;=0,1,V613/U613)^$G630/(1+$H630+$I630))^(1+$F630)</f>
        <v>0</v>
      </c>
      <c r="W640" s="24">
        <f>V640*(1+W$618)^($E630*W$619)*(1+W$620)*IF(Rebate_Industry!V$272&lt;=0,1,Rebate_Industry!W$272/Rebate_Industry!V$272)^$F630*(IF(V613&lt;=0,1,W613/V613)^$G630/(1+$H630+$I630))^(1+$F630)</f>
        <v>0</v>
      </c>
      <c r="X640" s="24">
        <f>W640*(1+X$618)^($E630*X$619)*(1+X$620)*IF(Rebate_Industry!W$272&lt;=0,1,Rebate_Industry!X$272/Rebate_Industry!W$272)^$F630*(IF(W613&lt;=0,1,X613/W613)^$G630/(1+$H630+$I630))^(1+$F630)</f>
        <v>0</v>
      </c>
      <c r="Y640" s="24">
        <f>X640*(1+Y$618)^($E630*Y$619)*(1+Y$620)*IF(Rebate_Industry!X$272&lt;=0,1,Rebate_Industry!Y$272/Rebate_Industry!X$272)^$F630*(IF(X613&lt;=0,1,Y613/X613)^$G630/(1+$H630+$I630))^(1+$F630)</f>
        <v>0</v>
      </c>
      <c r="Z640" s="24">
        <f>Y640*(1+Z$618)^($E630*Z$619)*(1+Z$620)*IF(Rebate_Industry!Y$272&lt;=0,1,Rebate_Industry!Z$272/Rebate_Industry!Y$272)^$F630*(IF(Y613&lt;=0,1,Z613/Y613)^$G630/(1+$H630+$I630))^(1+$F630)</f>
        <v>0</v>
      </c>
      <c r="AA640" s="24">
        <f>Z640*(1+AA$618)^($E630*AA$619)*(1+AA$620)*IF(Rebate_Industry!Z$272&lt;=0,1,Rebate_Industry!AA$272/Rebate_Industry!Z$272)^$F630*(IF(Z613&lt;=0,1,AA613/Z613)^$G630/(1+$H630+$I630))^(1+$F630)</f>
        <v>0</v>
      </c>
      <c r="AB640" s="24">
        <f>AA640*(1+AB$618)^($E630*AB$619)*(1+AB$620)*IF(Rebate_Industry!AA$272&lt;=0,1,Rebate_Industry!AB$272/Rebate_Industry!AA$272)^$F630*(IF(AA613&lt;=0,1,AB613/AA613)^$G630/(1+$H630+$I630))^(1+$F630)</f>
        <v>0</v>
      </c>
      <c r="AC640" s="24">
        <f>AB640*(1+AC$618)^($E630*AC$619)*(1+AC$620)*IF(Rebate_Industry!AB$272&lt;=0,1,Rebate_Industry!AC$272/Rebate_Industry!AB$272)^$F630*(IF(AB613&lt;=0,1,AC613/AB613)^$G630/(1+$H630+$I630))^(1+$F630)</f>
        <v>0</v>
      </c>
      <c r="AD640" s="24">
        <f>AC640*(1+AD$618)^($E630*AD$619)*(1+AD$620)*IF(Rebate_Industry!AC$272&lt;=0,1,Rebate_Industry!AD$272/Rebate_Industry!AC$272)^$F630*(IF(AC613&lt;=0,1,AD613/AC613)^$G630/(1+$H630+$I630))^(1+$F630)</f>
        <v>0</v>
      </c>
      <c r="AE640" s="24">
        <f>AD640*(1+AE$618)^($E630*AE$619)*(1+AE$620)*IF(Rebate_Industry!AD$272&lt;=0,1,Rebate_Industry!AE$272/Rebate_Industry!AD$272)^$F630*(IF(AD613&lt;=0,1,AE613/AD613)^$G630/(1+$H630+$I630))^(1+$F630)</f>
        <v>0</v>
      </c>
    </row>
    <row r="641" spans="1:35" x14ac:dyDescent="0.45">
      <c r="B641" s="14" t="s">
        <v>69</v>
      </c>
      <c r="C641" s="14" t="str">
        <f t="shared" si="190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I641" t="s">
        <v>2426</v>
      </c>
      <c r="L641" s="47">
        <f>INDEX(Data_Energy!$D$3:$U$22,MATCH($B641,Data_Energy!$C$3:$C$22,0),MATCH($C641,Data_Energy!$D$2:$U$2,0))</f>
        <v>0</v>
      </c>
      <c r="M641" s="24">
        <f>L641*(1+M$618)^($E631*M$619)*(1+M$620)*IF(Rebate_Industry!L$273&lt;=0,1,Rebate_Industry!M$273/Rebate_Industry!L$273)^$F631*(IF(L614&lt;=0,1,M614/L614)^$G631/(1+$H631+$I631))^(1+$F631)</f>
        <v>0</v>
      </c>
      <c r="N641" s="24">
        <f>M641*(1+N$618)^($E631*N$619)*(1+N$620)*IF(Rebate_Industry!M$273&lt;=0,1,Rebate_Industry!N$273/Rebate_Industry!M$273)^$F631*(IF(M614&lt;=0,1,N614/M614)^$G631/(1+$H631+$I631))^(1+$F631)</f>
        <v>0</v>
      </c>
      <c r="O641" s="24">
        <f>N641*(1+O$618)^($E631*O$619)*(1+O$620)*IF(Rebate_Industry!N$273&lt;=0,1,Rebate_Industry!O$273/Rebate_Industry!N$273)^$F631*(IF(N614&lt;=0,1,O614/N614)^$G631/(1+$H631+$I631))^(1+$F631)</f>
        <v>0</v>
      </c>
      <c r="P641" s="24">
        <f>O641*(1+P$618)^($E631*P$619)*(1+P$620)*IF(Rebate_Industry!O$273&lt;=0,1,Rebate_Industry!P$273/Rebate_Industry!O$273)^$F631*(IF(O614&lt;=0,1,P614/O614)^$G631/(1+$H631+$I631))^(1+$F631)</f>
        <v>0</v>
      </c>
      <c r="Q641" s="24">
        <f>P641*(1+Q$618)^($E631*Q$619)*(1+Q$620)*IF(Rebate_Industry!P$273&lt;=0,1,Rebate_Industry!Q$273/Rebate_Industry!P$273)^$F631*(IF(P614&lt;=0,1,Q614/P614)^$G631/(1+$H631+$I631))^(1+$F631)</f>
        <v>0</v>
      </c>
      <c r="R641" s="24">
        <f>Q641*(1+R$618)^($E631*R$619)*(1+R$620)*IF(Rebate_Industry!Q$273&lt;=0,1,Rebate_Industry!R$273/Rebate_Industry!Q$273)^$F631*(IF(Q614&lt;=0,1,R614/Q614)^$G631/(1+$H631+$I631))^(1+$F631)</f>
        <v>0</v>
      </c>
      <c r="S641" s="24">
        <f>R641*(1+S$618)^($E631*S$619)*(1+S$620)*IF(Rebate_Industry!R$273&lt;=0,1,Rebate_Industry!S$273/Rebate_Industry!R$273)^$F631*(IF(R614&lt;=0,1,S614/R614)^$G631/(1+$H631+$I631))^(1+$F631)</f>
        <v>0</v>
      </c>
      <c r="T641" s="24">
        <f>S641*(1+T$618)^($E631*T$619)*(1+T$620)*IF(Rebate_Industry!S$273&lt;=0,1,Rebate_Industry!T$273/Rebate_Industry!S$273)^$F631*(IF(S614&lt;=0,1,T614/S614)^$G631/(1+$H631+$I631))^(1+$F631)</f>
        <v>0</v>
      </c>
      <c r="U641" s="24">
        <f>T641*(1+U$618)^($E631*U$619)*(1+U$620)*IF(Rebate_Industry!T$273&lt;=0,1,Rebate_Industry!U$273/Rebate_Industry!T$273)^$F631*(IF(T614&lt;=0,1,U614/T614)^$G631/(1+$H631+$I631))^(1+$F631)</f>
        <v>0</v>
      </c>
      <c r="V641" s="24">
        <f>U641*(1+V$618)^($E631*V$619)*(1+V$620)*IF(Rebate_Industry!U$273&lt;=0,1,Rebate_Industry!V$273/Rebate_Industry!U$273)^$F631*(IF(U614&lt;=0,1,V614/U614)^$G631/(1+$H631+$I631))^(1+$F631)</f>
        <v>0</v>
      </c>
      <c r="W641" s="24">
        <f>V641*(1+W$618)^($E631*W$619)*(1+W$620)*IF(Rebate_Industry!V$273&lt;=0,1,Rebate_Industry!W$273/Rebate_Industry!V$273)^$F631*(IF(V614&lt;=0,1,W614/V614)^$G631/(1+$H631+$I631))^(1+$F631)</f>
        <v>0</v>
      </c>
      <c r="X641" s="24">
        <f>W641*(1+X$618)^($E631*X$619)*(1+X$620)*IF(Rebate_Industry!W$273&lt;=0,1,Rebate_Industry!X$273/Rebate_Industry!W$273)^$F631*(IF(W614&lt;=0,1,X614/W614)^$G631/(1+$H631+$I631))^(1+$F631)</f>
        <v>0</v>
      </c>
      <c r="Y641" s="24">
        <f>X641*(1+Y$618)^($E631*Y$619)*(1+Y$620)*IF(Rebate_Industry!X$273&lt;=0,1,Rebate_Industry!Y$273/Rebate_Industry!X$273)^$F631*(IF(X614&lt;=0,1,Y614/X614)^$G631/(1+$H631+$I631))^(1+$F631)</f>
        <v>0</v>
      </c>
      <c r="Z641" s="24">
        <f>Y641*(1+Z$618)^($E631*Z$619)*(1+Z$620)*IF(Rebate_Industry!Y$273&lt;=0,1,Rebate_Industry!Z$273/Rebate_Industry!Y$273)^$F631*(IF(Y614&lt;=0,1,Z614/Y614)^$G631/(1+$H631+$I631))^(1+$F631)</f>
        <v>0</v>
      </c>
      <c r="AA641" s="24">
        <f>Z641*(1+AA$618)^($E631*AA$619)*(1+AA$620)*IF(Rebate_Industry!Z$273&lt;=0,1,Rebate_Industry!AA$273/Rebate_Industry!Z$273)^$F631*(IF(Z614&lt;=0,1,AA614/Z614)^$G631/(1+$H631+$I631))^(1+$F631)</f>
        <v>0</v>
      </c>
      <c r="AB641" s="24">
        <f>AA641*(1+AB$618)^($E631*AB$619)*(1+AB$620)*IF(Rebate_Industry!AA$273&lt;=0,1,Rebate_Industry!AB$273/Rebate_Industry!AA$273)^$F631*(IF(AA614&lt;=0,1,AB614/AA614)^$G631/(1+$H631+$I631))^(1+$F631)</f>
        <v>0</v>
      </c>
      <c r="AC641" s="24">
        <f>AB641*(1+AC$618)^($E631*AC$619)*(1+AC$620)*IF(Rebate_Industry!AB$273&lt;=0,1,Rebate_Industry!AC$273/Rebate_Industry!AB$273)^$F631*(IF(AB614&lt;=0,1,AC614/AB614)^$G631/(1+$H631+$I631))^(1+$F631)</f>
        <v>0</v>
      </c>
      <c r="AD641" s="24">
        <f>AC641*(1+AD$618)^($E631*AD$619)*(1+AD$620)*IF(Rebate_Industry!AC$273&lt;=0,1,Rebate_Industry!AD$273/Rebate_Industry!AC$273)^$F631*(IF(AC614&lt;=0,1,AD614/AC614)^$G631/(1+$H631+$I631))^(1+$F631)</f>
        <v>0</v>
      </c>
      <c r="AE641" s="24">
        <f>AD641*(1+AE$618)^($E631*AE$619)*(1+AE$620)*IF(Rebate_Industry!AD$273&lt;=0,1,Rebate_Industry!AE$273/Rebate_Industry!AD$273)^$F631*(IF(AD614&lt;=0,1,AE614/AD614)^$G631/(1+$H631+$I631))^(1+$F631)</f>
        <v>0</v>
      </c>
    </row>
    <row r="642" spans="1:35" x14ac:dyDescent="0.45">
      <c r="B642" s="14" t="s">
        <v>110</v>
      </c>
      <c r="C642" s="14" t="str">
        <f t="shared" si="190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191">SUM(L633:L641)</f>
        <v>0</v>
      </c>
      <c r="M642" s="26">
        <f t="shared" si="191"/>
        <v>0</v>
      </c>
      <c r="N642" s="26">
        <f t="shared" si="191"/>
        <v>0</v>
      </c>
      <c r="O642" s="26">
        <f t="shared" si="191"/>
        <v>0</v>
      </c>
      <c r="P642" s="26">
        <f t="shared" si="191"/>
        <v>0</v>
      </c>
      <c r="Q642" s="26">
        <f t="shared" si="191"/>
        <v>0</v>
      </c>
      <c r="R642" s="26">
        <f t="shared" si="191"/>
        <v>0</v>
      </c>
      <c r="S642" s="26">
        <f t="shared" si="191"/>
        <v>0</v>
      </c>
      <c r="T642" s="26">
        <f t="shared" si="191"/>
        <v>0</v>
      </c>
      <c r="U642" s="26">
        <f t="shared" si="191"/>
        <v>0</v>
      </c>
      <c r="V642" s="26">
        <f t="shared" si="191"/>
        <v>0</v>
      </c>
      <c r="W642" s="26">
        <f t="shared" si="191"/>
        <v>0</v>
      </c>
      <c r="X642" s="26">
        <f t="shared" si="191"/>
        <v>0</v>
      </c>
      <c r="Y642" s="26">
        <f t="shared" si="191"/>
        <v>0</v>
      </c>
      <c r="Z642" s="26">
        <f t="shared" si="191"/>
        <v>0</v>
      </c>
      <c r="AA642" s="26">
        <f t="shared" si="191"/>
        <v>0</v>
      </c>
      <c r="AB642" s="26">
        <f t="shared" si="191"/>
        <v>0</v>
      </c>
      <c r="AC642" s="26">
        <f t="shared" si="191"/>
        <v>0</v>
      </c>
      <c r="AD642" s="26">
        <f t="shared" si="191"/>
        <v>0</v>
      </c>
      <c r="AE642" s="26">
        <f t="shared" si="191"/>
        <v>0</v>
      </c>
    </row>
    <row r="644" spans="1:35" x14ac:dyDescent="0.45">
      <c r="A644" s="11"/>
      <c r="B644" s="6" t="s">
        <v>1405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1406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192">L739</f>
        <v>2022</v>
      </c>
      <c r="M645" s="74">
        <f t="shared" si="192"/>
        <v>2023</v>
      </c>
      <c r="N645" s="74">
        <f t="shared" si="192"/>
        <v>2024</v>
      </c>
      <c r="O645" s="74">
        <f t="shared" si="192"/>
        <v>2025</v>
      </c>
      <c r="P645" s="74">
        <f t="shared" si="192"/>
        <v>2026</v>
      </c>
      <c r="Q645" s="74">
        <f t="shared" si="192"/>
        <v>2027</v>
      </c>
      <c r="R645" s="74">
        <f t="shared" si="192"/>
        <v>2028</v>
      </c>
      <c r="S645" s="74">
        <f t="shared" si="192"/>
        <v>2029</v>
      </c>
      <c r="T645" s="74">
        <f t="shared" si="192"/>
        <v>2030</v>
      </c>
      <c r="U645" s="74">
        <f t="shared" si="192"/>
        <v>2031</v>
      </c>
      <c r="V645" s="74">
        <f t="shared" si="192"/>
        <v>2032</v>
      </c>
      <c r="W645" s="74">
        <f t="shared" si="192"/>
        <v>2033</v>
      </c>
      <c r="X645" s="74">
        <f t="shared" si="192"/>
        <v>2034</v>
      </c>
      <c r="Y645" s="74">
        <f t="shared" si="192"/>
        <v>2035</v>
      </c>
      <c r="Z645" s="74">
        <f t="shared" si="192"/>
        <v>2036</v>
      </c>
      <c r="AA645" s="74">
        <f t="shared" si="192"/>
        <v>2037</v>
      </c>
      <c r="AB645" s="74">
        <f t="shared" si="192"/>
        <v>2038</v>
      </c>
      <c r="AC645" s="74">
        <f t="shared" si="192"/>
        <v>2039</v>
      </c>
      <c r="AD645" s="74">
        <f t="shared" si="192"/>
        <v>2040</v>
      </c>
      <c r="AE645" s="74">
        <f t="shared" si="192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1407</v>
      </c>
      <c r="E646" s="71" t="s">
        <v>1398</v>
      </c>
      <c r="F646" s="71" t="s">
        <v>26</v>
      </c>
      <c r="G646" s="86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1408</v>
      </c>
      <c r="E647" s="70" t="s">
        <v>1398</v>
      </c>
      <c r="F647" s="70" t="s">
        <v>26</v>
      </c>
      <c r="G647" s="87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1409</v>
      </c>
      <c r="E648" s="70" t="s">
        <v>1410</v>
      </c>
      <c r="F648" s="70" t="s">
        <v>26</v>
      </c>
      <c r="G648" s="87" t="str">
        <f>Settings!$B$3&amp;".mit.fundsp."&amp;$J$404</f>
        <v>egy.mit.fundsp.2</v>
      </c>
      <c r="H648" s="70"/>
      <c r="I648" s="70" t="s">
        <v>2888</v>
      </c>
      <c r="J648" s="70"/>
      <c r="K648" s="70"/>
      <c r="L648" s="96">
        <f>INDEX(Data_Prices!L:L,MATCH($G648,Data_Prices!$A:$A,0))</f>
        <v>0</v>
      </c>
      <c r="M648" s="96">
        <f>INDEX(Data_Prices!M:M,MATCH($G648,Data_Prices!$A:$A,0))</f>
        <v>0</v>
      </c>
      <c r="N648" s="96">
        <f>INDEX(Data_Prices!N:N,MATCH($G648,Data_Prices!$A:$A,0))</f>
        <v>0</v>
      </c>
      <c r="O648" s="96">
        <f>INDEX(Data_Prices!O:O,MATCH($G648,Data_Prices!$A:$A,0))</f>
        <v>0</v>
      </c>
      <c r="P648" s="96">
        <f>INDEX(Data_Prices!P:P,MATCH($G648,Data_Prices!$A:$A,0))</f>
        <v>0</v>
      </c>
      <c r="Q648" s="96">
        <f>INDEX(Data_Prices!Q:Q,MATCH($G648,Data_Prices!$A:$A,0))</f>
        <v>0</v>
      </c>
      <c r="R648" s="96">
        <f>INDEX(Data_Prices!R:R,MATCH($G648,Data_Prices!$A:$A,0))</f>
        <v>0</v>
      </c>
      <c r="S648" s="96">
        <f>INDEX(Data_Prices!S:S,MATCH($G648,Data_Prices!$A:$A,0))</f>
        <v>0</v>
      </c>
      <c r="T648" s="96">
        <f>INDEX(Data_Prices!T:T,MATCH($G648,Data_Prices!$A:$A,0))</f>
        <v>0</v>
      </c>
      <c r="U648" s="96">
        <f>INDEX(Data_Prices!U:U,MATCH($G648,Data_Prices!$A:$A,0))</f>
        <v>0</v>
      </c>
      <c r="V648" s="96">
        <f>INDEX(Data_Prices!V:V,MATCH($G648,Data_Prices!$A:$A,0))</f>
        <v>0</v>
      </c>
      <c r="W648" s="96">
        <f>INDEX(Data_Prices!W:W,MATCH($G648,Data_Prices!$A:$A,0))</f>
        <v>0</v>
      </c>
      <c r="X648" s="96">
        <f>INDEX(Data_Prices!X:X,MATCH($G648,Data_Prices!$A:$A,0))</f>
        <v>0</v>
      </c>
      <c r="Y648" s="96">
        <f>INDEX(Data_Prices!Y:Y,MATCH($G648,Data_Prices!$A:$A,0))</f>
        <v>0</v>
      </c>
      <c r="Z648" s="96">
        <f>INDEX(Data_Prices!Z:Z,MATCH($G648,Data_Prices!$A:$A,0))</f>
        <v>0</v>
      </c>
      <c r="AA648" s="96">
        <f>INDEX(Data_Prices!AA:AA,MATCH($G648,Data_Prices!$A:$A,0))</f>
        <v>0</v>
      </c>
      <c r="AB648" s="96">
        <f>INDEX(Data_Prices!AB:AB,MATCH($G648,Data_Prices!$A:$A,0))</f>
        <v>0</v>
      </c>
      <c r="AC648" s="96">
        <f>INDEX(Data_Prices!AC:AC,MATCH($G648,Data_Prices!$A:$A,0))</f>
        <v>0</v>
      </c>
      <c r="AD648" s="96">
        <f>INDEX(Data_Prices!AD:AD,MATCH($G648,Data_Prices!$A:$A,0))</f>
        <v>0</v>
      </c>
      <c r="AE648" s="96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1411</v>
      </c>
      <c r="E649" s="70" t="s">
        <v>1844</v>
      </c>
      <c r="F649" s="70" t="s">
        <v>26</v>
      </c>
      <c r="G649" s="87" t="str">
        <f>Settings!$B$3&amp;".mit.fundsh."&amp;$J$404</f>
        <v>egy.mit.fundsh.2</v>
      </c>
      <c r="H649" s="70"/>
      <c r="I649" s="70" t="s">
        <v>2887</v>
      </c>
      <c r="J649" s="70"/>
      <c r="K649" s="70"/>
      <c r="L649" s="112">
        <f>Fund_Industry!L$329</f>
        <v>0</v>
      </c>
      <c r="M649" s="112">
        <f>Fund_Industry!M$329</f>
        <v>0</v>
      </c>
      <c r="N649" s="112">
        <f>Fund_Industry!N$329</f>
        <v>0</v>
      </c>
      <c r="O649" s="112">
        <f>Fund_Industry!O$329</f>
        <v>0</v>
      </c>
      <c r="P649" s="112">
        <f>Fund_Industry!P$329</f>
        <v>0</v>
      </c>
      <c r="Q649" s="112">
        <f>Fund_Industry!Q$329</f>
        <v>0</v>
      </c>
      <c r="R649" s="112">
        <f>Fund_Industry!R$329</f>
        <v>0</v>
      </c>
      <c r="S649" s="112">
        <f>Fund_Industry!S$329</f>
        <v>0</v>
      </c>
      <c r="T649" s="112">
        <f>Fund_Industry!T$329</f>
        <v>0</v>
      </c>
      <c r="U649" s="112">
        <f>Fund_Industry!U$329</f>
        <v>0</v>
      </c>
      <c r="V649" s="112">
        <f>Fund_Industry!V$329</f>
        <v>0</v>
      </c>
      <c r="W649" s="112">
        <f>Fund_Industry!W$329</f>
        <v>0</v>
      </c>
      <c r="X649" s="112">
        <f>Fund_Industry!X$329</f>
        <v>0</v>
      </c>
      <c r="Y649" s="112">
        <f>Fund_Industry!Y$329</f>
        <v>0</v>
      </c>
      <c r="Z649" s="112">
        <f>Fund_Industry!Z$329</f>
        <v>0</v>
      </c>
      <c r="AA649" s="112">
        <f>Fund_Industry!AA$329</f>
        <v>0</v>
      </c>
      <c r="AB649" s="112">
        <f>Fund_Industry!AB$329</f>
        <v>0</v>
      </c>
      <c r="AC649" s="112">
        <f>Fund_Industry!AC$329</f>
        <v>0</v>
      </c>
      <c r="AD649" s="112">
        <f>Fund_Industry!AD$329</f>
        <v>0</v>
      </c>
      <c r="AE649" s="112">
        <f>Fund_Industry!AE$329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1845</v>
      </c>
      <c r="E650" s="70" t="s">
        <v>1398</v>
      </c>
      <c r="F650" s="70" t="s">
        <v>26</v>
      </c>
      <c r="G650" s="87" t="str">
        <f>Settings!$B$3&amp;".mit.obrrb."&amp;$J$404</f>
        <v>egy.mit.obrrb.2</v>
      </c>
      <c r="H650" s="70"/>
      <c r="I650" s="70" t="s">
        <v>1846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1412</v>
      </c>
      <c r="D651" s="73"/>
      <c r="E651" s="71" t="s">
        <v>1413</v>
      </c>
      <c r="F651" s="71" t="s">
        <v>1414</v>
      </c>
      <c r="G651" s="71" t="s">
        <v>1388</v>
      </c>
      <c r="H651" s="71" t="s">
        <v>1415</v>
      </c>
      <c r="I651" s="71" t="s">
        <v>1416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52"/>
      <c r="C657" s="52" t="s">
        <v>1884</v>
      </c>
      <c r="D657" s="72" t="s">
        <v>1885</v>
      </c>
      <c r="E657" s="72" t="s">
        <v>1852</v>
      </c>
      <c r="F657" s="72"/>
      <c r="G657" s="70" t="s">
        <v>1475</v>
      </c>
      <c r="H657" s="87" t="str">
        <f>Settings!$B$3&amp;".mit.emisfc."&amp;$G657&amp;"."&amp;$J$404</f>
        <v>egy.mit.emisfc.cbam.tot.2</v>
      </c>
      <c r="I657" s="72"/>
      <c r="J657" s="72"/>
      <c r="K657" s="72"/>
      <c r="L657" s="72">
        <f t="shared" ref="L657:AE657" si="193">SUMPRODUCT(L$675:L$682*$H$663:$H$670*EXP(-$E$751:$E$758*L$648))/1000</f>
        <v>17.33923534589551</v>
      </c>
      <c r="M657" s="72">
        <f t="shared" si="193"/>
        <v>17.906085636678021</v>
      </c>
      <c r="N657" s="72">
        <f t="shared" si="193"/>
        <v>18.491797925</v>
      </c>
      <c r="O657" s="72">
        <f t="shared" si="193"/>
        <v>19.097010387799997</v>
      </c>
      <c r="P657" s="72">
        <f t="shared" si="193"/>
        <v>19.722383163766395</v>
      </c>
      <c r="Q657" s="72">
        <f t="shared" si="193"/>
        <v>20.368599123177255</v>
      </c>
      <c r="R657" s="72">
        <f t="shared" si="193"/>
        <v>21.036364665292766</v>
      </c>
      <c r="S657" s="72">
        <f t="shared" si="193"/>
        <v>21.726410544310145</v>
      </c>
      <c r="T657" s="72">
        <f t="shared" si="193"/>
        <v>22.439492724928552</v>
      </c>
      <c r="U657" s="72">
        <f t="shared" si="193"/>
        <v>23.176393268611605</v>
      </c>
      <c r="V657" s="72">
        <f t="shared" si="193"/>
        <v>23.937921251675412</v>
      </c>
      <c r="W657" s="72">
        <f t="shared" si="193"/>
        <v>24.724913716373393</v>
      </c>
      <c r="X657" s="72">
        <f t="shared" si="193"/>
        <v>25.538236656192712</v>
      </c>
      <c r="Y657" s="72">
        <f t="shared" si="193"/>
        <v>26.37878603662384</v>
      </c>
      <c r="Z657" s="72">
        <f t="shared" si="193"/>
        <v>27.247488852711776</v>
      </c>
      <c r="AA657" s="72">
        <f t="shared" si="193"/>
        <v>28.145304224748109</v>
      </c>
      <c r="AB657" s="72">
        <f t="shared" si="193"/>
        <v>29.073224533513493</v>
      </c>
      <c r="AC657" s="72">
        <f t="shared" si="193"/>
        <v>30.032276596534963</v>
      </c>
      <c r="AD657" s="72">
        <f t="shared" si="193"/>
        <v>31.023522886877181</v>
      </c>
      <c r="AE657" s="72">
        <f t="shared" si="193"/>
        <v>32.04806279604545</v>
      </c>
      <c r="AF657" s="70"/>
      <c r="AG657" s="70"/>
      <c r="AH657" s="70"/>
      <c r="AI657" s="70"/>
    </row>
    <row r="658" spans="1:35" x14ac:dyDescent="0.45">
      <c r="A658" s="70"/>
      <c r="B658" s="52"/>
      <c r="C658" s="52"/>
      <c r="D658" s="72" t="s">
        <v>1886</v>
      </c>
      <c r="E658" s="72" t="s">
        <v>1852</v>
      </c>
      <c r="F658" s="72"/>
      <c r="G658" s="70" t="s">
        <v>1475</v>
      </c>
      <c r="H658" s="87" t="str">
        <f>Settings!$B$3&amp;".mit.emisfp."&amp;$G658&amp;"."&amp;$J$404</f>
        <v>egy.mit.emisfp.cbam.tot.2</v>
      </c>
      <c r="I658" s="72"/>
      <c r="J658" s="72"/>
      <c r="K658" s="72"/>
      <c r="L658" s="72">
        <f t="shared" ref="L658:AE658" si="194">SUMPRODUCT(L$675:L$682*$I$663:$I$670*EXP(-$E$751:$E$758*L$648))/1000</f>
        <v>3.9961358410604224</v>
      </c>
      <c r="M658" s="72">
        <f t="shared" si="194"/>
        <v>4.1245083582113056</v>
      </c>
      <c r="N658" s="72">
        <f t="shared" si="194"/>
        <v>4.2574852019999998</v>
      </c>
      <c r="O658" s="72">
        <f t="shared" si="194"/>
        <v>4.3952459933880004</v>
      </c>
      <c r="P658" s="72">
        <f t="shared" si="194"/>
        <v>4.5379777513320727</v>
      </c>
      <c r="Q658" s="72">
        <f t="shared" si="194"/>
        <v>4.685875207178853</v>
      </c>
      <c r="R658" s="72">
        <f t="shared" si="194"/>
        <v>4.8391411326482334</v>
      </c>
      <c r="S658" s="72">
        <f t="shared" si="194"/>
        <v>4.9979866819980412</v>
      </c>
      <c r="T658" s="72">
        <f t="shared" si="194"/>
        <v>5.1626317489885354</v>
      </c>
      <c r="U658" s="72">
        <f t="shared" si="194"/>
        <v>5.3333053392922274</v>
      </c>
      <c r="V658" s="72">
        <f t="shared" si="194"/>
        <v>5.5102459590229422</v>
      </c>
      <c r="W658" s="72">
        <f t="shared" si="194"/>
        <v>5.6937020200874482</v>
      </c>
      <c r="X658" s="72">
        <f t="shared" si="194"/>
        <v>5.8839322630938788</v>
      </c>
      <c r="Y658" s="72">
        <f t="shared" si="194"/>
        <v>6.0812061985832875</v>
      </c>
      <c r="Z658" s="72">
        <f t="shared" si="194"/>
        <v>6.2858045673843232</v>
      </c>
      <c r="AA658" s="72">
        <f t="shared" si="194"/>
        <v>6.4980198209259985</v>
      </c>
      <c r="AB658" s="72">
        <f t="shared" si="194"/>
        <v>6.7181566223801967</v>
      </c>
      <c r="AC658" s="72">
        <f t="shared" si="194"/>
        <v>6.946532369543716</v>
      </c>
      <c r="AD658" s="72">
        <f t="shared" si="194"/>
        <v>7.183477740409562</v>
      </c>
      <c r="AE658" s="72">
        <f t="shared" si="194"/>
        <v>7.4293372624188372</v>
      </c>
      <c r="AF658" s="70"/>
      <c r="AG658" s="70"/>
      <c r="AH658" s="70"/>
      <c r="AI658" s="70"/>
    </row>
    <row r="659" spans="1:35" x14ac:dyDescent="0.45">
      <c r="A659" s="70"/>
      <c r="B659" s="52"/>
      <c r="C659" s="52"/>
      <c r="D659" s="72" t="s">
        <v>1887</v>
      </c>
      <c r="E659" s="72" t="s">
        <v>1852</v>
      </c>
      <c r="F659" s="72"/>
      <c r="G659" s="70" t="s">
        <v>1475</v>
      </c>
      <c r="H659" s="87" t="str">
        <f>Settings!$B$3&amp;".mit.emisnp."&amp;$G659&amp;"."&amp;$J$404</f>
        <v>egy.mit.emisnp.cbam.tot.2</v>
      </c>
      <c r="I659" s="72" t="s">
        <v>2886</v>
      </c>
      <c r="J659" s="72"/>
      <c r="K659" s="72"/>
      <c r="L659" s="72">
        <f t="shared" ref="L659:AE659" si="195">SUMPRODUCT(L$675:L$682*($J$663:$J$670&gt;0)*$J$663:$J$670*(1-$J$672*$F$762:$F$769*(1-EXP(-$E$762:$E$769*($F$709:$F$716*L$707+$G$709:$G$716*L$647+L$648)))))/1000</f>
        <v>25.971762885046314</v>
      </c>
      <c r="M659" s="72">
        <f t="shared" si="195"/>
        <v>26.842539414672931</v>
      </c>
      <c r="N659" s="72">
        <f t="shared" si="195"/>
        <v>27.742760634</v>
      </c>
      <c r="O659" s="72">
        <f t="shared" si="195"/>
        <v>28.673435240928001</v>
      </c>
      <c r="P659" s="72">
        <f t="shared" si="195"/>
        <v>29.635607169743587</v>
      </c>
      <c r="Q659" s="72">
        <f t="shared" si="195"/>
        <v>30.630356857310563</v>
      </c>
      <c r="R659" s="72">
        <f t="shared" si="195"/>
        <v>31.658802556563273</v>
      </c>
      <c r="S659" s="72">
        <f t="shared" si="195"/>
        <v>32.722101699159616</v>
      </c>
      <c r="T659" s="72">
        <f t="shared" si="195"/>
        <v>33.821452309227929</v>
      </c>
      <c r="U659" s="72">
        <f t="shared" si="195"/>
        <v>34.958094470222733</v>
      </c>
      <c r="V659" s="72">
        <f t="shared" si="195"/>
        <v>36.133311846988548</v>
      </c>
      <c r="W659" s="72">
        <f t="shared" si="195"/>
        <v>37.348433265219015</v>
      </c>
      <c r="X659" s="72">
        <f t="shared" si="195"/>
        <v>38.60483435059016</v>
      </c>
      <c r="Y659" s="72">
        <f t="shared" si="195"/>
        <v>39.903939229943205</v>
      </c>
      <c r="Z659" s="72">
        <f t="shared" si="195"/>
        <v>41.247222296991801</v>
      </c>
      <c r="AA659" s="72">
        <f t="shared" si="195"/>
        <v>42.636210045134121</v>
      </c>
      <c r="AB659" s="72">
        <f t="shared" si="195"/>
        <v>44.072482970059113</v>
      </c>
      <c r="AC659" s="72">
        <f t="shared" si="195"/>
        <v>45.557677544951083</v>
      </c>
      <c r="AD659" s="72">
        <f t="shared" si="195"/>
        <v>47.09348827121579</v>
      </c>
      <c r="AE659" s="72">
        <f t="shared" si="195"/>
        <v>48.681669807777041</v>
      </c>
      <c r="AF659" s="70"/>
      <c r="AG659" s="70"/>
      <c r="AH659" s="70"/>
      <c r="AI659" s="70"/>
    </row>
    <row r="660" spans="1:35" x14ac:dyDescent="0.45">
      <c r="A660" s="70"/>
      <c r="B660" s="52"/>
      <c r="C660" s="52"/>
      <c r="D660" s="72" t="s">
        <v>1888</v>
      </c>
      <c r="E660" s="72" t="s">
        <v>1852</v>
      </c>
      <c r="F660" s="72"/>
      <c r="G660" s="70" t="s">
        <v>1475</v>
      </c>
      <c r="H660" s="87" t="str">
        <f>Settings!$B$3&amp;".mit.emisno."&amp;$G660&amp;"."&amp;$J$404</f>
        <v>egy.mit.emisno.cbam.tot.2</v>
      </c>
      <c r="I660" s="72"/>
      <c r="J660" s="72"/>
      <c r="K660" s="72"/>
      <c r="L660" s="72">
        <f t="shared" ref="L660:AE660" si="196">SUMPRODUCT(L$675:L$682*($K$663:$K$670&gt;0)*$K$663:$K$670*(1-$K$672*$H$762:$H$769*(1-EXP(-$G$762:$G$769*($F$709:$F$716*L$707+$G$709:$G$716*L$647+L$648)))))/1000</f>
        <v>0.77985726154224555</v>
      </c>
      <c r="M660" s="72">
        <f t="shared" si="196"/>
        <v>0.80389860277682457</v>
      </c>
      <c r="N660" s="72">
        <f t="shared" si="196"/>
        <v>0.82884750000000007</v>
      </c>
      <c r="O660" s="72">
        <f t="shared" si="196"/>
        <v>0.85474474500000008</v>
      </c>
      <c r="P660" s="72">
        <f t="shared" si="196"/>
        <v>0.88163317238999994</v>
      </c>
      <c r="Q660" s="72">
        <f t="shared" si="196"/>
        <v>0.90955776754758011</v>
      </c>
      <c r="R660" s="72">
        <f t="shared" si="196"/>
        <v>0.93856578039370175</v>
      </c>
      <c r="S660" s="72">
        <f t="shared" si="196"/>
        <v>0.96870684533024232</v>
      </c>
      <c r="T660" s="72">
        <f t="shared" si="196"/>
        <v>1.0000331076726199</v>
      </c>
      <c r="U660" s="72">
        <f t="shared" si="196"/>
        <v>1.0325993569325114</v>
      </c>
      <c r="V660" s="72">
        <f t="shared" si="196"/>
        <v>1.0664631673251306</v>
      </c>
      <c r="W660" s="72">
        <f t="shared" si="196"/>
        <v>1.1016850458960927</v>
      </c>
      <c r="X660" s="72">
        <f t="shared" si="196"/>
        <v>1.138328588684556</v>
      </c>
      <c r="Y660" s="72">
        <f t="shared" si="196"/>
        <v>1.1764606453621964</v>
      </c>
      <c r="Z660" s="72">
        <f t="shared" si="196"/>
        <v>1.216151492811707</v>
      </c>
      <c r="AA660" s="72">
        <f t="shared" si="196"/>
        <v>1.2574750181339414</v>
      </c>
      <c r="AB660" s="72">
        <f t="shared" si="196"/>
        <v>1.3005089115996857</v>
      </c>
      <c r="AC660" s="72">
        <f t="shared" si="196"/>
        <v>1.3453348700903502</v>
      </c>
      <c r="AD660" s="72">
        <f t="shared" si="196"/>
        <v>1.3920388116017608</v>
      </c>
      <c r="AE660" s="72">
        <f t="shared" si="196"/>
        <v>1.4407111014167402</v>
      </c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91" t="s">
        <v>1331</v>
      </c>
      <c r="N662" s="91" t="s">
        <v>1332</v>
      </c>
      <c r="O662" s="70" t="s">
        <v>1333</v>
      </c>
      <c r="P662" s="91" t="s">
        <v>1334</v>
      </c>
      <c r="Q662" s="91" t="s">
        <v>1335</v>
      </c>
      <c r="R662" s="91" t="s">
        <v>1336</v>
      </c>
      <c r="S662" s="91" t="s">
        <v>1337</v>
      </c>
      <c r="T662" s="91" t="s">
        <v>1338</v>
      </c>
      <c r="U662" s="91" t="s">
        <v>1339</v>
      </c>
      <c r="V662" s="91" t="s">
        <v>1340</v>
      </c>
      <c r="W662" s="91" t="s">
        <v>1341</v>
      </c>
      <c r="X662" s="91" t="s">
        <v>1342</v>
      </c>
      <c r="Y662" s="91" t="s">
        <v>1343</v>
      </c>
      <c r="Z662" s="91" t="s">
        <v>1344</v>
      </c>
      <c r="AA662" s="91" t="s">
        <v>1345</v>
      </c>
      <c r="AB662" s="91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0.17797725</v>
      </c>
      <c r="I663" s="76">
        <f>'Manual inputs'!I$30</f>
        <v>0.39301352000000001</v>
      </c>
      <c r="J663" s="76">
        <f>'Manual inputs'!J$30</f>
        <v>3.7901020000000001E-2</v>
      </c>
      <c r="K663" s="76">
        <f>'Manual inputs'!K$30</f>
        <v>0</v>
      </c>
      <c r="L663" s="76">
        <f t="shared" ref="L663:L670" si="197">SUM(H663:K663)</f>
        <v>0.60889178999999993</v>
      </c>
      <c r="M663" s="76">
        <f>'Manual inputs'!M$30</f>
        <v>0</v>
      </c>
      <c r="N663" s="76">
        <f>'Manual inputs'!N$30</f>
        <v>0.60889178999999993</v>
      </c>
      <c r="O663" s="76">
        <f>'Manual inputs'!O$30</f>
        <v>0.25</v>
      </c>
      <c r="P663" s="70">
        <f>'Manual inputs'!P$30</f>
        <v>0</v>
      </c>
      <c r="Q663" s="76">
        <f t="shared" ref="Q663:Q670" si="198">N663+O663</f>
        <v>0.85889178999999993</v>
      </c>
      <c r="R663" s="76">
        <f t="shared" ref="R663:R670" si="199">N663+O663*P663</f>
        <v>0.60889178999999993</v>
      </c>
      <c r="S663" s="77">
        <f>'Manual inputs'!S$30</f>
        <v>3.1720000000000002</v>
      </c>
      <c r="T663" s="77">
        <f>'Manual inputs'!T$30</f>
        <v>56.1</v>
      </c>
      <c r="U663" s="77">
        <f>'Manual inputs'!U$30</f>
        <v>7.0060000000000002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-1.3931082100000003</v>
      </c>
      <c r="AB663" s="79">
        <f>'Manual inputs'!AB$30</f>
        <v>0.12789178999999995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v>
      </c>
      <c r="AE663" s="70" t="str">
        <f>'Manual inputs'!AE$30</f>
        <v>v0.15 EF: Egypt CBAM EF v0.1 (egypt+mitigation/EmissionFactors/EGY_CBAM_EF_v0.1.xlsx Products; EGY_CBAM_EF_Methodology_v0.1.md). Prior: 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1355</v>
      </c>
      <c r="E664" s="70" t="s">
        <v>1351</v>
      </c>
      <c r="F664" s="70" t="s">
        <v>1356</v>
      </c>
      <c r="G664" s="70" t="s">
        <v>1357</v>
      </c>
      <c r="H664" s="76">
        <f>'Manual inputs'!H$31</f>
        <v>4.4880000000000003E-2</v>
      </c>
      <c r="I664" s="76">
        <f>'Manual inputs'!I$31</f>
        <v>0</v>
      </c>
      <c r="J664" s="76">
        <f>'Manual inputs'!J$31</f>
        <v>4.3981149999999997E-2</v>
      </c>
      <c r="K664" s="76">
        <f>'Manual inputs'!K$31</f>
        <v>0</v>
      </c>
      <c r="L664" s="76">
        <f t="shared" si="197"/>
        <v>8.886115E-2</v>
      </c>
      <c r="M664" s="76">
        <f>'Manual inputs'!M$31</f>
        <v>0</v>
      </c>
      <c r="N664" s="76">
        <f>'Manual inputs'!N$31</f>
        <v>8.886115E-2</v>
      </c>
      <c r="O664" s="76">
        <f>'Manual inputs'!O$31</f>
        <v>0.25</v>
      </c>
      <c r="P664" s="70">
        <f>'Manual inputs'!P$31</f>
        <v>0</v>
      </c>
      <c r="Q664" s="76">
        <f t="shared" si="198"/>
        <v>0.33886115</v>
      </c>
      <c r="R664" s="76">
        <f t="shared" si="199"/>
        <v>8.886115E-2</v>
      </c>
      <c r="S664" s="77">
        <f>'Manual inputs'!S$31</f>
        <v>0.8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-0.70313884999999998</v>
      </c>
      <c r="AB664" s="79">
        <f>'Manual inputs'!AB$31</f>
        <v>1.6861150000000005E-2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v0.15 EF: Egypt CBAM EF v0.1 (egypt+mitigation/EmissionFactors/EGY_CBAM_EF_v0.1.xlsx Products; EGY_CBAM_EF_Methodology_v0.1.md). Prior: S1.fc: Est: IEA Egypt sector average; WSA 2023 scrap-EAF range 2-3 GJ/t. Tota / S1.fp: Auth: no reductant in scrap melting process</v>
      </c>
      <c r="AE664" s="70" t="str">
        <f>'Manual inputs'!AE$31</f>
        <v>v0.15 EF: Egypt CBAM EF v0.1 (egypt+mitigation/EmissionFactors/EGY_CBAM_EF_v0.1.xlsx Products; EGY_CBAM_EF_Methodology_v0.1.md). Prior: 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1359</v>
      </c>
      <c r="E665" s="70" t="s">
        <v>1351</v>
      </c>
      <c r="F665" s="70" t="s">
        <v>1360</v>
      </c>
      <c r="G665" s="70" t="s">
        <v>1361</v>
      </c>
      <c r="H665" s="76">
        <f>'Manual inputs'!H$32</f>
        <v>0.16830000000000001</v>
      </c>
      <c r="I665" s="76">
        <f>'Manual inputs'!I$32</f>
        <v>1.2566802699999999</v>
      </c>
      <c r="J665" s="76">
        <f>'Manual inputs'!J$32</f>
        <v>5.276542E-2</v>
      </c>
      <c r="K665" s="76">
        <f>'Manual inputs'!K$32</f>
        <v>0</v>
      </c>
      <c r="L665" s="76">
        <f t="shared" si="197"/>
        <v>1.4777456899999999</v>
      </c>
      <c r="M665" s="76">
        <f>'Manual inputs'!M$32</f>
        <v>0</v>
      </c>
      <c r="N665" s="76">
        <f>'Manual inputs'!N$32</f>
        <v>1.4777456899999999</v>
      </c>
      <c r="O665" s="76">
        <f>'Manual inputs'!O$32</f>
        <v>0.1875</v>
      </c>
      <c r="P665" s="70">
        <f>'Manual inputs'!P$32</f>
        <v>0</v>
      </c>
      <c r="Q665" s="76">
        <f t="shared" si="198"/>
        <v>1.6652456899999999</v>
      </c>
      <c r="R665" s="76">
        <f t="shared" si="199"/>
        <v>1.4777456899999999</v>
      </c>
      <c r="S665" s="77">
        <f>'Manual inputs'!S$32</f>
        <v>1.7509999999999999</v>
      </c>
      <c r="T665" s="77">
        <f>'Manual inputs'!T$32</f>
        <v>96.1</v>
      </c>
      <c r="U665" s="77">
        <f>'Manual inputs'!U$32</f>
        <v>13.077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-1.6022543100000002</v>
      </c>
      <c r="AB665" s="79">
        <f>'Manual inputs'!AB$32</f>
        <v>0.10774568999999978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v>
      </c>
      <c r="AE665" s="70" t="str">
        <f>'Manual inputs'!AE$32</f>
        <v>v0.15 EF: Egypt CBAM EF v0.1 (egypt+mitigation/EmissionFactors/EGY_CBAM_EF_v0.1.xlsx Products; EGY_CBAM_EF_Methodology_v0.1.md). Prior: 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1363</v>
      </c>
      <c r="E666" s="70" t="s">
        <v>1364</v>
      </c>
      <c r="F666" s="70" t="s">
        <v>1365</v>
      </c>
      <c r="G666" s="70" t="s">
        <v>1366</v>
      </c>
      <c r="H666" s="76">
        <f>'Manual inputs'!H$33</f>
        <v>0.31356849999999997</v>
      </c>
      <c r="I666" s="76">
        <f>'Manual inputs'!I$33</f>
        <v>0</v>
      </c>
      <c r="J666" s="76">
        <f>'Manual inputs'!J$33</f>
        <v>0.53702616000000003</v>
      </c>
      <c r="K666" s="76">
        <f>'Manual inputs'!K$33</f>
        <v>0</v>
      </c>
      <c r="L666" s="76">
        <f t="shared" si="197"/>
        <v>0.85059466000000006</v>
      </c>
      <c r="M666" s="76">
        <f>'Manual inputs'!M$33</f>
        <v>0</v>
      </c>
      <c r="N666" s="76">
        <f>'Manual inputs'!N$33</f>
        <v>0.85059466000000006</v>
      </c>
      <c r="O666" s="76">
        <f>'Manual inputs'!O$33</f>
        <v>5.6250000000000001E-2</v>
      </c>
      <c r="P666" s="70">
        <f>'Manual inputs'!P$33</f>
        <v>1</v>
      </c>
      <c r="Q666" s="76">
        <f t="shared" si="198"/>
        <v>0.90684466000000008</v>
      </c>
      <c r="R666" s="76">
        <f t="shared" si="199"/>
        <v>0.90684466000000008</v>
      </c>
      <c r="S666" s="77">
        <f>'Manual inputs'!S$33</f>
        <v>3.2629999999999999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-0.83115534000000013</v>
      </c>
      <c r="AB666" s="79">
        <f>'Manual inputs'!AB$33</f>
        <v>0.24084466000000004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v0.15 EF: Egypt CBAM EF v0.1 (egypt+mitigation/EmissionFactors/EGY_CBAM_EF_v0.1.xlsx Products; EGY_CBAM_EF_Methodology_v0.1.md). Prior: S1.fc: Est: IEA Egypt cement sector; CSI/GCCA GNR Egypt 2022. Total AukCoa / S1.fp: Auth: cement production has no chemical reductant fuel</v>
      </c>
      <c r="AE666" s="70" t="str">
        <f>'Manual inputs'!AE$33</f>
        <v>v0.15 EF: Egypt CBAM EF v0.1 (egypt+mitigation/EmissionFactors/EGY_CBAM_EF_v0.1.xlsx Products; EGY_CBAM_EF_Methodology_v0.1.md). Prior: 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1368</v>
      </c>
      <c r="E667" s="70" t="s">
        <v>1369</v>
      </c>
      <c r="F667" s="70" t="s">
        <v>1370</v>
      </c>
      <c r="G667" s="70" t="s">
        <v>1371</v>
      </c>
      <c r="H667" s="76">
        <f>'Manual inputs'!H$34</f>
        <v>0.71247000000000005</v>
      </c>
      <c r="I667" s="76">
        <f>'Manual inputs'!I$34</f>
        <v>1.2622500000000001</v>
      </c>
      <c r="J667" s="76">
        <f>'Manual inputs'!J$34</f>
        <v>0</v>
      </c>
      <c r="K667" s="76">
        <f>'Manual inputs'!K$34</f>
        <v>0</v>
      </c>
      <c r="L667" s="76">
        <f t="shared" si="197"/>
        <v>1.97472</v>
      </c>
      <c r="M667" s="76">
        <f>'Manual inputs'!M$34</f>
        <v>0</v>
      </c>
      <c r="N667" s="76">
        <f>'Manual inputs'!N$34</f>
        <v>1.97472</v>
      </c>
      <c r="O667" s="76">
        <f>'Manual inputs'!O$34</f>
        <v>3.7499999999999999E-2</v>
      </c>
      <c r="P667" s="70">
        <f>'Manual inputs'!P$34</f>
        <v>1</v>
      </c>
      <c r="Q667" s="76">
        <f t="shared" si="198"/>
        <v>2.0122200000000001</v>
      </c>
      <c r="R667" s="76">
        <f t="shared" si="199"/>
        <v>2.0122200000000001</v>
      </c>
      <c r="S667" s="77">
        <f>'Manual inputs'!S$34</f>
        <v>12.7</v>
      </c>
      <c r="T667" s="77">
        <f>'Manual inputs'!T$34</f>
        <v>56.1</v>
      </c>
      <c r="U667" s="77">
        <f>'Manual inputs'!U$34</f>
        <v>22.5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-5.8279999999999887E-2</v>
      </c>
      <c r="AB667" s="79">
        <f>'Manual inputs'!AB$34</f>
        <v>0.52822000000000013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v>
      </c>
      <c r="AE667" s="70" t="str">
        <f>'Manual inputs'!AE$34</f>
        <v>v0.15 EF: Egypt CBAM EF v0.1 (egypt+mitigation/EmissionFactors/EGY_CBAM_EF_v0.1.xlsx Products; EGY_CBAM_EF_Methodology_v0.1.md). Prior: 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1373</v>
      </c>
      <c r="E668" s="70" t="s">
        <v>1374</v>
      </c>
      <c r="F668" s="70" t="s">
        <v>1375</v>
      </c>
      <c r="G668" s="70" t="s">
        <v>1376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0</v>
      </c>
      <c r="K668" s="76">
        <f>'Manual inputs'!K$35</f>
        <v>0</v>
      </c>
      <c r="L668" s="76">
        <f t="shared" si="197"/>
        <v>0.11219999999999999</v>
      </c>
      <c r="M668" s="76">
        <f>'Manual inputs'!M$35</f>
        <v>1.1255904000000001</v>
      </c>
      <c r="N668" s="76">
        <f>'Manual inputs'!N$35</f>
        <v>1.2377904000000002</v>
      </c>
      <c r="O668" s="76">
        <f>'Manual inputs'!O$35</f>
        <v>3.7499999999999999E-2</v>
      </c>
      <c r="P668" s="70">
        <f>'Manual inputs'!P$35</f>
        <v>1</v>
      </c>
      <c r="Q668" s="76">
        <f t="shared" si="198"/>
        <v>1.2752904000000003</v>
      </c>
      <c r="R668" s="76">
        <f t="shared" si="199"/>
        <v>1.2752904000000003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-0.12860959999999966</v>
      </c>
      <c r="AB668" s="79">
        <f>'Manual inputs'!AB$35</f>
        <v>0.37329040000000024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v>
      </c>
      <c r="AE668" s="70" t="str">
        <f>'Manual inputs'!AE$35</f>
        <v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1378</v>
      </c>
      <c r="E669" s="70" t="s">
        <v>1379</v>
      </c>
      <c r="F669" s="70" t="s">
        <v>1380</v>
      </c>
      <c r="G669" s="70" t="s">
        <v>1381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0.99441250000000003</v>
      </c>
      <c r="L669" s="76">
        <f t="shared" si="197"/>
        <v>1.1066125</v>
      </c>
      <c r="M669" s="76">
        <f>'Manual inputs'!M$36</f>
        <v>0.84621219999999997</v>
      </c>
      <c r="N669" s="76">
        <f>'Manual inputs'!N$36</f>
        <v>1.9528246999999999</v>
      </c>
      <c r="O669" s="76">
        <f>'Manual inputs'!O$36</f>
        <v>4.3749999999999997E-2</v>
      </c>
      <c r="P669" s="70">
        <f>'Manual inputs'!P$36</f>
        <v>1</v>
      </c>
      <c r="Q669" s="76">
        <f t="shared" si="198"/>
        <v>1.9965746999999998</v>
      </c>
      <c r="R669" s="76">
        <f t="shared" si="199"/>
        <v>1.9965746999999998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-0.66982530000000051</v>
      </c>
      <c r="AB669" s="79">
        <f>'Manual inputs'!AB$36</f>
        <v>1.6945746999999998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v>
      </c>
      <c r="AE669" s="70" t="str">
        <f>'Manual inputs'!AE$36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1383</v>
      </c>
      <c r="E670" s="70" t="s">
        <v>1384</v>
      </c>
      <c r="F670" s="70" t="s">
        <v>1385</v>
      </c>
      <c r="G670" s="70" t="s">
        <v>1386</v>
      </c>
      <c r="H670" s="76">
        <f>'Manual inputs'!H$37</f>
        <v>0.12342</v>
      </c>
      <c r="I670" s="76">
        <f>'Manual inputs'!I$37</f>
        <v>0</v>
      </c>
      <c r="J670" s="76">
        <f>'Manual inputs'!J$37</f>
        <v>1.6234930400000001</v>
      </c>
      <c r="K670" s="76">
        <f>'Manual inputs'!K$37</f>
        <v>0.77400000000000002</v>
      </c>
      <c r="L670" s="76">
        <f t="shared" si="197"/>
        <v>2.5209130399999999</v>
      </c>
      <c r="M670" s="76">
        <f>'Manual inputs'!M$37</f>
        <v>0</v>
      </c>
      <c r="N670" s="76">
        <f>'Manual inputs'!N$37</f>
        <v>2.5209130399999999</v>
      </c>
      <c r="O670" s="76">
        <f>'Manual inputs'!O$37</f>
        <v>6.75</v>
      </c>
      <c r="P670" s="70">
        <f>'Manual inputs'!P$37</f>
        <v>0</v>
      </c>
      <c r="Q670" s="76">
        <f t="shared" si="198"/>
        <v>9.2709130399999999</v>
      </c>
      <c r="R670" s="76">
        <f t="shared" si="199"/>
        <v>2.5209130399999999</v>
      </c>
      <c r="S670" s="77">
        <f>'Manual inputs'!S$37</f>
        <v>1.5820000000000001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0.25491303999999948</v>
      </c>
      <c r="AB670" s="79">
        <f>'Manual inputs'!AB$37</f>
        <v>1.0979130399999999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v>
      </c>
      <c r="AE670" s="70" t="str">
        <f>'Manual inputs'!AE$37</f>
        <v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70"/>
      <c r="C671" s="73" t="s">
        <v>1873</v>
      </c>
      <c r="D671" s="73"/>
      <c r="E671" s="71"/>
      <c r="F671" s="71"/>
      <c r="G671" s="71"/>
      <c r="H671" s="71" t="s">
        <v>1875</v>
      </c>
      <c r="I671" s="71" t="s">
        <v>1876</v>
      </c>
      <c r="J671" s="71" t="s">
        <v>1877</v>
      </c>
      <c r="K671" s="71" t="s">
        <v>1878</v>
      </c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0"/>
      <c r="AH671" s="70"/>
      <c r="AI671" s="70"/>
    </row>
    <row r="672" spans="1:35" x14ac:dyDescent="0.45">
      <c r="A672" s="70"/>
      <c r="B672" s="52"/>
      <c r="C672" s="52"/>
      <c r="D672" s="70" t="s">
        <v>1874</v>
      </c>
      <c r="E672" s="70"/>
      <c r="F672" s="70"/>
      <c r="G672" s="70"/>
      <c r="H672" s="99">
        <f>IF($J$404&gt;1,INDEX(Scenarios!$B$27:$Z$27,MATCH("fc covered (0/1)",Scenarios!$B$26:$Z$26,0)),1)</f>
        <v>1</v>
      </c>
      <c r="I672" s="99">
        <f>IF($J$404&gt;1,INDEX(Scenarios!$B$27:$Z$27,MATCH("fp covered (0/1)",Scenarios!$B$26:$Z$26,0)),1)</f>
        <v>1</v>
      </c>
      <c r="J672" s="99">
        <f>IF($J$404&gt;1,INDEX(Scenarios!$B$27:$Z$27,MATCH("np covered (0/1)",Scenarios!$B$26:$Z$26,0)),1)</f>
        <v>1</v>
      </c>
      <c r="K672" s="90">
        <f>IF($J$404&gt;1,INDEX(Scenarios!$B$27:$Z$27,MATCH("no covered (0/1)",Scenarios!$B$26:$Z$26,0)),1)</f>
        <v>1</v>
      </c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1417</v>
      </c>
      <c r="D673" s="73"/>
      <c r="E673" s="70"/>
      <c r="F673" s="70" t="s">
        <v>1418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1419</v>
      </c>
      <c r="G674" s="70" t="s">
        <v>1420</v>
      </c>
      <c r="H674" s="70" t="s">
        <v>1421</v>
      </c>
      <c r="I674" s="70" t="s">
        <v>1422</v>
      </c>
      <c r="J674" s="71" t="s">
        <v>1978</v>
      </c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1423</v>
      </c>
      <c r="F675" s="88">
        <v>5100</v>
      </c>
      <c r="G675" s="89">
        <v>4.3999999999999997E-2</v>
      </c>
      <c r="H675" s="80"/>
      <c r="I675" s="88">
        <v>580</v>
      </c>
      <c r="J675" s="112">
        <f>'Manual inputs'!K$66</f>
        <v>0</v>
      </c>
      <c r="K675" s="72"/>
      <c r="L675" s="72">
        <f t="shared" ref="L675:L682" si="200">M675/(1+G675)</f>
        <v>4679.1738230501605</v>
      </c>
      <c r="M675" s="72">
        <f t="shared" ref="M675:M682" si="201">N675/(1+G675)</f>
        <v>4885.0574712643675</v>
      </c>
      <c r="N675" s="90">
        <f>IF(UPPER(Settings!$B$3)="EGY",F675,0)</f>
        <v>5100</v>
      </c>
      <c r="O675" s="72">
        <f t="shared" ref="O675:AE675" si="202">$N675*(1+$G675)^(O$673-$N$673)*(1+O$719)^$J675</f>
        <v>5324.4000000000005</v>
      </c>
      <c r="P675" s="72">
        <f t="shared" si="202"/>
        <v>5558.6736000000001</v>
      </c>
      <c r="Q675" s="72">
        <f t="shared" si="202"/>
        <v>5803.255238400001</v>
      </c>
      <c r="R675" s="72">
        <f t="shared" si="202"/>
        <v>6058.5984688896006</v>
      </c>
      <c r="S675" s="72">
        <f t="shared" si="202"/>
        <v>6325.1768015207426</v>
      </c>
      <c r="T675" s="72">
        <f t="shared" si="202"/>
        <v>6603.4845807876563</v>
      </c>
      <c r="U675" s="72">
        <f t="shared" si="202"/>
        <v>6894.0379023423138</v>
      </c>
      <c r="V675" s="72">
        <f t="shared" si="202"/>
        <v>7197.3755700453748</v>
      </c>
      <c r="W675" s="72">
        <f t="shared" si="202"/>
        <v>7514.0600951273718</v>
      </c>
      <c r="X675" s="72">
        <f t="shared" si="202"/>
        <v>7844.6787393129762</v>
      </c>
      <c r="Y675" s="72">
        <f t="shared" si="202"/>
        <v>8189.8446038427483</v>
      </c>
      <c r="Z675" s="72">
        <f t="shared" si="202"/>
        <v>8550.1977664118276</v>
      </c>
      <c r="AA675" s="72">
        <f t="shared" si="202"/>
        <v>8926.4064681339478</v>
      </c>
      <c r="AB675" s="72">
        <f t="shared" si="202"/>
        <v>9319.1683527318437</v>
      </c>
      <c r="AC675" s="72">
        <f t="shared" si="202"/>
        <v>9729.2117602520448</v>
      </c>
      <c r="AD675" s="72">
        <f t="shared" si="202"/>
        <v>10157.297077703133</v>
      </c>
      <c r="AE675" s="72">
        <f t="shared" si="202"/>
        <v>10604.218149122071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1355</v>
      </c>
      <c r="E676" s="70" t="s">
        <v>1423</v>
      </c>
      <c r="F676" s="88">
        <v>4800</v>
      </c>
      <c r="G676" s="89">
        <v>4.3999999999999997E-2</v>
      </c>
      <c r="H676" s="80"/>
      <c r="I676" s="88">
        <v>300</v>
      </c>
      <c r="J676" s="112">
        <f>'Manual inputs'!K$67</f>
        <v>0</v>
      </c>
      <c r="K676" s="72"/>
      <c r="L676" s="72">
        <f t="shared" si="200"/>
        <v>4403.9283040472101</v>
      </c>
      <c r="M676" s="72">
        <f t="shared" si="201"/>
        <v>4597.7011494252874</v>
      </c>
      <c r="N676" s="90">
        <f>IF(UPPER(Settings!$B$3)="EGY",F676,0)</f>
        <v>4800</v>
      </c>
      <c r="O676" s="72">
        <f t="shared" ref="O676:AE676" si="203">$N676*(1+$G676)^(O$673-$N$673)*(1+O$720)^$J676</f>
        <v>5011.2</v>
      </c>
      <c r="P676" s="72">
        <f t="shared" si="203"/>
        <v>5231.6927999999998</v>
      </c>
      <c r="Q676" s="72">
        <f t="shared" si="203"/>
        <v>5461.8872832000006</v>
      </c>
      <c r="R676" s="72">
        <f t="shared" si="203"/>
        <v>5702.2103236608</v>
      </c>
      <c r="S676" s="72">
        <f t="shared" si="203"/>
        <v>5953.1075779018756</v>
      </c>
      <c r="T676" s="72">
        <f t="shared" si="203"/>
        <v>6215.0443113295587</v>
      </c>
      <c r="U676" s="72">
        <f t="shared" si="203"/>
        <v>6488.5062610280602</v>
      </c>
      <c r="V676" s="72">
        <f t="shared" si="203"/>
        <v>6774.0005365132938</v>
      </c>
      <c r="W676" s="72">
        <f t="shared" si="203"/>
        <v>7072.0565601198796</v>
      </c>
      <c r="X676" s="72">
        <f t="shared" si="203"/>
        <v>7383.227048765154</v>
      </c>
      <c r="Y676" s="72">
        <f t="shared" si="203"/>
        <v>7708.0890389108217</v>
      </c>
      <c r="Z676" s="72">
        <f t="shared" si="203"/>
        <v>8047.244956622897</v>
      </c>
      <c r="AA676" s="72">
        <f t="shared" si="203"/>
        <v>8401.323734714304</v>
      </c>
      <c r="AB676" s="72">
        <f t="shared" si="203"/>
        <v>8770.981979041735</v>
      </c>
      <c r="AC676" s="72">
        <f t="shared" si="203"/>
        <v>9156.9051861195712</v>
      </c>
      <c r="AD676" s="72">
        <f t="shared" si="203"/>
        <v>9559.809014308832</v>
      </c>
      <c r="AE676" s="72">
        <f t="shared" si="203"/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1359</v>
      </c>
      <c r="E677" s="70" t="s">
        <v>1423</v>
      </c>
      <c r="F677" s="88">
        <v>0</v>
      </c>
      <c r="G677" s="89">
        <v>0</v>
      </c>
      <c r="H677" s="80"/>
      <c r="I677" s="88">
        <v>0</v>
      </c>
      <c r="J677" s="112">
        <f>'Manual inputs'!K$68</f>
        <v>0</v>
      </c>
      <c r="K677" s="72"/>
      <c r="L677" s="72">
        <f t="shared" si="200"/>
        <v>0</v>
      </c>
      <c r="M677" s="72">
        <f t="shared" si="201"/>
        <v>0</v>
      </c>
      <c r="N677" s="90">
        <f>IF(UPPER(Settings!$B$3)="EGY",F677,0)</f>
        <v>0</v>
      </c>
      <c r="O677" s="72">
        <f t="shared" ref="O677:AE677" si="204">$N677*(1+$G677)^(O$673-$N$673)*(1+O$721)^$J677</f>
        <v>0</v>
      </c>
      <c r="P677" s="72">
        <f t="shared" si="204"/>
        <v>0</v>
      </c>
      <c r="Q677" s="72">
        <f t="shared" si="204"/>
        <v>0</v>
      </c>
      <c r="R677" s="72">
        <f t="shared" si="204"/>
        <v>0</v>
      </c>
      <c r="S677" s="72">
        <f t="shared" si="204"/>
        <v>0</v>
      </c>
      <c r="T677" s="72">
        <f t="shared" si="204"/>
        <v>0</v>
      </c>
      <c r="U677" s="72">
        <f t="shared" si="204"/>
        <v>0</v>
      </c>
      <c r="V677" s="72">
        <f t="shared" si="204"/>
        <v>0</v>
      </c>
      <c r="W677" s="72">
        <f t="shared" si="204"/>
        <v>0</v>
      </c>
      <c r="X677" s="72">
        <f t="shared" si="204"/>
        <v>0</v>
      </c>
      <c r="Y677" s="72">
        <f t="shared" si="204"/>
        <v>0</v>
      </c>
      <c r="Z677" s="72">
        <f t="shared" si="204"/>
        <v>0</v>
      </c>
      <c r="AA677" s="72">
        <f t="shared" si="204"/>
        <v>0</v>
      </c>
      <c r="AB677" s="72">
        <f t="shared" si="204"/>
        <v>0</v>
      </c>
      <c r="AC677" s="72">
        <f t="shared" si="204"/>
        <v>0</v>
      </c>
      <c r="AD677" s="72">
        <f t="shared" si="204"/>
        <v>0</v>
      </c>
      <c r="AE677" s="72">
        <f t="shared" si="204"/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1363</v>
      </c>
      <c r="E678" s="70" t="s">
        <v>1424</v>
      </c>
      <c r="F678" s="88">
        <v>50000</v>
      </c>
      <c r="G678" s="89">
        <v>3.3000000000000002E-2</v>
      </c>
      <c r="H678" s="80"/>
      <c r="I678" s="88">
        <v>800</v>
      </c>
      <c r="J678" s="112">
        <f>'Manual inputs'!K$69</f>
        <v>0</v>
      </c>
      <c r="K678" s="72"/>
      <c r="L678" s="72">
        <f t="shared" si="200"/>
        <v>46856.447775209017</v>
      </c>
      <c r="M678" s="72">
        <f t="shared" si="201"/>
        <v>48402.710551790908</v>
      </c>
      <c r="N678" s="90">
        <f>IF(UPPER(Settings!$B$3)="EGY",F678,0)</f>
        <v>50000</v>
      </c>
      <c r="O678" s="72">
        <f t="shared" ref="O678:AE678" si="205">$N678*(1+$G678)^(O$673-$N$673)*(1+O$722)^$J678</f>
        <v>51649.999999999993</v>
      </c>
      <c r="P678" s="72">
        <f t="shared" si="205"/>
        <v>53354.44999999999</v>
      </c>
      <c r="Q678" s="72">
        <f t="shared" si="205"/>
        <v>55115.146849999983</v>
      </c>
      <c r="R678" s="72">
        <f t="shared" si="205"/>
        <v>56933.946696049978</v>
      </c>
      <c r="S678" s="72">
        <f t="shared" si="205"/>
        <v>58812.766937019624</v>
      </c>
      <c r="T678" s="72">
        <f t="shared" si="205"/>
        <v>60753.588245941261</v>
      </c>
      <c r="U678" s="72">
        <f t="shared" si="205"/>
        <v>62758.456658057316</v>
      </c>
      <c r="V678" s="72">
        <f t="shared" si="205"/>
        <v>64829.485727773194</v>
      </c>
      <c r="W678" s="72">
        <f t="shared" si="205"/>
        <v>66968.858756789705</v>
      </c>
      <c r="X678" s="72">
        <f t="shared" si="205"/>
        <v>69178.831095763744</v>
      </c>
      <c r="Y678" s="72">
        <f t="shared" si="205"/>
        <v>71461.732521923957</v>
      </c>
      <c r="Z678" s="72">
        <f t="shared" si="205"/>
        <v>73819.969695147433</v>
      </c>
      <c r="AA678" s="72">
        <f t="shared" si="205"/>
        <v>76256.028695087298</v>
      </c>
      <c r="AB678" s="72">
        <f t="shared" si="205"/>
        <v>78772.477642025158</v>
      </c>
      <c r="AC678" s="72">
        <f t="shared" si="205"/>
        <v>81371.969404211981</v>
      </c>
      <c r="AD678" s="72">
        <f t="shared" si="205"/>
        <v>84057.244394550973</v>
      </c>
      <c r="AE678" s="72">
        <f t="shared" si="205"/>
        <v>86831.133459571138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1425</v>
      </c>
      <c r="E679" s="70" t="s">
        <v>1426</v>
      </c>
      <c r="F679" s="88">
        <v>1785</v>
      </c>
      <c r="G679" s="89">
        <v>2.1999999999999999E-2</v>
      </c>
      <c r="H679" s="80"/>
      <c r="I679" s="88">
        <v>120</v>
      </c>
      <c r="J679" s="112">
        <f>'Manual inputs'!K$70</f>
        <v>0</v>
      </c>
      <c r="K679" s="72"/>
      <c r="L679" s="72">
        <f t="shared" si="200"/>
        <v>1708.9778302013242</v>
      </c>
      <c r="M679" s="72">
        <f t="shared" si="201"/>
        <v>1746.5753424657535</v>
      </c>
      <c r="N679" s="90">
        <f>IF(UPPER(Settings!$B$3)="EGY",F679,0)</f>
        <v>1785</v>
      </c>
      <c r="O679" s="72">
        <f t="shared" ref="O679:AE679" si="206">$N679*(1+$G679)^(O$673-$N$673)*(1+O$723)^$J679</f>
        <v>1824.27</v>
      </c>
      <c r="P679" s="72">
        <f t="shared" si="206"/>
        <v>1864.4039399999999</v>
      </c>
      <c r="Q679" s="72">
        <f t="shared" si="206"/>
        <v>1905.4208266800001</v>
      </c>
      <c r="R679" s="72">
        <f t="shared" si="206"/>
        <v>1947.3400848669601</v>
      </c>
      <c r="S679" s="72">
        <f t="shared" si="206"/>
        <v>1990.1815667340331</v>
      </c>
      <c r="T679" s="72">
        <f t="shared" si="206"/>
        <v>2033.9655612021818</v>
      </c>
      <c r="U679" s="72">
        <f t="shared" si="206"/>
        <v>2078.7128035486298</v>
      </c>
      <c r="V679" s="72">
        <f t="shared" si="206"/>
        <v>2124.4444852267002</v>
      </c>
      <c r="W679" s="72">
        <f t="shared" si="206"/>
        <v>2171.1822639016873</v>
      </c>
      <c r="X679" s="72">
        <f t="shared" si="206"/>
        <v>2218.9482737075245</v>
      </c>
      <c r="Y679" s="72">
        <f t="shared" si="206"/>
        <v>2267.7651357290902</v>
      </c>
      <c r="Z679" s="72">
        <f t="shared" si="206"/>
        <v>2317.6559687151303</v>
      </c>
      <c r="AA679" s="72">
        <f t="shared" si="206"/>
        <v>2368.644400026863</v>
      </c>
      <c r="AB679" s="72">
        <f t="shared" si="206"/>
        <v>2420.7545768274535</v>
      </c>
      <c r="AC679" s="72">
        <f t="shared" si="206"/>
        <v>2474.0111775176579</v>
      </c>
      <c r="AD679" s="72">
        <f t="shared" si="206"/>
        <v>2528.4394234230463</v>
      </c>
      <c r="AE679" s="72">
        <f t="shared" si="206"/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1373</v>
      </c>
      <c r="E680" s="70" t="s">
        <v>1427</v>
      </c>
      <c r="F680" s="88">
        <v>2800</v>
      </c>
      <c r="G680" s="89">
        <v>2.1999999999999999E-2</v>
      </c>
      <c r="H680" s="80"/>
      <c r="I680" s="88">
        <v>1600</v>
      </c>
      <c r="J680" s="112">
        <f>'Manual inputs'!K$71</f>
        <v>0</v>
      </c>
      <c r="K680" s="72"/>
      <c r="L680" s="72">
        <f t="shared" si="200"/>
        <v>2680.7495375707044</v>
      </c>
      <c r="M680" s="72">
        <f t="shared" si="201"/>
        <v>2739.7260273972602</v>
      </c>
      <c r="N680" s="90">
        <f>IF(UPPER(Settings!$B$3)="EGY",F680,0)</f>
        <v>2800</v>
      </c>
      <c r="O680" s="72">
        <f t="shared" ref="O680:AE680" si="207">$N680*(1+$G680)^(O$673-$N$673)*(1+O$724)^$J680</f>
        <v>2861.6</v>
      </c>
      <c r="P680" s="72">
        <f t="shared" si="207"/>
        <v>2924.5551999999998</v>
      </c>
      <c r="Q680" s="72">
        <f t="shared" si="207"/>
        <v>2988.8954143999999</v>
      </c>
      <c r="R680" s="72">
        <f t="shared" si="207"/>
        <v>3054.6511135168003</v>
      </c>
      <c r="S680" s="72">
        <f t="shared" si="207"/>
        <v>3121.8534380141696</v>
      </c>
      <c r="T680" s="72">
        <f t="shared" si="207"/>
        <v>3190.534213650481</v>
      </c>
      <c r="U680" s="72">
        <f t="shared" si="207"/>
        <v>3260.7259663507921</v>
      </c>
      <c r="V680" s="72">
        <f t="shared" si="207"/>
        <v>3332.4619376105097</v>
      </c>
      <c r="W680" s="72">
        <f t="shared" si="207"/>
        <v>3405.7761002379407</v>
      </c>
      <c r="X680" s="72">
        <f t="shared" si="207"/>
        <v>3480.7031744431756</v>
      </c>
      <c r="Y680" s="72">
        <f t="shared" si="207"/>
        <v>3557.2786442809256</v>
      </c>
      <c r="Z680" s="72">
        <f t="shared" si="207"/>
        <v>3635.5387744551062</v>
      </c>
      <c r="AA680" s="72">
        <f t="shared" si="207"/>
        <v>3715.5206274931184</v>
      </c>
      <c r="AB680" s="72">
        <f t="shared" si="207"/>
        <v>3797.2620812979667</v>
      </c>
      <c r="AC680" s="72">
        <f t="shared" si="207"/>
        <v>3880.8018470865222</v>
      </c>
      <c r="AD680" s="72">
        <f t="shared" si="207"/>
        <v>3966.1794877224256</v>
      </c>
      <c r="AE680" s="72">
        <f t="shared" si="207"/>
        <v>4053.4354364523192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1378</v>
      </c>
      <c r="E681" s="70" t="s">
        <v>1428</v>
      </c>
      <c r="F681" s="88">
        <v>600</v>
      </c>
      <c r="G681" s="89">
        <v>2.1999999999999999E-2</v>
      </c>
      <c r="H681" s="80"/>
      <c r="I681" s="88">
        <v>80</v>
      </c>
      <c r="J681" s="112">
        <f>'Manual inputs'!K$72</f>
        <v>0</v>
      </c>
      <c r="K681" s="72"/>
      <c r="L681" s="72">
        <f t="shared" si="200"/>
        <v>574.44632947943671</v>
      </c>
      <c r="M681" s="72">
        <f t="shared" si="201"/>
        <v>587.08414872798437</v>
      </c>
      <c r="N681" s="90">
        <f>IF(UPPER(Settings!$B$3)="EGY",F681,0)</f>
        <v>600</v>
      </c>
      <c r="O681" s="72">
        <f t="shared" ref="O681:AE681" si="208">$N681*(1+$G681)^(O$673-$N$673)*(1+O$725)^$J681</f>
        <v>613.20000000000005</v>
      </c>
      <c r="P681" s="72">
        <f t="shared" si="208"/>
        <v>626.69039999999995</v>
      </c>
      <c r="Q681" s="72">
        <f t="shared" si="208"/>
        <v>640.47758880000004</v>
      </c>
      <c r="R681" s="72">
        <f t="shared" si="208"/>
        <v>654.56809575360001</v>
      </c>
      <c r="S681" s="72">
        <f t="shared" si="208"/>
        <v>668.96859386017923</v>
      </c>
      <c r="T681" s="72">
        <f t="shared" si="208"/>
        <v>683.68590292510305</v>
      </c>
      <c r="U681" s="72">
        <f t="shared" si="208"/>
        <v>698.72699278945538</v>
      </c>
      <c r="V681" s="72">
        <f t="shared" si="208"/>
        <v>714.09898663082356</v>
      </c>
      <c r="W681" s="72">
        <f t="shared" si="208"/>
        <v>729.80916433670154</v>
      </c>
      <c r="X681" s="72">
        <f t="shared" si="208"/>
        <v>745.86496595210906</v>
      </c>
      <c r="Y681" s="72">
        <f t="shared" si="208"/>
        <v>762.27399520305551</v>
      </c>
      <c r="Z681" s="72">
        <f t="shared" si="208"/>
        <v>779.04402309752277</v>
      </c>
      <c r="AA681" s="72">
        <f t="shared" si="208"/>
        <v>796.18299160566824</v>
      </c>
      <c r="AB681" s="72">
        <f t="shared" si="208"/>
        <v>813.69901742099285</v>
      </c>
      <c r="AC681" s="72">
        <f t="shared" si="208"/>
        <v>831.60039580425473</v>
      </c>
      <c r="AD681" s="72">
        <f t="shared" si="208"/>
        <v>849.89560451194836</v>
      </c>
      <c r="AE681" s="72">
        <f t="shared" si="208"/>
        <v>868.59330781121128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1383</v>
      </c>
      <c r="E682" s="70" t="s">
        <v>1429</v>
      </c>
      <c r="F682" s="88">
        <v>300</v>
      </c>
      <c r="G682" s="89">
        <v>5.5E-2</v>
      </c>
      <c r="H682" s="80"/>
      <c r="I682" s="88">
        <v>167</v>
      </c>
      <c r="J682" s="112">
        <f>'Manual inputs'!K$73</f>
        <v>0</v>
      </c>
      <c r="K682" s="72"/>
      <c r="L682" s="72">
        <f t="shared" si="200"/>
        <v>269.53572471417982</v>
      </c>
      <c r="M682" s="72">
        <f t="shared" si="201"/>
        <v>284.36018957345971</v>
      </c>
      <c r="N682" s="90">
        <f>IF(UPPER(Settings!$B$3)="EGY",F682,0)</f>
        <v>300</v>
      </c>
      <c r="O682" s="72">
        <f t="shared" ref="O682:AE682" si="209">$N682*(1+$G682)^(O$673-$N$673)*(1+O$726)^$J682</f>
        <v>316.5</v>
      </c>
      <c r="P682" s="72">
        <f t="shared" si="209"/>
        <v>333.90749999999997</v>
      </c>
      <c r="Q682" s="72">
        <f t="shared" si="209"/>
        <v>352.27241249999992</v>
      </c>
      <c r="R682" s="72">
        <f t="shared" si="209"/>
        <v>371.64739518749997</v>
      </c>
      <c r="S682" s="72">
        <f t="shared" si="209"/>
        <v>392.0880019228124</v>
      </c>
      <c r="T682" s="72">
        <f t="shared" si="209"/>
        <v>413.65284202856708</v>
      </c>
      <c r="U682" s="72">
        <f t="shared" si="209"/>
        <v>436.40374834013824</v>
      </c>
      <c r="V682" s="72">
        <f t="shared" si="209"/>
        <v>460.40595449884586</v>
      </c>
      <c r="W682" s="72">
        <f t="shared" si="209"/>
        <v>485.72828199628236</v>
      </c>
      <c r="X682" s="72">
        <f t="shared" si="209"/>
        <v>512.44333750607791</v>
      </c>
      <c r="Y682" s="72">
        <f t="shared" si="209"/>
        <v>540.62772106891214</v>
      </c>
      <c r="Z682" s="72">
        <f t="shared" si="209"/>
        <v>570.36224572770232</v>
      </c>
      <c r="AA682" s="72">
        <f t="shared" si="209"/>
        <v>601.73216924272583</v>
      </c>
      <c r="AB682" s="72">
        <f t="shared" si="209"/>
        <v>634.82743855107583</v>
      </c>
      <c r="AC682" s="72">
        <f t="shared" si="209"/>
        <v>669.74294767138485</v>
      </c>
      <c r="AD682" s="72">
        <f t="shared" si="209"/>
        <v>706.57880979331105</v>
      </c>
      <c r="AE682" s="72">
        <f t="shared" si="209"/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 t="s">
        <v>1917</v>
      </c>
      <c r="D683" s="72" t="s">
        <v>1911</v>
      </c>
      <c r="E683" s="72" t="s">
        <v>79</v>
      </c>
      <c r="F683" s="72"/>
      <c r="G683" s="70" t="s">
        <v>1475</v>
      </c>
      <c r="H683" s="87" t="str">
        <f>Settings!$B$3&amp;".mit.cbcov."&amp;$G683&amp;"."&amp;$J$404</f>
        <v>egy.mit.cbcov.cbam.tot.2</v>
      </c>
      <c r="I683" s="72"/>
      <c r="J683" s="72"/>
      <c r="K683" s="72"/>
      <c r="L683" s="101">
        <f t="shared" ref="L683:AE683" si="210">IF((SUM(L$729:L$736)+SUM(L$740:L$747))=0,0,(SUMPRODUCT(L$729:L$736*$I$729:$I$736*(($F$698:$F$705+$G$698:$G$705)&gt;0))+SUMPRODUCT(L$740:L$747*$J$729:$J$736*(($F$709:$F$716+$G$709:$G$716)&gt;0)))/(SUM(L$729:L$736)+SUM(L$740:L$747)))</f>
        <v>0.44368280475207889</v>
      </c>
      <c r="M683" s="101">
        <f t="shared" si="210"/>
        <v>0.44347645385531964</v>
      </c>
      <c r="N683" s="101">
        <f t="shared" si="210"/>
        <v>0.4432752933168122</v>
      </c>
      <c r="O683" s="101">
        <f t="shared" si="210"/>
        <v>0.44307927265114361</v>
      </c>
      <c r="P683" s="101">
        <f t="shared" si="210"/>
        <v>0.44288834045823561</v>
      </c>
      <c r="Q683" s="101">
        <f t="shared" si="210"/>
        <v>0.44270244440986661</v>
      </c>
      <c r="R683" s="101">
        <f t="shared" si="210"/>
        <v>0.44252153123593246</v>
      </c>
      <c r="S683" s="101">
        <f t="shared" si="210"/>
        <v>0.44234554671045312</v>
      </c>
      <c r="T683" s="101">
        <f t="shared" si="210"/>
        <v>0.44217443563732917</v>
      </c>
      <c r="U683" s="101">
        <f t="shared" si="210"/>
        <v>0.44200814183585402</v>
      </c>
      <c r="V683" s="101">
        <f t="shared" si="210"/>
        <v>0.44184660812598775</v>
      </c>
      <c r="W683" s="101">
        <f t="shared" si="210"/>
        <v>0.44168977631339978</v>
      </c>
      <c r="X683" s="101">
        <f t="shared" si="210"/>
        <v>0.4415375871742872</v>
      </c>
      <c r="Y683" s="101">
        <f t="shared" si="210"/>
        <v>0.44138998043997363</v>
      </c>
      <c r="Z683" s="101">
        <f t="shared" si="210"/>
        <v>0.4412468947813008</v>
      </c>
      <c r="AA683" s="101">
        <f t="shared" si="210"/>
        <v>0.44110826779281626</v>
      </c>
      <c r="AB683" s="101">
        <f t="shared" si="210"/>
        <v>0.44097403597677043</v>
      </c>
      <c r="AC683" s="101">
        <f t="shared" si="210"/>
        <v>0.44084413472692868</v>
      </c>
      <c r="AD683" s="101">
        <f t="shared" si="210"/>
        <v>0.44071849831220911</v>
      </c>
      <c r="AE683" s="101">
        <f t="shared" si="210"/>
        <v>0.44059705986015796</v>
      </c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2" t="s">
        <v>1912</v>
      </c>
      <c r="E684" s="72" t="s">
        <v>1913</v>
      </c>
      <c r="F684" s="72"/>
      <c r="G684" s="70" t="s">
        <v>1475</v>
      </c>
      <c r="H684" s="87" t="str">
        <f>Settings!$B$3&amp;".mit.cbint."&amp;$G684&amp;"."&amp;$J$404</f>
        <v>egy.mit.cbint.cbam.tot.2</v>
      </c>
      <c r="I684" s="72"/>
      <c r="J684" s="72"/>
      <c r="K684" s="72"/>
      <c r="L684" s="76">
        <f t="shared" ref="L684:AE684" si="211">IF(SUM(L$675:L$682)=0,0,L$779*1000/SUM(L$675:L$682))</f>
        <v>0.78607862103016568</v>
      </c>
      <c r="M684" s="76">
        <f t="shared" si="211"/>
        <v>0.7854918840873516</v>
      </c>
      <c r="N684" s="76">
        <f t="shared" si="211"/>
        <v>0.78490313162040215</v>
      </c>
      <c r="O684" s="76">
        <f t="shared" si="211"/>
        <v>0.78431240712425543</v>
      </c>
      <c r="P684" s="76">
        <f t="shared" si="211"/>
        <v>0.78371975541429295</v>
      </c>
      <c r="Q684" s="76">
        <f t="shared" si="211"/>
        <v>0.78312522264570272</v>
      </c>
      <c r="R684" s="76">
        <f t="shared" si="211"/>
        <v>0.78252885633289471</v>
      </c>
      <c r="S684" s="76">
        <f t="shared" si="211"/>
        <v>0.78193070536897147</v>
      </c>
      <c r="T684" s="76">
        <f t="shared" si="211"/>
        <v>0.78133082004524113</v>
      </c>
      <c r="U684" s="76">
        <f t="shared" si="211"/>
        <v>0.78072925207077082</v>
      </c>
      <c r="V684" s="76">
        <f t="shared" si="211"/>
        <v>0.78012605459196904</v>
      </c>
      <c r="W684" s="76">
        <f t="shared" si="211"/>
        <v>0.77952128221219807</v>
      </c>
      <c r="X684" s="76">
        <f t="shared" si="211"/>
        <v>0.77891499101139872</v>
      </c>
      <c r="Y684" s="76">
        <f t="shared" si="211"/>
        <v>0.7783072385657307</v>
      </c>
      <c r="Z684" s="76">
        <f t="shared" si="211"/>
        <v>0.77769808396721452</v>
      </c>
      <c r="AA684" s="76">
        <f t="shared" si="211"/>
        <v>0.77708758784337062</v>
      </c>
      <c r="AB684" s="76">
        <f t="shared" si="211"/>
        <v>0.7764758123768456</v>
      </c>
      <c r="AC684" s="76">
        <f t="shared" si="211"/>
        <v>0.77586282132501894</v>
      </c>
      <c r="AD684" s="76">
        <f t="shared" si="211"/>
        <v>0.77524868003958436</v>
      </c>
      <c r="AE684" s="76">
        <f t="shared" si="211"/>
        <v>0.77463345548608975</v>
      </c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2" t="s">
        <v>1914</v>
      </c>
      <c r="E685" s="72" t="s">
        <v>79</v>
      </c>
      <c r="F685" s="72"/>
      <c r="G685" s="70" t="s">
        <v>1475</v>
      </c>
      <c r="H685" s="87" t="str">
        <f>Settings!$B$3&amp;".mit.cbintch."&amp;$G685&amp;"."&amp;$J$404</f>
        <v>egy.mit.cbintch.cbam.tot.2</v>
      </c>
      <c r="I685" s="72"/>
      <c r="J685" s="72"/>
      <c r="K685" s="72"/>
      <c r="L685" s="101">
        <f t="shared" ref="L685:AE685" si="212">IF((SUM(L$729:L$736)+SUM(L$740:L$747))=0,0,L$779/(SUM(L$729:L$736)+SUM(L$740:L$747))-1)</f>
        <v>0</v>
      </c>
      <c r="M685" s="101">
        <f t="shared" si="212"/>
        <v>0</v>
      </c>
      <c r="N685" s="101">
        <f t="shared" si="212"/>
        <v>0</v>
      </c>
      <c r="O685" s="101">
        <f t="shared" si="212"/>
        <v>0</v>
      </c>
      <c r="P685" s="101">
        <f t="shared" si="212"/>
        <v>-1.1102230246251565E-16</v>
      </c>
      <c r="Q685" s="101">
        <f t="shared" si="212"/>
        <v>0</v>
      </c>
      <c r="R685" s="101">
        <f t="shared" si="212"/>
        <v>2.2204460492503131E-16</v>
      </c>
      <c r="S685" s="101">
        <f t="shared" si="212"/>
        <v>-1.1102230246251565E-16</v>
      </c>
      <c r="T685" s="101">
        <f t="shared" si="212"/>
        <v>0</v>
      </c>
      <c r="U685" s="101">
        <f t="shared" si="212"/>
        <v>0</v>
      </c>
      <c r="V685" s="101">
        <f t="shared" si="212"/>
        <v>0</v>
      </c>
      <c r="W685" s="101">
        <f t="shared" si="212"/>
        <v>0</v>
      </c>
      <c r="X685" s="101">
        <f t="shared" si="212"/>
        <v>0</v>
      </c>
      <c r="Y685" s="101">
        <f t="shared" si="212"/>
        <v>0</v>
      </c>
      <c r="Z685" s="101">
        <f t="shared" si="212"/>
        <v>0</v>
      </c>
      <c r="AA685" s="101">
        <f t="shared" si="212"/>
        <v>0</v>
      </c>
      <c r="AB685" s="101">
        <f t="shared" si="212"/>
        <v>2.2204460492503131E-16</v>
      </c>
      <c r="AC685" s="101">
        <f t="shared" si="212"/>
        <v>0</v>
      </c>
      <c r="AD685" s="101">
        <f t="shared" si="212"/>
        <v>2.2204460492503131E-16</v>
      </c>
      <c r="AE685" s="101">
        <f t="shared" si="212"/>
        <v>0</v>
      </c>
      <c r="AF685" s="70"/>
      <c r="AG685" s="70"/>
      <c r="AH685" s="70"/>
      <c r="AI685" s="70"/>
    </row>
    <row r="686" spans="1:35" x14ac:dyDescent="0.45">
      <c r="A686" s="70"/>
      <c r="B686" s="52"/>
      <c r="C686" s="73" t="s">
        <v>1430</v>
      </c>
      <c r="D686" s="73" t="s">
        <v>1323</v>
      </c>
      <c r="E686" s="70" t="s">
        <v>1431</v>
      </c>
      <c r="F686" s="70" t="s">
        <v>1323</v>
      </c>
      <c r="G686" s="70" t="s">
        <v>1432</v>
      </c>
      <c r="H686" s="70"/>
      <c r="I686" s="71"/>
      <c r="J686" s="71"/>
      <c r="K686" s="72"/>
      <c r="L686" s="74">
        <f t="shared" ref="L686:AE686" si="213">L673</f>
        <v>2022</v>
      </c>
      <c r="M686" s="74">
        <f t="shared" si="213"/>
        <v>2023</v>
      </c>
      <c r="N686" s="74">
        <f t="shared" si="213"/>
        <v>2024</v>
      </c>
      <c r="O686" s="74">
        <f t="shared" si="213"/>
        <v>2025</v>
      </c>
      <c r="P686" s="74">
        <f t="shared" si="213"/>
        <v>2026</v>
      </c>
      <c r="Q686" s="74">
        <f t="shared" si="213"/>
        <v>2027</v>
      </c>
      <c r="R686" s="74">
        <f t="shared" si="213"/>
        <v>2028</v>
      </c>
      <c r="S686" s="74">
        <f t="shared" si="213"/>
        <v>2029</v>
      </c>
      <c r="T686" s="74">
        <f t="shared" si="213"/>
        <v>2030</v>
      </c>
      <c r="U686" s="74">
        <f t="shared" si="213"/>
        <v>2031</v>
      </c>
      <c r="V686" s="74">
        <f t="shared" si="213"/>
        <v>2032</v>
      </c>
      <c r="W686" s="74">
        <f t="shared" si="213"/>
        <v>2033</v>
      </c>
      <c r="X686" s="74">
        <f t="shared" si="213"/>
        <v>2034</v>
      </c>
      <c r="Y686" s="74">
        <f t="shared" si="213"/>
        <v>2035</v>
      </c>
      <c r="Z686" s="74">
        <f t="shared" si="213"/>
        <v>2036</v>
      </c>
      <c r="AA686" s="74">
        <f t="shared" si="213"/>
        <v>2037</v>
      </c>
      <c r="AB686" s="74">
        <f t="shared" si="213"/>
        <v>2038</v>
      </c>
      <c r="AC686" s="74">
        <f t="shared" si="213"/>
        <v>2039</v>
      </c>
      <c r="AD686" s="74">
        <f t="shared" si="213"/>
        <v>2040</v>
      </c>
      <c r="AE686" s="74">
        <f t="shared" si="213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1433</v>
      </c>
      <c r="E687" s="87" t="s">
        <v>1434</v>
      </c>
      <c r="F687" s="70" t="s">
        <v>1435</v>
      </c>
      <c r="G687" s="85">
        <v>750</v>
      </c>
      <c r="H687" s="72"/>
      <c r="I687" s="70"/>
      <c r="J687" s="70"/>
      <c r="K687" s="72"/>
      <c r="L687" s="72">
        <f t="shared" ref="L687:L694" si="214">G687</f>
        <v>750</v>
      </c>
      <c r="M687" s="72">
        <f t="shared" ref="M687:M694" si="215">G687</f>
        <v>750</v>
      </c>
      <c r="N687" s="72">
        <f t="shared" ref="N687:N694" si="216">G687</f>
        <v>750</v>
      </c>
      <c r="O687" s="72">
        <f t="shared" ref="O687:O694" si="217">G687</f>
        <v>750</v>
      </c>
      <c r="P687" s="72">
        <f t="shared" ref="P687:P694" si="218">G687</f>
        <v>750</v>
      </c>
      <c r="Q687" s="72">
        <f t="shared" ref="Q687:Q694" si="219">G687</f>
        <v>750</v>
      </c>
      <c r="R687" s="72">
        <f t="shared" ref="R687:R694" si="220">G687</f>
        <v>750</v>
      </c>
      <c r="S687" s="72">
        <f t="shared" ref="S687:S694" si="221">G687</f>
        <v>750</v>
      </c>
      <c r="T687" s="72">
        <f t="shared" ref="T687:T694" si="222">G687</f>
        <v>750</v>
      </c>
      <c r="U687" s="72">
        <f t="shared" ref="U687:U694" si="223">G687</f>
        <v>750</v>
      </c>
      <c r="V687" s="72">
        <f t="shared" ref="V687:V694" si="224">G687</f>
        <v>750</v>
      </c>
      <c r="W687" s="72">
        <f t="shared" ref="W687:W694" si="225">G687</f>
        <v>750</v>
      </c>
      <c r="X687" s="72">
        <f t="shared" ref="X687:X694" si="226">G687</f>
        <v>750</v>
      </c>
      <c r="Y687" s="72">
        <f t="shared" ref="Y687:Y694" si="227">G687</f>
        <v>750</v>
      </c>
      <c r="Z687" s="72">
        <f t="shared" ref="Z687:Z694" si="228">G687</f>
        <v>750</v>
      </c>
      <c r="AA687" s="72">
        <f t="shared" ref="AA687:AA694" si="229">G687</f>
        <v>750</v>
      </c>
      <c r="AB687" s="72">
        <f t="shared" ref="AB687:AB694" si="230">G687</f>
        <v>750</v>
      </c>
      <c r="AC687" s="72">
        <f t="shared" ref="AC687:AC694" si="231">G687</f>
        <v>750</v>
      </c>
      <c r="AD687" s="72">
        <f t="shared" ref="AD687:AD694" si="232">G687</f>
        <v>750</v>
      </c>
      <c r="AE687" s="72">
        <f t="shared" ref="AE687:AE694" si="233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1436</v>
      </c>
      <c r="E688" s="87" t="s">
        <v>1437</v>
      </c>
      <c r="F688" s="70" t="s">
        <v>1438</v>
      </c>
      <c r="G688" s="85">
        <v>680</v>
      </c>
      <c r="H688" s="70"/>
      <c r="I688" s="70"/>
      <c r="J688" s="70"/>
      <c r="K688" s="72"/>
      <c r="L688" s="72">
        <f t="shared" si="214"/>
        <v>680</v>
      </c>
      <c r="M688" s="72">
        <f t="shared" si="215"/>
        <v>680</v>
      </c>
      <c r="N688" s="72">
        <f t="shared" si="216"/>
        <v>680</v>
      </c>
      <c r="O688" s="72">
        <f t="shared" si="217"/>
        <v>680</v>
      </c>
      <c r="P688" s="72">
        <f t="shared" si="218"/>
        <v>680</v>
      </c>
      <c r="Q688" s="72">
        <f t="shared" si="219"/>
        <v>680</v>
      </c>
      <c r="R688" s="72">
        <f t="shared" si="220"/>
        <v>680</v>
      </c>
      <c r="S688" s="72">
        <f t="shared" si="221"/>
        <v>680</v>
      </c>
      <c r="T688" s="72">
        <f t="shared" si="222"/>
        <v>680</v>
      </c>
      <c r="U688" s="72">
        <f t="shared" si="223"/>
        <v>680</v>
      </c>
      <c r="V688" s="72">
        <f t="shared" si="224"/>
        <v>680</v>
      </c>
      <c r="W688" s="72">
        <f t="shared" si="225"/>
        <v>680</v>
      </c>
      <c r="X688" s="72">
        <f t="shared" si="226"/>
        <v>680</v>
      </c>
      <c r="Y688" s="72">
        <f t="shared" si="227"/>
        <v>680</v>
      </c>
      <c r="Z688" s="72">
        <f t="shared" si="228"/>
        <v>680</v>
      </c>
      <c r="AA688" s="72">
        <f t="shared" si="229"/>
        <v>680</v>
      </c>
      <c r="AB688" s="72">
        <f t="shared" si="230"/>
        <v>680</v>
      </c>
      <c r="AC688" s="72">
        <f t="shared" si="231"/>
        <v>680</v>
      </c>
      <c r="AD688" s="72">
        <f t="shared" si="232"/>
        <v>680</v>
      </c>
      <c r="AE688" s="72">
        <f t="shared" si="233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1439</v>
      </c>
      <c r="E689" s="87" t="s">
        <v>1440</v>
      </c>
      <c r="F689" s="70" t="s">
        <v>1441</v>
      </c>
      <c r="G689" s="85">
        <v>620</v>
      </c>
      <c r="H689" s="70"/>
      <c r="I689" s="70"/>
      <c r="J689" s="70"/>
      <c r="K689" s="72"/>
      <c r="L689" s="72">
        <f t="shared" si="214"/>
        <v>620</v>
      </c>
      <c r="M689" s="72">
        <f t="shared" si="215"/>
        <v>620</v>
      </c>
      <c r="N689" s="72">
        <f t="shared" si="216"/>
        <v>620</v>
      </c>
      <c r="O689" s="72">
        <f t="shared" si="217"/>
        <v>620</v>
      </c>
      <c r="P689" s="72">
        <f t="shared" si="218"/>
        <v>620</v>
      </c>
      <c r="Q689" s="72">
        <f t="shared" si="219"/>
        <v>620</v>
      </c>
      <c r="R689" s="72">
        <f t="shared" si="220"/>
        <v>620</v>
      </c>
      <c r="S689" s="72">
        <f t="shared" si="221"/>
        <v>620</v>
      </c>
      <c r="T689" s="72">
        <f t="shared" si="222"/>
        <v>620</v>
      </c>
      <c r="U689" s="72">
        <f t="shared" si="223"/>
        <v>620</v>
      </c>
      <c r="V689" s="72">
        <f t="shared" si="224"/>
        <v>620</v>
      </c>
      <c r="W689" s="72">
        <f t="shared" si="225"/>
        <v>620</v>
      </c>
      <c r="X689" s="72">
        <f t="shared" si="226"/>
        <v>620</v>
      </c>
      <c r="Y689" s="72">
        <f t="shared" si="227"/>
        <v>620</v>
      </c>
      <c r="Z689" s="72">
        <f t="shared" si="228"/>
        <v>620</v>
      </c>
      <c r="AA689" s="72">
        <f t="shared" si="229"/>
        <v>620</v>
      </c>
      <c r="AB689" s="72">
        <f t="shared" si="230"/>
        <v>620</v>
      </c>
      <c r="AC689" s="72">
        <f t="shared" si="231"/>
        <v>620</v>
      </c>
      <c r="AD689" s="72">
        <f t="shared" si="232"/>
        <v>620</v>
      </c>
      <c r="AE689" s="72">
        <f t="shared" si="233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1442</v>
      </c>
      <c r="E690" s="87" t="s">
        <v>1443</v>
      </c>
      <c r="F690" s="70" t="s">
        <v>1444</v>
      </c>
      <c r="G690" s="85">
        <v>110</v>
      </c>
      <c r="H690" s="70"/>
      <c r="I690" s="70"/>
      <c r="J690" s="70"/>
      <c r="K690" s="72"/>
      <c r="L690" s="72">
        <f t="shared" si="214"/>
        <v>110</v>
      </c>
      <c r="M690" s="72">
        <f t="shared" si="215"/>
        <v>110</v>
      </c>
      <c r="N690" s="72">
        <f t="shared" si="216"/>
        <v>110</v>
      </c>
      <c r="O690" s="72">
        <f t="shared" si="217"/>
        <v>110</v>
      </c>
      <c r="P690" s="72">
        <f t="shared" si="218"/>
        <v>110</v>
      </c>
      <c r="Q690" s="72">
        <f t="shared" si="219"/>
        <v>110</v>
      </c>
      <c r="R690" s="72">
        <f t="shared" si="220"/>
        <v>110</v>
      </c>
      <c r="S690" s="72">
        <f t="shared" si="221"/>
        <v>110</v>
      </c>
      <c r="T690" s="72">
        <f t="shared" si="222"/>
        <v>110</v>
      </c>
      <c r="U690" s="72">
        <f t="shared" si="223"/>
        <v>110</v>
      </c>
      <c r="V690" s="72">
        <f t="shared" si="224"/>
        <v>110</v>
      </c>
      <c r="W690" s="72">
        <f t="shared" si="225"/>
        <v>110</v>
      </c>
      <c r="X690" s="72">
        <f t="shared" si="226"/>
        <v>110</v>
      </c>
      <c r="Y690" s="72">
        <f t="shared" si="227"/>
        <v>110</v>
      </c>
      <c r="Z690" s="72">
        <f t="shared" si="228"/>
        <v>110</v>
      </c>
      <c r="AA690" s="72">
        <f t="shared" si="229"/>
        <v>110</v>
      </c>
      <c r="AB690" s="72">
        <f t="shared" si="230"/>
        <v>110</v>
      </c>
      <c r="AC690" s="72">
        <f t="shared" si="231"/>
        <v>110</v>
      </c>
      <c r="AD690" s="72">
        <f t="shared" si="232"/>
        <v>110</v>
      </c>
      <c r="AE690" s="72">
        <f t="shared" si="233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1445</v>
      </c>
      <c r="E691" s="87" t="s">
        <v>1446</v>
      </c>
      <c r="F691" s="70" t="s">
        <v>1447</v>
      </c>
      <c r="G691" s="85">
        <v>450</v>
      </c>
      <c r="H691" s="70"/>
      <c r="I691" s="70"/>
      <c r="J691" s="70"/>
      <c r="K691" s="72"/>
      <c r="L691" s="72">
        <f t="shared" si="214"/>
        <v>450</v>
      </c>
      <c r="M691" s="72">
        <f t="shared" si="215"/>
        <v>450</v>
      </c>
      <c r="N691" s="72">
        <f t="shared" si="216"/>
        <v>450</v>
      </c>
      <c r="O691" s="72">
        <f t="shared" si="217"/>
        <v>450</v>
      </c>
      <c r="P691" s="72">
        <f t="shared" si="218"/>
        <v>450</v>
      </c>
      <c r="Q691" s="72">
        <f t="shared" si="219"/>
        <v>450</v>
      </c>
      <c r="R691" s="72">
        <f t="shared" si="220"/>
        <v>450</v>
      </c>
      <c r="S691" s="72">
        <f t="shared" si="221"/>
        <v>450</v>
      </c>
      <c r="T691" s="72">
        <f t="shared" si="222"/>
        <v>450</v>
      </c>
      <c r="U691" s="72">
        <f t="shared" si="223"/>
        <v>450</v>
      </c>
      <c r="V691" s="72">
        <f t="shared" si="224"/>
        <v>450</v>
      </c>
      <c r="W691" s="72">
        <f t="shared" si="225"/>
        <v>450</v>
      </c>
      <c r="X691" s="72">
        <f t="shared" si="226"/>
        <v>450</v>
      </c>
      <c r="Y691" s="72">
        <f t="shared" si="227"/>
        <v>450</v>
      </c>
      <c r="Z691" s="72">
        <f t="shared" si="228"/>
        <v>450</v>
      </c>
      <c r="AA691" s="72">
        <f t="shared" si="229"/>
        <v>450</v>
      </c>
      <c r="AB691" s="72">
        <f t="shared" si="230"/>
        <v>450</v>
      </c>
      <c r="AC691" s="72">
        <f t="shared" si="231"/>
        <v>450</v>
      </c>
      <c r="AD691" s="72">
        <f t="shared" si="232"/>
        <v>450</v>
      </c>
      <c r="AE691" s="72">
        <f t="shared" si="233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1448</v>
      </c>
      <c r="E692" s="87" t="s">
        <v>1449</v>
      </c>
      <c r="F692" s="70" t="s">
        <v>1450</v>
      </c>
      <c r="G692" s="85">
        <v>380</v>
      </c>
      <c r="H692" s="70"/>
      <c r="I692" s="70"/>
      <c r="J692" s="70"/>
      <c r="K692" s="72"/>
      <c r="L692" s="72">
        <f t="shared" si="214"/>
        <v>380</v>
      </c>
      <c r="M692" s="72">
        <f t="shared" si="215"/>
        <v>380</v>
      </c>
      <c r="N692" s="72">
        <f t="shared" si="216"/>
        <v>380</v>
      </c>
      <c r="O692" s="72">
        <f t="shared" si="217"/>
        <v>380</v>
      </c>
      <c r="P692" s="72">
        <f t="shared" si="218"/>
        <v>380</v>
      </c>
      <c r="Q692" s="72">
        <f t="shared" si="219"/>
        <v>380</v>
      </c>
      <c r="R692" s="72">
        <f t="shared" si="220"/>
        <v>380</v>
      </c>
      <c r="S692" s="72">
        <f t="shared" si="221"/>
        <v>380</v>
      </c>
      <c r="T692" s="72">
        <f t="shared" si="222"/>
        <v>380</v>
      </c>
      <c r="U692" s="72">
        <f t="shared" si="223"/>
        <v>380</v>
      </c>
      <c r="V692" s="72">
        <f t="shared" si="224"/>
        <v>380</v>
      </c>
      <c r="W692" s="72">
        <f t="shared" si="225"/>
        <v>380</v>
      </c>
      <c r="X692" s="72">
        <f t="shared" si="226"/>
        <v>380</v>
      </c>
      <c r="Y692" s="72">
        <f t="shared" si="227"/>
        <v>380</v>
      </c>
      <c r="Z692" s="72">
        <f t="shared" si="228"/>
        <v>380</v>
      </c>
      <c r="AA692" s="72">
        <f t="shared" si="229"/>
        <v>380</v>
      </c>
      <c r="AB692" s="72">
        <f t="shared" si="230"/>
        <v>380</v>
      </c>
      <c r="AC692" s="72">
        <f t="shared" si="231"/>
        <v>380</v>
      </c>
      <c r="AD692" s="72">
        <f t="shared" si="232"/>
        <v>380</v>
      </c>
      <c r="AE692" s="72">
        <f t="shared" si="233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1451</v>
      </c>
      <c r="E693" s="87" t="s">
        <v>1452</v>
      </c>
      <c r="F693" s="70" t="s">
        <v>1453</v>
      </c>
      <c r="G693" s="85">
        <v>320</v>
      </c>
      <c r="H693" s="70"/>
      <c r="I693" s="70"/>
      <c r="J693" s="70"/>
      <c r="K693" s="72"/>
      <c r="L693" s="72">
        <f t="shared" si="214"/>
        <v>320</v>
      </c>
      <c r="M693" s="72">
        <f t="shared" si="215"/>
        <v>320</v>
      </c>
      <c r="N693" s="72">
        <f t="shared" si="216"/>
        <v>320</v>
      </c>
      <c r="O693" s="72">
        <f t="shared" si="217"/>
        <v>320</v>
      </c>
      <c r="P693" s="72">
        <f t="shared" si="218"/>
        <v>320</v>
      </c>
      <c r="Q693" s="72">
        <f t="shared" si="219"/>
        <v>320</v>
      </c>
      <c r="R693" s="72">
        <f t="shared" si="220"/>
        <v>320</v>
      </c>
      <c r="S693" s="72">
        <f t="shared" si="221"/>
        <v>320</v>
      </c>
      <c r="T693" s="72">
        <f t="shared" si="222"/>
        <v>320</v>
      </c>
      <c r="U693" s="72">
        <f t="shared" si="223"/>
        <v>320</v>
      </c>
      <c r="V693" s="72">
        <f t="shared" si="224"/>
        <v>320</v>
      </c>
      <c r="W693" s="72">
        <f t="shared" si="225"/>
        <v>320</v>
      </c>
      <c r="X693" s="72">
        <f t="shared" si="226"/>
        <v>320</v>
      </c>
      <c r="Y693" s="72">
        <f t="shared" si="227"/>
        <v>320</v>
      </c>
      <c r="Z693" s="72">
        <f t="shared" si="228"/>
        <v>320</v>
      </c>
      <c r="AA693" s="72">
        <f t="shared" si="229"/>
        <v>320</v>
      </c>
      <c r="AB693" s="72">
        <f t="shared" si="230"/>
        <v>320</v>
      </c>
      <c r="AC693" s="72">
        <f t="shared" si="231"/>
        <v>320</v>
      </c>
      <c r="AD693" s="72">
        <f t="shared" si="232"/>
        <v>320</v>
      </c>
      <c r="AE693" s="72">
        <f t="shared" si="233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1454</v>
      </c>
      <c r="E694" s="87" t="s">
        <v>1455</v>
      </c>
      <c r="F694" s="70" t="s">
        <v>1456</v>
      </c>
      <c r="G694" s="85">
        <v>2400</v>
      </c>
      <c r="H694" s="70"/>
      <c r="I694" s="70"/>
      <c r="J694" s="70"/>
      <c r="K694" s="72"/>
      <c r="L694" s="72">
        <f t="shared" si="214"/>
        <v>2400</v>
      </c>
      <c r="M694" s="72">
        <f t="shared" si="215"/>
        <v>2400</v>
      </c>
      <c r="N694" s="72">
        <f t="shared" si="216"/>
        <v>2400</v>
      </c>
      <c r="O694" s="72">
        <f t="shared" si="217"/>
        <v>2400</v>
      </c>
      <c r="P694" s="72">
        <f t="shared" si="218"/>
        <v>2400</v>
      </c>
      <c r="Q694" s="72">
        <f t="shared" si="219"/>
        <v>2400</v>
      </c>
      <c r="R694" s="72">
        <f t="shared" si="220"/>
        <v>2400</v>
      </c>
      <c r="S694" s="72">
        <f t="shared" si="221"/>
        <v>2400</v>
      </c>
      <c r="T694" s="72">
        <f t="shared" si="222"/>
        <v>2400</v>
      </c>
      <c r="U694" s="72">
        <f t="shared" si="223"/>
        <v>2400</v>
      </c>
      <c r="V694" s="72">
        <f t="shared" si="224"/>
        <v>2400</v>
      </c>
      <c r="W694" s="72">
        <f t="shared" si="225"/>
        <v>2400</v>
      </c>
      <c r="X694" s="72">
        <f t="shared" si="226"/>
        <v>2400</v>
      </c>
      <c r="Y694" s="72">
        <f t="shared" si="227"/>
        <v>2400</v>
      </c>
      <c r="Z694" s="72">
        <f t="shared" si="228"/>
        <v>2400</v>
      </c>
      <c r="AA694" s="72">
        <f t="shared" si="229"/>
        <v>2400</v>
      </c>
      <c r="AB694" s="72">
        <f t="shared" si="230"/>
        <v>2400</v>
      </c>
      <c r="AC694" s="72">
        <f t="shared" si="231"/>
        <v>2400</v>
      </c>
      <c r="AD694" s="72">
        <f t="shared" si="232"/>
        <v>2400</v>
      </c>
      <c r="AE694" s="72">
        <f t="shared" si="233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 t="s">
        <v>1918</v>
      </c>
      <c r="D695" s="72" t="s">
        <v>1915</v>
      </c>
      <c r="E695" s="72" t="s">
        <v>79</v>
      </c>
      <c r="F695" s="72"/>
      <c r="G695" s="70" t="s">
        <v>1475</v>
      </c>
      <c r="H695" s="87" t="str">
        <f>Settings!$B$3&amp;".mit.cbintchx."&amp;$G695&amp;"."&amp;$J$404</f>
        <v>egy.mit.cbintchx.cbam.tot.2</v>
      </c>
      <c r="I695" s="72"/>
      <c r="J695" s="72"/>
      <c r="K695" s="72"/>
      <c r="L695" s="101">
        <f t="shared" ref="L695:AE695" si="234">IF(SUMPRODUCT($I$675:$I$682*(L$729:L$736+L$740:L$747)/(L$675:L$682+(L$675:L$682=0)))=0,0,SUMPRODUCT($I$675:$I$682*(L$729:L$736+L$751:L$758+L$740:L$747+L$762:L$769)/(L$675:L$682+(L$675:L$682=0)))/SUMPRODUCT($I$675:$I$682*(L$729:L$736+L$740:L$747)/(L$675:L$682+(L$675:L$682=0)))-1)</f>
        <v>0</v>
      </c>
      <c r="M695" s="101">
        <f t="shared" si="234"/>
        <v>0</v>
      </c>
      <c r="N695" s="101">
        <f t="shared" si="234"/>
        <v>0</v>
      </c>
      <c r="O695" s="101">
        <f t="shared" si="234"/>
        <v>0</v>
      </c>
      <c r="P695" s="101">
        <f t="shared" si="234"/>
        <v>0</v>
      </c>
      <c r="Q695" s="101">
        <f t="shared" si="234"/>
        <v>0</v>
      </c>
      <c r="R695" s="101">
        <f t="shared" si="234"/>
        <v>0</v>
      </c>
      <c r="S695" s="101">
        <f t="shared" si="234"/>
        <v>0</v>
      </c>
      <c r="T695" s="101">
        <f t="shared" si="234"/>
        <v>0</v>
      </c>
      <c r="U695" s="101">
        <f t="shared" si="234"/>
        <v>0</v>
      </c>
      <c r="V695" s="101">
        <f t="shared" si="234"/>
        <v>0</v>
      </c>
      <c r="W695" s="101">
        <f t="shared" si="234"/>
        <v>0</v>
      </c>
      <c r="X695" s="101">
        <f t="shared" si="234"/>
        <v>0</v>
      </c>
      <c r="Y695" s="101">
        <f t="shared" si="234"/>
        <v>0</v>
      </c>
      <c r="Z695" s="101">
        <f t="shared" si="234"/>
        <v>0</v>
      </c>
      <c r="AA695" s="101">
        <f t="shared" si="234"/>
        <v>0</v>
      </c>
      <c r="AB695" s="101">
        <f t="shared" si="234"/>
        <v>0</v>
      </c>
      <c r="AC695" s="101">
        <f t="shared" si="234"/>
        <v>0</v>
      </c>
      <c r="AD695" s="101">
        <f t="shared" si="234"/>
        <v>0</v>
      </c>
      <c r="AE695" s="101">
        <f t="shared" si="234"/>
        <v>0</v>
      </c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72" t="s">
        <v>1916</v>
      </c>
      <c r="E696" s="72" t="s">
        <v>79</v>
      </c>
      <c r="F696" s="72"/>
      <c r="G696" s="70" t="s">
        <v>1475</v>
      </c>
      <c r="H696" s="87" t="str">
        <f>Settings!$B$3&amp;".mit.cbcovx."&amp;$G696&amp;"."&amp;$J$404</f>
        <v>egy.mit.cbcovx.cbam.tot.2</v>
      </c>
      <c r="I696" s="72"/>
      <c r="J696" s="72"/>
      <c r="K696" s="72"/>
      <c r="L696" s="101">
        <f t="shared" ref="L696:AE696" si="235">IF(SUMPRODUCT($I$675:$I$682*(L$729:L$736+L$740:L$747)/(L$675:L$682+(L$675:L$682=0)))=0,0,SUMPRODUCT($I$675:$I$682*(L$729:L$736*$I$729:$I$736*(($F$698:$F$705+$G$698:$G$705)&gt;0)+L$740:L$747*$J$729:$J$736*(($F$709:$F$716+$G$709:$G$716)&gt;0))/(L$675:L$682+(L$675:L$682=0)))/SUMPRODUCT($I$675:$I$682*(L$729:L$736+L$740:L$747)/(L$675:L$682+(L$675:L$682=0))))</f>
        <v>0.52437567936948148</v>
      </c>
      <c r="M696" s="101">
        <f t="shared" si="235"/>
        <v>0.52437567936948137</v>
      </c>
      <c r="N696" s="101">
        <f t="shared" si="235"/>
        <v>0.52437567936948148</v>
      </c>
      <c r="O696" s="101">
        <f t="shared" si="235"/>
        <v>0.52437567936948137</v>
      </c>
      <c r="P696" s="101">
        <f t="shared" si="235"/>
        <v>0.52437567936948148</v>
      </c>
      <c r="Q696" s="101">
        <f t="shared" si="235"/>
        <v>0.52437567936948148</v>
      </c>
      <c r="R696" s="101">
        <f t="shared" si="235"/>
        <v>0.52437567936948148</v>
      </c>
      <c r="S696" s="101">
        <f t="shared" si="235"/>
        <v>0.52437567936948148</v>
      </c>
      <c r="T696" s="101">
        <f t="shared" si="235"/>
        <v>0.52437567936948148</v>
      </c>
      <c r="U696" s="101">
        <f t="shared" si="235"/>
        <v>0.52437567936948148</v>
      </c>
      <c r="V696" s="101">
        <f t="shared" si="235"/>
        <v>0.52437567936948148</v>
      </c>
      <c r="W696" s="101">
        <f t="shared" si="235"/>
        <v>0.52437567936948148</v>
      </c>
      <c r="X696" s="101">
        <f t="shared" si="235"/>
        <v>0.52437567936948148</v>
      </c>
      <c r="Y696" s="101">
        <f t="shared" si="235"/>
        <v>0.52437567936948148</v>
      </c>
      <c r="Z696" s="101">
        <f t="shared" si="235"/>
        <v>0.52437567936948137</v>
      </c>
      <c r="AA696" s="101">
        <f t="shared" si="235"/>
        <v>0.52437567936948137</v>
      </c>
      <c r="AB696" s="101">
        <f t="shared" si="235"/>
        <v>0.52437567936948137</v>
      </c>
      <c r="AC696" s="101">
        <f t="shared" si="235"/>
        <v>0.52437567936948148</v>
      </c>
      <c r="AD696" s="101">
        <f t="shared" si="235"/>
        <v>0.52437567936948148</v>
      </c>
      <c r="AE696" s="101">
        <f t="shared" si="235"/>
        <v>0.52437567936948148</v>
      </c>
      <c r="AF696" s="70"/>
      <c r="AG696" s="70"/>
      <c r="AH696" s="70"/>
      <c r="AI696" s="70"/>
    </row>
    <row r="697" spans="1:35" x14ac:dyDescent="0.45">
      <c r="A697" s="70"/>
      <c r="B697" s="52"/>
      <c r="C697" s="73" t="s">
        <v>1457</v>
      </c>
      <c r="D697" s="73"/>
      <c r="E697" s="72" t="s">
        <v>1879</v>
      </c>
      <c r="F697" s="70" t="s">
        <v>1458</v>
      </c>
      <c r="G697" s="70" t="s">
        <v>1459</v>
      </c>
      <c r="H697" s="71"/>
      <c r="I697" s="71"/>
      <c r="J697" s="71"/>
      <c r="K697" s="72"/>
      <c r="L697" s="74">
        <f t="shared" ref="L697:AE697" si="236">L645</f>
        <v>2022</v>
      </c>
      <c r="M697" s="74">
        <f t="shared" si="236"/>
        <v>2023</v>
      </c>
      <c r="N697" s="74">
        <f t="shared" si="236"/>
        <v>2024</v>
      </c>
      <c r="O697" s="74">
        <f t="shared" si="236"/>
        <v>2025</v>
      </c>
      <c r="P697" s="74">
        <f t="shared" si="236"/>
        <v>2026</v>
      </c>
      <c r="Q697" s="74">
        <f t="shared" si="236"/>
        <v>2027</v>
      </c>
      <c r="R697" s="74">
        <f t="shared" si="236"/>
        <v>2028</v>
      </c>
      <c r="S697" s="74">
        <f t="shared" si="236"/>
        <v>2029</v>
      </c>
      <c r="T697" s="74">
        <f t="shared" si="236"/>
        <v>2030</v>
      </c>
      <c r="U697" s="74">
        <f t="shared" si="236"/>
        <v>2031</v>
      </c>
      <c r="V697" s="74">
        <f t="shared" si="236"/>
        <v>2032</v>
      </c>
      <c r="W697" s="74">
        <f t="shared" si="236"/>
        <v>2033</v>
      </c>
      <c r="X697" s="74">
        <f t="shared" si="236"/>
        <v>2034</v>
      </c>
      <c r="Y697" s="74">
        <f t="shared" si="236"/>
        <v>2035</v>
      </c>
      <c r="Z697" s="74">
        <f t="shared" si="236"/>
        <v>2036</v>
      </c>
      <c r="AA697" s="74">
        <f t="shared" si="236"/>
        <v>2037</v>
      </c>
      <c r="AB697" s="74">
        <f t="shared" si="236"/>
        <v>2038</v>
      </c>
      <c r="AC697" s="74">
        <f t="shared" si="236"/>
        <v>2039</v>
      </c>
      <c r="AD697" s="74">
        <f t="shared" si="236"/>
        <v>2040</v>
      </c>
      <c r="AE697" s="74">
        <f t="shared" si="236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1433</v>
      </c>
      <c r="E698" s="72">
        <f t="shared" ref="E698:E705" si="237">$H663*$H$672+$I663*$I$672</f>
        <v>0.57099076999999998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7.1373846250000001</v>
      </c>
      <c r="R698" s="70">
        <f>(F698*R646+G698*R647)*E698</f>
        <v>14.27476925</v>
      </c>
      <c r="S698" s="70">
        <f>(F698*S646+G698*S647)*E698</f>
        <v>21.412153874999998</v>
      </c>
      <c r="T698" s="70">
        <f>(F698*T646+G698*T647)*E698</f>
        <v>28.549538500000001</v>
      </c>
      <c r="U698" s="70">
        <f>(F698*U646+G698*U647)*E698</f>
        <v>35.686923125</v>
      </c>
      <c r="V698" s="70">
        <f>(F698*V646+G698*V647)*E698</f>
        <v>42.824307749999996</v>
      </c>
      <c r="W698" s="70">
        <f>(F698*W646+G698*W647)*E698</f>
        <v>49.961692374999998</v>
      </c>
      <c r="X698" s="70">
        <f>(F698*X646+G698*X647)*E698</f>
        <v>57.099077000000001</v>
      </c>
      <c r="Y698" s="70">
        <f>(F698*Y646+G698*Y647)*E698</f>
        <v>64.236461625000004</v>
      </c>
      <c r="Z698" s="70">
        <f>(F698*Z646+G698*Z647)*E698</f>
        <v>71.37384625</v>
      </c>
      <c r="AA698" s="70">
        <f>(F698*AA646+G698*AA647)*E698</f>
        <v>78.511230874999995</v>
      </c>
      <c r="AB698" s="70">
        <f>(F698*AB646+G698*AB647)*E698</f>
        <v>85.648615499999991</v>
      </c>
      <c r="AC698" s="70">
        <f>(F698*AC646+G698*AC647)*E698</f>
        <v>92.786000125000001</v>
      </c>
      <c r="AD698" s="70">
        <f>(F698*AD646+G698*AD647)*E698</f>
        <v>99.923384749999997</v>
      </c>
      <c r="AE698" s="70">
        <f>(F698*AE646+G698*AE647)*E698</f>
        <v>107.06076937499999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1436</v>
      </c>
      <c r="E699" s="72">
        <f t="shared" si="237"/>
        <v>4.4880000000000003E-2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0.56100000000000005</v>
      </c>
      <c r="R699" s="70">
        <f>(F699*R646+G699*R647)*E699</f>
        <v>1.1220000000000001</v>
      </c>
      <c r="S699" s="70">
        <f>(F699*S646+G699*S647)*E699</f>
        <v>1.6830000000000001</v>
      </c>
      <c r="T699" s="70">
        <f>(F699*T646+G699*T647)*E699</f>
        <v>2.2440000000000002</v>
      </c>
      <c r="U699" s="70">
        <f>(F699*U646+G699*U647)*E699</f>
        <v>2.8050000000000002</v>
      </c>
      <c r="V699" s="70">
        <f>(F699*V646+G699*V647)*E699</f>
        <v>3.3660000000000001</v>
      </c>
      <c r="W699" s="70">
        <f>(F699*W646+G699*W647)*E699</f>
        <v>3.9270000000000005</v>
      </c>
      <c r="X699" s="70">
        <f>(F699*X646+G699*X647)*E699</f>
        <v>4.4880000000000004</v>
      </c>
      <c r="Y699" s="70">
        <f>(F699*Y646+G699*Y647)*E699</f>
        <v>5.0490000000000004</v>
      </c>
      <c r="Z699" s="70">
        <f>(F699*Z646+G699*Z647)*E699</f>
        <v>5.61</v>
      </c>
      <c r="AA699" s="70">
        <f>(F699*AA646+G699*AA647)*E699</f>
        <v>6.1710000000000003</v>
      </c>
      <c r="AB699" s="70">
        <f>(F699*AB646+G699*AB647)*E699</f>
        <v>6.7320000000000002</v>
      </c>
      <c r="AC699" s="70">
        <f>(F699*AC646+G699*AC647)*E699</f>
        <v>7.2930000000000001</v>
      </c>
      <c r="AD699" s="70">
        <f>(F699*AD646+G699*AD647)*E699</f>
        <v>7.854000000000001</v>
      </c>
      <c r="AE699" s="70">
        <f>(F699*AE646+G699*AE647)*E699</f>
        <v>8.4150000000000009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1439</v>
      </c>
      <c r="E700" s="72">
        <f t="shared" si="237"/>
        <v>1.4249802699999998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17.812253374999997</v>
      </c>
      <c r="R700" s="70">
        <f>(F700*R646+G700*R647)*E700</f>
        <v>35.624506749999995</v>
      </c>
      <c r="S700" s="70">
        <f>(F700*S646+G700*S647)*E700</f>
        <v>53.436760124999992</v>
      </c>
      <c r="T700" s="70">
        <f>(F700*T646+G700*T647)*E700</f>
        <v>71.24901349999999</v>
      </c>
      <c r="U700" s="70">
        <f>(F700*U646+G700*U647)*E700</f>
        <v>89.061266874999987</v>
      </c>
      <c r="V700" s="70">
        <f>(F700*V646+G700*V647)*E700</f>
        <v>106.87352024999998</v>
      </c>
      <c r="W700" s="70">
        <f>(F700*W646+G700*W647)*E700</f>
        <v>124.68577362499998</v>
      </c>
      <c r="X700" s="70">
        <f>(F700*X646+G700*X647)*E700</f>
        <v>142.49802699999998</v>
      </c>
      <c r="Y700" s="70">
        <f>(F700*Y646+G700*Y647)*E700</f>
        <v>160.31028037499999</v>
      </c>
      <c r="Z700" s="70">
        <f>(F700*Z646+G700*Z647)*E700</f>
        <v>178.12253374999997</v>
      </c>
      <c r="AA700" s="70">
        <f>(F700*AA646+G700*AA647)*E700</f>
        <v>195.93478712499999</v>
      </c>
      <c r="AB700" s="70">
        <f>(F700*AB646+G700*AB647)*E700</f>
        <v>213.74704049999997</v>
      </c>
      <c r="AC700" s="70">
        <f>(F700*AC646+G700*AC647)*E700</f>
        <v>231.55929387499998</v>
      </c>
      <c r="AD700" s="70">
        <f>(F700*AD646+G700*AD647)*E700</f>
        <v>249.37154724999996</v>
      </c>
      <c r="AE700" s="70">
        <f>(F700*AE646+G700*AE647)*E700</f>
        <v>267.18380062499995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1442</v>
      </c>
      <c r="E701" s="72">
        <f t="shared" si="237"/>
        <v>0.31356849999999997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3.9196062499999997</v>
      </c>
      <c r="R701" s="70">
        <f>(F701*R646+G701*R647)*E701</f>
        <v>7.8392124999999995</v>
      </c>
      <c r="S701" s="70">
        <f>(F701*S646+G701*S647)*E701</f>
        <v>11.75881875</v>
      </c>
      <c r="T701" s="70">
        <f>(F701*T646+G701*T647)*E701</f>
        <v>15.678424999999999</v>
      </c>
      <c r="U701" s="70">
        <f>(F701*U646+G701*U647)*E701</f>
        <v>19.598031249999998</v>
      </c>
      <c r="V701" s="70">
        <f>(F701*V646+G701*V647)*E701</f>
        <v>23.517637499999999</v>
      </c>
      <c r="W701" s="70">
        <f>(F701*W646+G701*W647)*E701</f>
        <v>27.437243749999997</v>
      </c>
      <c r="X701" s="70">
        <f>(F701*X646+G701*X647)*E701</f>
        <v>31.356849999999998</v>
      </c>
      <c r="Y701" s="70">
        <f>(F701*Y646+G701*Y647)*E701</f>
        <v>35.276456249999995</v>
      </c>
      <c r="Z701" s="70">
        <f>(F701*Z646+G701*Z647)*E701</f>
        <v>39.196062499999996</v>
      </c>
      <c r="AA701" s="70">
        <f>(F701*AA646+G701*AA647)*E701</f>
        <v>43.115668749999998</v>
      </c>
      <c r="AB701" s="70">
        <f>(F701*AB646+G701*AB647)*E701</f>
        <v>47.035274999999999</v>
      </c>
      <c r="AC701" s="70">
        <f>(F701*AC646+G701*AC647)*E701</f>
        <v>50.954881249999993</v>
      </c>
      <c r="AD701" s="70">
        <f>(F701*AD646+G701*AD647)*E701</f>
        <v>54.874487499999994</v>
      </c>
      <c r="AE701" s="70">
        <f>(F701*AE646+G701*AE647)*E701</f>
        <v>58.794093749999995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1445</v>
      </c>
      <c r="E702" s="72">
        <f t="shared" si="237"/>
        <v>1.97472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24.684000000000001</v>
      </c>
      <c r="R702" s="70">
        <f>(F702*R646+G702*R647)*E702</f>
        <v>49.368000000000002</v>
      </c>
      <c r="S702" s="70">
        <f>(F702*S646+G702*S647)*E702</f>
        <v>74.052000000000007</v>
      </c>
      <c r="T702" s="70">
        <f>(F702*T646+G702*T647)*E702</f>
        <v>98.736000000000004</v>
      </c>
      <c r="U702" s="70">
        <f>(F702*U646+G702*U647)*E702</f>
        <v>123.42</v>
      </c>
      <c r="V702" s="70">
        <f>(F702*V646+G702*V647)*E702</f>
        <v>148.10400000000001</v>
      </c>
      <c r="W702" s="70">
        <f>(F702*W646+G702*W647)*E702</f>
        <v>172.78800000000001</v>
      </c>
      <c r="X702" s="70">
        <f>(F702*X646+G702*X647)*E702</f>
        <v>197.47200000000001</v>
      </c>
      <c r="Y702" s="70">
        <f>(F702*Y646+G702*Y647)*E702</f>
        <v>222.15600000000001</v>
      </c>
      <c r="Z702" s="70">
        <f>(F702*Z646+G702*Z647)*E702</f>
        <v>246.84</v>
      </c>
      <c r="AA702" s="70">
        <f>(F702*AA646+G702*AA647)*E702</f>
        <v>271.524</v>
      </c>
      <c r="AB702" s="70">
        <f>(F702*AB646+G702*AB647)*E702</f>
        <v>296.20800000000003</v>
      </c>
      <c r="AC702" s="70">
        <f>(F702*AC646+G702*AC647)*E702</f>
        <v>320.892</v>
      </c>
      <c r="AD702" s="70">
        <f>(F702*AD646+G702*AD647)*E702</f>
        <v>345.57600000000002</v>
      </c>
      <c r="AE702" s="70">
        <f>(F702*AE646+G702*AE647)*E702</f>
        <v>370.26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1448</v>
      </c>
      <c r="E703" s="72">
        <f t="shared" si="237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1451</v>
      </c>
      <c r="E704" s="72">
        <f t="shared" si="237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1454</v>
      </c>
      <c r="E705" s="72">
        <f t="shared" si="237"/>
        <v>0.12342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1.5427500000000001</v>
      </c>
      <c r="R705" s="70">
        <f>(F705*R646+G705*R647)*E705</f>
        <v>3.0855000000000001</v>
      </c>
      <c r="S705" s="70">
        <f>(F705*S646+G705*S647)*E705</f>
        <v>4.6282500000000004</v>
      </c>
      <c r="T705" s="70">
        <f>(F705*T646+G705*T647)*E705</f>
        <v>6.1710000000000003</v>
      </c>
      <c r="U705" s="70">
        <f>(F705*U646+G705*U647)*E705</f>
        <v>7.7137500000000001</v>
      </c>
      <c r="V705" s="70">
        <f>(F705*V646+G705*V647)*E705</f>
        <v>9.2565000000000008</v>
      </c>
      <c r="W705" s="70">
        <f>(F705*W646+G705*W647)*E705</f>
        <v>10.799250000000001</v>
      </c>
      <c r="X705" s="70">
        <f>(F705*X646+G705*X647)*E705</f>
        <v>12.342000000000001</v>
      </c>
      <c r="Y705" s="70">
        <f>(F705*Y646+G705*Y647)*E705</f>
        <v>13.88475</v>
      </c>
      <c r="Z705" s="70">
        <f>(F705*Z646+G705*Z647)*E705</f>
        <v>15.4275</v>
      </c>
      <c r="AA705" s="70">
        <f>(F705*AA646+G705*AA647)*E705</f>
        <v>16.97025</v>
      </c>
      <c r="AB705" s="70">
        <f>(F705*AB646+G705*AB647)*E705</f>
        <v>18.513000000000002</v>
      </c>
      <c r="AC705" s="70">
        <f>(F705*AC646+G705*AC647)*E705</f>
        <v>20.05575</v>
      </c>
      <c r="AD705" s="70">
        <f>(F705*AD646+G705*AD647)*E705</f>
        <v>21.598500000000001</v>
      </c>
      <c r="AE705" s="70">
        <f>(F705*AE646+G705*AE647)*E705</f>
        <v>23.141249999999999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2" t="s">
        <v>1982</v>
      </c>
      <c r="E706" s="72" t="s">
        <v>79</v>
      </c>
      <c r="F706" s="72"/>
      <c r="G706" s="70" t="s">
        <v>1475</v>
      </c>
      <c r="H706" s="87" t="str">
        <f>Settings!$B$3&amp;".mit.cbqch."&amp;$G706&amp;"."&amp;$J$404</f>
        <v>egy.mit.cbqch.cbam.tot.2</v>
      </c>
      <c r="I706" s="72"/>
      <c r="J706" s="72"/>
      <c r="K706" s="72"/>
      <c r="L706" s="101">
        <f t="shared" ref="L706:AE706" si="238">IF(SUMPRODUCT((L$729:L$736+L$740:L$747)*(1+L$719:L$726)^(-$J$675:$J$682))=0,0,L$717/SUMPRODUCT((L$729:L$736+L$740:L$747)*(1+L$719:L$726)^(-$J$675:$J$682)))</f>
        <v>0</v>
      </c>
      <c r="M706" s="101">
        <f t="shared" si="238"/>
        <v>0</v>
      </c>
      <c r="N706" s="101">
        <f t="shared" si="238"/>
        <v>0</v>
      </c>
      <c r="O706" s="101">
        <f t="shared" si="238"/>
        <v>0</v>
      </c>
      <c r="P706" s="101">
        <f t="shared" si="238"/>
        <v>0</v>
      </c>
      <c r="Q706" s="101">
        <f t="shared" si="238"/>
        <v>0</v>
      </c>
      <c r="R706" s="101">
        <f t="shared" si="238"/>
        <v>0</v>
      </c>
      <c r="S706" s="101">
        <f t="shared" si="238"/>
        <v>0</v>
      </c>
      <c r="T706" s="101">
        <f t="shared" si="238"/>
        <v>0</v>
      </c>
      <c r="U706" s="101">
        <f t="shared" si="238"/>
        <v>0</v>
      </c>
      <c r="V706" s="101">
        <f t="shared" si="238"/>
        <v>0</v>
      </c>
      <c r="W706" s="101">
        <f t="shared" si="238"/>
        <v>0</v>
      </c>
      <c r="X706" s="101">
        <f t="shared" si="238"/>
        <v>0</v>
      </c>
      <c r="Y706" s="101">
        <f t="shared" si="238"/>
        <v>0</v>
      </c>
      <c r="Z706" s="101">
        <f t="shared" si="238"/>
        <v>0</v>
      </c>
      <c r="AA706" s="101">
        <f t="shared" si="238"/>
        <v>0</v>
      </c>
      <c r="AB706" s="101">
        <f t="shared" si="238"/>
        <v>0</v>
      </c>
      <c r="AC706" s="101">
        <f t="shared" si="238"/>
        <v>0</v>
      </c>
      <c r="AD706" s="101">
        <f t="shared" si="238"/>
        <v>0</v>
      </c>
      <c r="AE706" s="101">
        <f t="shared" si="238"/>
        <v>0</v>
      </c>
      <c r="AF706" s="70"/>
      <c r="AG706" s="70"/>
      <c r="AH706" s="70"/>
      <c r="AI706" s="70"/>
    </row>
    <row r="707" spans="1:35" x14ac:dyDescent="0.45">
      <c r="A707" s="71"/>
      <c r="B707" s="52"/>
      <c r="C707" s="70"/>
      <c r="D707" s="73" t="s">
        <v>1900</v>
      </c>
      <c r="E707" s="71" t="s">
        <v>1398</v>
      </c>
      <c r="F707" s="71" t="s">
        <v>26</v>
      </c>
      <c r="G707" s="86" t="str">
        <f>Settings!$B$3&amp;".mit.pptraj."&amp;$J$404</f>
        <v>egy.mit.pptraj.2</v>
      </c>
      <c r="H707" s="71"/>
      <c r="I707" s="71" t="s">
        <v>1901</v>
      </c>
      <c r="J707" s="71"/>
      <c r="K707" s="72"/>
      <c r="L707" s="71">
        <f>INDEX(Data_Prices!L:L,MATCH($G707,Data_Prices!$A:$A,0))</f>
        <v>0</v>
      </c>
      <c r="M707" s="71">
        <f>INDEX(Data_Prices!M:M,MATCH($G707,Data_Prices!$A:$A,0))</f>
        <v>0</v>
      </c>
      <c r="N707" s="71">
        <f>INDEX(Data_Prices!N:N,MATCH($G707,Data_Prices!$A:$A,0))</f>
        <v>0</v>
      </c>
      <c r="O707" s="71">
        <f>INDEX(Data_Prices!O:O,MATCH($G707,Data_Prices!$A:$A,0))</f>
        <v>0</v>
      </c>
      <c r="P707" s="71">
        <f>INDEX(Data_Prices!P:P,MATCH($G707,Data_Prices!$A:$A,0))</f>
        <v>0</v>
      </c>
      <c r="Q707" s="71">
        <f>INDEX(Data_Prices!Q:Q,MATCH($G707,Data_Prices!$A:$A,0))</f>
        <v>0</v>
      </c>
      <c r="R707" s="71">
        <f>INDEX(Data_Prices!R:R,MATCH($G707,Data_Prices!$A:$A,0))</f>
        <v>0</v>
      </c>
      <c r="S707" s="71">
        <f>INDEX(Data_Prices!S:S,MATCH($G707,Data_Prices!$A:$A,0))</f>
        <v>0</v>
      </c>
      <c r="T707" s="71">
        <f>INDEX(Data_Prices!T:T,MATCH($G707,Data_Prices!$A:$A,0))</f>
        <v>0</v>
      </c>
      <c r="U707" s="71">
        <f>INDEX(Data_Prices!U:U,MATCH($G707,Data_Prices!$A:$A,0))</f>
        <v>0</v>
      </c>
      <c r="V707" s="71">
        <f>INDEX(Data_Prices!V:V,MATCH($G707,Data_Prices!$A:$A,0))</f>
        <v>0</v>
      </c>
      <c r="W707" s="71">
        <f>INDEX(Data_Prices!W:W,MATCH($G707,Data_Prices!$A:$A,0))</f>
        <v>0</v>
      </c>
      <c r="X707" s="71">
        <f>INDEX(Data_Prices!X:X,MATCH($G707,Data_Prices!$A:$A,0))</f>
        <v>0</v>
      </c>
      <c r="Y707" s="71">
        <f>INDEX(Data_Prices!Y:Y,MATCH($G707,Data_Prices!$A:$A,0))</f>
        <v>0</v>
      </c>
      <c r="Z707" s="71">
        <f>INDEX(Data_Prices!Z:Z,MATCH($G707,Data_Prices!$A:$A,0))</f>
        <v>0</v>
      </c>
      <c r="AA707" s="71">
        <f>INDEX(Data_Prices!AA:AA,MATCH($G707,Data_Prices!$A:$A,0))</f>
        <v>0</v>
      </c>
      <c r="AB707" s="71">
        <f>INDEX(Data_Prices!AB:AB,MATCH($G707,Data_Prices!$A:$A,0))</f>
        <v>0</v>
      </c>
      <c r="AC707" s="71">
        <f>INDEX(Data_Prices!AC:AC,MATCH($G707,Data_Prices!$A:$A,0))</f>
        <v>0</v>
      </c>
      <c r="AD707" s="71">
        <f>INDEX(Data_Prices!AD:AD,MATCH($G707,Data_Prices!$A:$A,0))</f>
        <v>0</v>
      </c>
      <c r="AE707" s="71">
        <f>INDEX(Data_Prices!AE:AE,MATCH($G707,Data_Prices!$A:$A,0))</f>
        <v>0</v>
      </c>
      <c r="AF707" s="71"/>
      <c r="AG707" s="70"/>
      <c r="AH707" s="70"/>
      <c r="AI707" s="70"/>
    </row>
    <row r="708" spans="1:35" x14ac:dyDescent="0.45">
      <c r="A708" s="70"/>
      <c r="B708" s="52"/>
      <c r="C708" s="73" t="s">
        <v>1460</v>
      </c>
      <c r="D708" s="73"/>
      <c r="E708" s="72" t="s">
        <v>1880</v>
      </c>
      <c r="F708" s="70" t="s">
        <v>1461</v>
      </c>
      <c r="G708" s="70" t="s">
        <v>1462</v>
      </c>
      <c r="H708" s="71"/>
      <c r="I708" s="71"/>
      <c r="J708" s="71"/>
      <c r="K708" s="72"/>
      <c r="L708" s="74">
        <f t="shared" ref="L708:AE708" si="239">L697</f>
        <v>2022</v>
      </c>
      <c r="M708" s="74">
        <f t="shared" si="239"/>
        <v>2023</v>
      </c>
      <c r="N708" s="74">
        <f t="shared" si="239"/>
        <v>2024</v>
      </c>
      <c r="O708" s="74">
        <f t="shared" si="239"/>
        <v>2025</v>
      </c>
      <c r="P708" s="74">
        <f t="shared" si="239"/>
        <v>2026</v>
      </c>
      <c r="Q708" s="74">
        <f t="shared" si="239"/>
        <v>2027</v>
      </c>
      <c r="R708" s="74">
        <f t="shared" si="239"/>
        <v>2028</v>
      </c>
      <c r="S708" s="74">
        <f t="shared" si="239"/>
        <v>2029</v>
      </c>
      <c r="T708" s="74">
        <f t="shared" si="239"/>
        <v>2030</v>
      </c>
      <c r="U708" s="74">
        <f t="shared" si="239"/>
        <v>2031</v>
      </c>
      <c r="V708" s="74">
        <f t="shared" si="239"/>
        <v>2032</v>
      </c>
      <c r="W708" s="74">
        <f t="shared" si="239"/>
        <v>2033</v>
      </c>
      <c r="X708" s="74">
        <f t="shared" si="239"/>
        <v>2034</v>
      </c>
      <c r="Y708" s="74">
        <f t="shared" si="239"/>
        <v>2035</v>
      </c>
      <c r="Z708" s="74">
        <f t="shared" si="239"/>
        <v>2036</v>
      </c>
      <c r="AA708" s="74">
        <f t="shared" si="239"/>
        <v>2037</v>
      </c>
      <c r="AB708" s="74">
        <f t="shared" si="239"/>
        <v>2038</v>
      </c>
      <c r="AC708" s="74">
        <f t="shared" si="239"/>
        <v>2039</v>
      </c>
      <c r="AD708" s="74">
        <f t="shared" si="239"/>
        <v>2040</v>
      </c>
      <c r="AE708" s="74">
        <f t="shared" si="239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1433</v>
      </c>
      <c r="E709" s="72">
        <f t="shared" ref="E709:E716" si="240">MAX($J663,0)*$J$672+MAX($K663,0)*$K$672</f>
        <v>3.7901020000000001E-2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 t="shared" ref="L709:U716" si="241">($F709*L$707+$G709*L$647)*$E709</f>
        <v>0</v>
      </c>
      <c r="M709" s="81">
        <f t="shared" si="241"/>
        <v>0</v>
      </c>
      <c r="N709" s="81">
        <f t="shared" si="241"/>
        <v>0</v>
      </c>
      <c r="O709" s="81">
        <f t="shared" si="241"/>
        <v>0</v>
      </c>
      <c r="P709" s="81">
        <f t="shared" si="241"/>
        <v>0</v>
      </c>
      <c r="Q709" s="81">
        <f t="shared" si="241"/>
        <v>0</v>
      </c>
      <c r="R709" s="81">
        <f t="shared" si="241"/>
        <v>0</v>
      </c>
      <c r="S709" s="81">
        <f t="shared" si="241"/>
        <v>0</v>
      </c>
      <c r="T709" s="81">
        <f t="shared" si="241"/>
        <v>0</v>
      </c>
      <c r="U709" s="81">
        <f t="shared" si="241"/>
        <v>0</v>
      </c>
      <c r="V709" s="81">
        <f t="shared" ref="V709:AE716" si="242">($F709*V$707+$G709*V$647)*$E709</f>
        <v>0</v>
      </c>
      <c r="W709" s="81">
        <f t="shared" si="242"/>
        <v>0</v>
      </c>
      <c r="X709" s="81">
        <f t="shared" si="242"/>
        <v>0</v>
      </c>
      <c r="Y709" s="81">
        <f t="shared" si="242"/>
        <v>0</v>
      </c>
      <c r="Z709" s="81">
        <f t="shared" si="242"/>
        <v>0</v>
      </c>
      <c r="AA709" s="81">
        <f t="shared" si="242"/>
        <v>0</v>
      </c>
      <c r="AB709" s="81">
        <f t="shared" si="242"/>
        <v>0</v>
      </c>
      <c r="AC709" s="81">
        <f t="shared" si="242"/>
        <v>0</v>
      </c>
      <c r="AD709" s="81">
        <f t="shared" si="242"/>
        <v>0</v>
      </c>
      <c r="AE709" s="81">
        <f t="shared" si="242"/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1436</v>
      </c>
      <c r="E710" s="72">
        <f t="shared" si="240"/>
        <v>4.3981149999999997E-2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 t="shared" si="241"/>
        <v>0</v>
      </c>
      <c r="M710" s="81">
        <f t="shared" si="241"/>
        <v>0</v>
      </c>
      <c r="N710" s="81">
        <f t="shared" si="241"/>
        <v>0</v>
      </c>
      <c r="O710" s="81">
        <f t="shared" si="241"/>
        <v>0</v>
      </c>
      <c r="P710" s="81">
        <f t="shared" si="241"/>
        <v>0</v>
      </c>
      <c r="Q710" s="81">
        <f t="shared" si="241"/>
        <v>0</v>
      </c>
      <c r="R710" s="81">
        <f t="shared" si="241"/>
        <v>0</v>
      </c>
      <c r="S710" s="81">
        <f t="shared" si="241"/>
        <v>0</v>
      </c>
      <c r="T710" s="81">
        <f t="shared" si="241"/>
        <v>0</v>
      </c>
      <c r="U710" s="81">
        <f t="shared" si="241"/>
        <v>0</v>
      </c>
      <c r="V710" s="81">
        <f t="shared" si="242"/>
        <v>0</v>
      </c>
      <c r="W710" s="81">
        <f t="shared" si="242"/>
        <v>0</v>
      </c>
      <c r="X710" s="81">
        <f t="shared" si="242"/>
        <v>0</v>
      </c>
      <c r="Y710" s="81">
        <f t="shared" si="242"/>
        <v>0</v>
      </c>
      <c r="Z710" s="81">
        <f t="shared" si="242"/>
        <v>0</v>
      </c>
      <c r="AA710" s="81">
        <f t="shared" si="242"/>
        <v>0</v>
      </c>
      <c r="AB710" s="81">
        <f t="shared" si="242"/>
        <v>0</v>
      </c>
      <c r="AC710" s="81">
        <f t="shared" si="242"/>
        <v>0</v>
      </c>
      <c r="AD710" s="81">
        <f t="shared" si="242"/>
        <v>0</v>
      </c>
      <c r="AE710" s="81">
        <f t="shared" si="242"/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1439</v>
      </c>
      <c r="E711" s="72">
        <f t="shared" si="240"/>
        <v>5.276542E-2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 t="shared" si="241"/>
        <v>0</v>
      </c>
      <c r="M711" s="81">
        <f t="shared" si="241"/>
        <v>0</v>
      </c>
      <c r="N711" s="81">
        <f t="shared" si="241"/>
        <v>0</v>
      </c>
      <c r="O711" s="81">
        <f t="shared" si="241"/>
        <v>0</v>
      </c>
      <c r="P711" s="81">
        <f t="shared" si="241"/>
        <v>0</v>
      </c>
      <c r="Q711" s="81">
        <f t="shared" si="241"/>
        <v>0</v>
      </c>
      <c r="R711" s="81">
        <f t="shared" si="241"/>
        <v>0</v>
      </c>
      <c r="S711" s="81">
        <f t="shared" si="241"/>
        <v>0</v>
      </c>
      <c r="T711" s="81">
        <f t="shared" si="241"/>
        <v>0</v>
      </c>
      <c r="U711" s="81">
        <f t="shared" si="241"/>
        <v>0</v>
      </c>
      <c r="V711" s="81">
        <f t="shared" si="242"/>
        <v>0</v>
      </c>
      <c r="W711" s="81">
        <f t="shared" si="242"/>
        <v>0</v>
      </c>
      <c r="X711" s="81">
        <f t="shared" si="242"/>
        <v>0</v>
      </c>
      <c r="Y711" s="81">
        <f t="shared" si="242"/>
        <v>0</v>
      </c>
      <c r="Z711" s="81">
        <f t="shared" si="242"/>
        <v>0</v>
      </c>
      <c r="AA711" s="81">
        <f t="shared" si="242"/>
        <v>0</v>
      </c>
      <c r="AB711" s="81">
        <f t="shared" si="242"/>
        <v>0</v>
      </c>
      <c r="AC711" s="81">
        <f t="shared" si="242"/>
        <v>0</v>
      </c>
      <c r="AD711" s="81">
        <f t="shared" si="242"/>
        <v>0</v>
      </c>
      <c r="AE711" s="81">
        <f t="shared" si="242"/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1442</v>
      </c>
      <c r="E712" s="72">
        <f t="shared" si="240"/>
        <v>0.53702616000000003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 t="shared" si="241"/>
        <v>0</v>
      </c>
      <c r="M712" s="81">
        <f t="shared" si="241"/>
        <v>0</v>
      </c>
      <c r="N712" s="81">
        <f t="shared" si="241"/>
        <v>0</v>
      </c>
      <c r="O712" s="81">
        <f t="shared" si="241"/>
        <v>0</v>
      </c>
      <c r="P712" s="81">
        <f t="shared" si="241"/>
        <v>0</v>
      </c>
      <c r="Q712" s="81">
        <f t="shared" si="241"/>
        <v>0</v>
      </c>
      <c r="R712" s="81">
        <f t="shared" si="241"/>
        <v>0</v>
      </c>
      <c r="S712" s="81">
        <f t="shared" si="241"/>
        <v>0</v>
      </c>
      <c r="T712" s="81">
        <f t="shared" si="241"/>
        <v>0</v>
      </c>
      <c r="U712" s="81">
        <f t="shared" si="241"/>
        <v>0</v>
      </c>
      <c r="V712" s="81">
        <f t="shared" si="242"/>
        <v>0</v>
      </c>
      <c r="W712" s="81">
        <f t="shared" si="242"/>
        <v>0</v>
      </c>
      <c r="X712" s="81">
        <f t="shared" si="242"/>
        <v>0</v>
      </c>
      <c r="Y712" s="81">
        <f t="shared" si="242"/>
        <v>0</v>
      </c>
      <c r="Z712" s="81">
        <f t="shared" si="242"/>
        <v>0</v>
      </c>
      <c r="AA712" s="81">
        <f t="shared" si="242"/>
        <v>0</v>
      </c>
      <c r="AB712" s="81">
        <f t="shared" si="242"/>
        <v>0</v>
      </c>
      <c r="AC712" s="81">
        <f t="shared" si="242"/>
        <v>0</v>
      </c>
      <c r="AD712" s="81">
        <f t="shared" si="242"/>
        <v>0</v>
      </c>
      <c r="AE712" s="81">
        <f t="shared" si="242"/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1445</v>
      </c>
      <c r="E713" s="72">
        <f t="shared" si="240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 t="shared" si="241"/>
        <v>0</v>
      </c>
      <c r="M713" s="81">
        <f t="shared" si="241"/>
        <v>0</v>
      </c>
      <c r="N713" s="81">
        <f t="shared" si="241"/>
        <v>0</v>
      </c>
      <c r="O713" s="81">
        <f t="shared" si="241"/>
        <v>0</v>
      </c>
      <c r="P713" s="81">
        <f t="shared" si="241"/>
        <v>0</v>
      </c>
      <c r="Q713" s="81">
        <f t="shared" si="241"/>
        <v>0</v>
      </c>
      <c r="R713" s="81">
        <f t="shared" si="241"/>
        <v>0</v>
      </c>
      <c r="S713" s="81">
        <f t="shared" si="241"/>
        <v>0</v>
      </c>
      <c r="T713" s="81">
        <f t="shared" si="241"/>
        <v>0</v>
      </c>
      <c r="U713" s="81">
        <f t="shared" si="241"/>
        <v>0</v>
      </c>
      <c r="V713" s="81">
        <f t="shared" si="242"/>
        <v>0</v>
      </c>
      <c r="W713" s="81">
        <f t="shared" si="242"/>
        <v>0</v>
      </c>
      <c r="X713" s="81">
        <f t="shared" si="242"/>
        <v>0</v>
      </c>
      <c r="Y713" s="81">
        <f t="shared" si="242"/>
        <v>0</v>
      </c>
      <c r="Z713" s="81">
        <f t="shared" si="242"/>
        <v>0</v>
      </c>
      <c r="AA713" s="81">
        <f t="shared" si="242"/>
        <v>0</v>
      </c>
      <c r="AB713" s="81">
        <f t="shared" si="242"/>
        <v>0</v>
      </c>
      <c r="AC713" s="81">
        <f t="shared" si="242"/>
        <v>0</v>
      </c>
      <c r="AD713" s="81">
        <f t="shared" si="242"/>
        <v>0</v>
      </c>
      <c r="AE713" s="81">
        <f t="shared" si="242"/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1448</v>
      </c>
      <c r="E714" s="72">
        <f t="shared" si="240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 t="shared" si="241"/>
        <v>0</v>
      </c>
      <c r="M714" s="81">
        <f t="shared" si="241"/>
        <v>0</v>
      </c>
      <c r="N714" s="81">
        <f t="shared" si="241"/>
        <v>0</v>
      </c>
      <c r="O714" s="81">
        <f t="shared" si="241"/>
        <v>0</v>
      </c>
      <c r="P714" s="81">
        <f t="shared" si="241"/>
        <v>0</v>
      </c>
      <c r="Q714" s="81">
        <f t="shared" si="241"/>
        <v>0</v>
      </c>
      <c r="R714" s="81">
        <f t="shared" si="241"/>
        <v>0</v>
      </c>
      <c r="S714" s="81">
        <f t="shared" si="241"/>
        <v>0</v>
      </c>
      <c r="T714" s="81">
        <f t="shared" si="241"/>
        <v>0</v>
      </c>
      <c r="U714" s="81">
        <f t="shared" si="241"/>
        <v>0</v>
      </c>
      <c r="V714" s="81">
        <f t="shared" si="242"/>
        <v>0</v>
      </c>
      <c r="W714" s="81">
        <f t="shared" si="242"/>
        <v>0</v>
      </c>
      <c r="X714" s="81">
        <f t="shared" si="242"/>
        <v>0</v>
      </c>
      <c r="Y714" s="81">
        <f t="shared" si="242"/>
        <v>0</v>
      </c>
      <c r="Z714" s="81">
        <f t="shared" si="242"/>
        <v>0</v>
      </c>
      <c r="AA714" s="81">
        <f t="shared" si="242"/>
        <v>0</v>
      </c>
      <c r="AB714" s="81">
        <f t="shared" si="242"/>
        <v>0</v>
      </c>
      <c r="AC714" s="81">
        <f t="shared" si="242"/>
        <v>0</v>
      </c>
      <c r="AD714" s="81">
        <f t="shared" si="242"/>
        <v>0</v>
      </c>
      <c r="AE714" s="81">
        <f t="shared" si="242"/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1451</v>
      </c>
      <c r="E715" s="72">
        <f t="shared" si="240"/>
        <v>0.99441250000000003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 t="shared" si="241"/>
        <v>0</v>
      </c>
      <c r="M715" s="81">
        <f t="shared" si="241"/>
        <v>0</v>
      </c>
      <c r="N715" s="81">
        <f t="shared" si="241"/>
        <v>0</v>
      </c>
      <c r="O715" s="81">
        <f t="shared" si="241"/>
        <v>0</v>
      </c>
      <c r="P715" s="81">
        <f t="shared" si="241"/>
        <v>0</v>
      </c>
      <c r="Q715" s="81">
        <f t="shared" si="241"/>
        <v>0</v>
      </c>
      <c r="R715" s="81">
        <f t="shared" si="241"/>
        <v>0</v>
      </c>
      <c r="S715" s="81">
        <f t="shared" si="241"/>
        <v>0</v>
      </c>
      <c r="T715" s="81">
        <f t="shared" si="241"/>
        <v>0</v>
      </c>
      <c r="U715" s="81">
        <f t="shared" si="241"/>
        <v>0</v>
      </c>
      <c r="V715" s="81">
        <f t="shared" si="242"/>
        <v>0</v>
      </c>
      <c r="W715" s="81">
        <f t="shared" si="242"/>
        <v>0</v>
      </c>
      <c r="X715" s="81">
        <f t="shared" si="242"/>
        <v>0</v>
      </c>
      <c r="Y715" s="81">
        <f t="shared" si="242"/>
        <v>0</v>
      </c>
      <c r="Z715" s="81">
        <f t="shared" si="242"/>
        <v>0</v>
      </c>
      <c r="AA715" s="81">
        <f t="shared" si="242"/>
        <v>0</v>
      </c>
      <c r="AB715" s="81">
        <f t="shared" si="242"/>
        <v>0</v>
      </c>
      <c r="AC715" s="81">
        <f t="shared" si="242"/>
        <v>0</v>
      </c>
      <c r="AD715" s="81">
        <f t="shared" si="242"/>
        <v>0</v>
      </c>
      <c r="AE715" s="81">
        <f t="shared" si="242"/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1454</v>
      </c>
      <c r="E716" s="72">
        <f t="shared" si="240"/>
        <v>2.3974930400000001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 t="shared" si="241"/>
        <v>0</v>
      </c>
      <c r="M716" s="81">
        <f t="shared" si="241"/>
        <v>0</v>
      </c>
      <c r="N716" s="81">
        <f t="shared" si="241"/>
        <v>0</v>
      </c>
      <c r="O716" s="81">
        <f t="shared" si="241"/>
        <v>0</v>
      </c>
      <c r="P716" s="81">
        <f t="shared" si="241"/>
        <v>0</v>
      </c>
      <c r="Q716" s="81">
        <f t="shared" si="241"/>
        <v>0</v>
      </c>
      <c r="R716" s="81">
        <f t="shared" si="241"/>
        <v>0</v>
      </c>
      <c r="S716" s="81">
        <f t="shared" si="241"/>
        <v>0</v>
      </c>
      <c r="T716" s="81">
        <f t="shared" si="241"/>
        <v>0</v>
      </c>
      <c r="U716" s="81">
        <f t="shared" si="241"/>
        <v>0</v>
      </c>
      <c r="V716" s="81">
        <f t="shared" si="242"/>
        <v>0</v>
      </c>
      <c r="W716" s="81">
        <f t="shared" si="242"/>
        <v>0</v>
      </c>
      <c r="X716" s="81">
        <f t="shared" si="242"/>
        <v>0</v>
      </c>
      <c r="Y716" s="81">
        <f t="shared" si="242"/>
        <v>0</v>
      </c>
      <c r="Z716" s="81">
        <f t="shared" si="242"/>
        <v>0</v>
      </c>
      <c r="AA716" s="81">
        <f t="shared" si="242"/>
        <v>0</v>
      </c>
      <c r="AB716" s="81">
        <f t="shared" si="242"/>
        <v>0</v>
      </c>
      <c r="AC716" s="81">
        <f t="shared" si="242"/>
        <v>0</v>
      </c>
      <c r="AD716" s="81">
        <f t="shared" si="242"/>
        <v>0</v>
      </c>
      <c r="AE716" s="81">
        <f t="shared" si="242"/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72" t="s">
        <v>1983</v>
      </c>
      <c r="E717" s="72" t="s">
        <v>1852</v>
      </c>
      <c r="F717" s="72"/>
      <c r="G717" s="70" t="s">
        <v>1475</v>
      </c>
      <c r="H717" s="87" t="str">
        <f>Settings!$B$3&amp;".mit.emrq."&amp;$G717&amp;"."&amp;$J$404</f>
        <v>egy.mit.emrq.cbam.tot.2</v>
      </c>
      <c r="I717" s="72"/>
      <c r="J717" s="72"/>
      <c r="K717" s="72"/>
      <c r="L717" s="72">
        <f t="shared" ref="L717:AE717" si="243">SUMPRODUCT((L$729:L$736+L$740:L$747)*(1-(1+L$719:L$726)^(-$J$675:$J$682)))</f>
        <v>0</v>
      </c>
      <c r="M717" s="72">
        <f t="shared" si="243"/>
        <v>0</v>
      </c>
      <c r="N717" s="72">
        <f t="shared" si="243"/>
        <v>0</v>
      </c>
      <c r="O717" s="72">
        <f t="shared" si="243"/>
        <v>0</v>
      </c>
      <c r="P717" s="72">
        <f t="shared" si="243"/>
        <v>0</v>
      </c>
      <c r="Q717" s="72">
        <f t="shared" si="243"/>
        <v>0</v>
      </c>
      <c r="R717" s="72">
        <f t="shared" si="243"/>
        <v>0</v>
      </c>
      <c r="S717" s="72">
        <f t="shared" si="243"/>
        <v>0</v>
      </c>
      <c r="T717" s="72">
        <f t="shared" si="243"/>
        <v>0</v>
      </c>
      <c r="U717" s="72">
        <f t="shared" si="243"/>
        <v>0</v>
      </c>
      <c r="V717" s="72">
        <f t="shared" si="243"/>
        <v>0</v>
      </c>
      <c r="W717" s="72">
        <f t="shared" si="243"/>
        <v>0</v>
      </c>
      <c r="X717" s="72">
        <f t="shared" si="243"/>
        <v>0</v>
      </c>
      <c r="Y717" s="72">
        <f t="shared" si="243"/>
        <v>0</v>
      </c>
      <c r="Z717" s="72">
        <f t="shared" si="243"/>
        <v>0</v>
      </c>
      <c r="AA717" s="72">
        <f t="shared" si="243"/>
        <v>0</v>
      </c>
      <c r="AB717" s="72">
        <f t="shared" si="243"/>
        <v>0</v>
      </c>
      <c r="AC717" s="72">
        <f t="shared" si="243"/>
        <v>0</v>
      </c>
      <c r="AD717" s="72">
        <f t="shared" si="243"/>
        <v>0</v>
      </c>
      <c r="AE717" s="72">
        <f t="shared" si="243"/>
        <v>0</v>
      </c>
      <c r="AF717" s="70"/>
      <c r="AG717" s="70"/>
      <c r="AH717" s="70"/>
      <c r="AI717" s="70"/>
    </row>
    <row r="718" spans="1:35" x14ac:dyDescent="0.45">
      <c r="A718" s="70"/>
      <c r="B718" s="52"/>
      <c r="C718" s="73" t="s">
        <v>1979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244">L708</f>
        <v>2022</v>
      </c>
      <c r="M718" s="74">
        <f t="shared" si="244"/>
        <v>2023</v>
      </c>
      <c r="N718" s="74">
        <f t="shared" si="244"/>
        <v>2024</v>
      </c>
      <c r="O718" s="74">
        <f t="shared" si="244"/>
        <v>2025</v>
      </c>
      <c r="P718" s="74">
        <f t="shared" si="244"/>
        <v>2026</v>
      </c>
      <c r="Q718" s="74">
        <f t="shared" si="244"/>
        <v>2027</v>
      </c>
      <c r="R718" s="74">
        <f t="shared" si="244"/>
        <v>2028</v>
      </c>
      <c r="S718" s="74">
        <f t="shared" si="244"/>
        <v>2029</v>
      </c>
      <c r="T718" s="74">
        <f t="shared" si="244"/>
        <v>2030</v>
      </c>
      <c r="U718" s="74">
        <f t="shared" si="244"/>
        <v>2031</v>
      </c>
      <c r="V718" s="74">
        <f t="shared" si="244"/>
        <v>2032</v>
      </c>
      <c r="W718" s="74">
        <f t="shared" si="244"/>
        <v>2033</v>
      </c>
      <c r="X718" s="74">
        <f t="shared" si="244"/>
        <v>2034</v>
      </c>
      <c r="Y718" s="74">
        <f t="shared" si="244"/>
        <v>2035</v>
      </c>
      <c r="Z718" s="74">
        <f t="shared" si="244"/>
        <v>2036</v>
      </c>
      <c r="AA718" s="74">
        <f t="shared" si="244"/>
        <v>2037</v>
      </c>
      <c r="AB718" s="74">
        <f t="shared" si="244"/>
        <v>2038</v>
      </c>
      <c r="AC718" s="74">
        <f t="shared" si="244"/>
        <v>2039</v>
      </c>
      <c r="AD718" s="74">
        <f t="shared" si="244"/>
        <v>2040</v>
      </c>
      <c r="AE718" s="74">
        <f t="shared" si="244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1433</v>
      </c>
      <c r="E719" s="70"/>
      <c r="F719" s="70"/>
      <c r="G719" s="70"/>
      <c r="H719" s="70"/>
      <c r="I719" s="70"/>
      <c r="J719" s="70"/>
      <c r="K719" s="72"/>
      <c r="L719" s="78">
        <f t="shared" ref="L719:AE719" si="245">(L$709+L$698-MIN(L$650,L$646)*$F$698*$E$698-MIN(L$650,L$707)*$F$709*$E$709)/L$687</f>
        <v>0</v>
      </c>
      <c r="M719" s="78">
        <f t="shared" si="245"/>
        <v>0</v>
      </c>
      <c r="N719" s="78">
        <f t="shared" si="245"/>
        <v>0</v>
      </c>
      <c r="O719" s="78">
        <f t="shared" si="245"/>
        <v>0</v>
      </c>
      <c r="P719" s="78">
        <f t="shared" si="245"/>
        <v>0</v>
      </c>
      <c r="Q719" s="78">
        <f t="shared" si="245"/>
        <v>9.5165128333333342E-3</v>
      </c>
      <c r="R719" s="78">
        <f t="shared" si="245"/>
        <v>1.9033025666666668E-2</v>
      </c>
      <c r="S719" s="78">
        <f t="shared" si="245"/>
        <v>2.8549538499999996E-2</v>
      </c>
      <c r="T719" s="78">
        <f t="shared" si="245"/>
        <v>3.8066051333333337E-2</v>
      </c>
      <c r="U719" s="78">
        <f t="shared" si="245"/>
        <v>4.7582564166666667E-2</v>
      </c>
      <c r="V719" s="78">
        <f t="shared" si="245"/>
        <v>5.7099076999999991E-2</v>
      </c>
      <c r="W719" s="78">
        <f t="shared" si="245"/>
        <v>6.6615589833333336E-2</v>
      </c>
      <c r="X719" s="78">
        <f t="shared" si="245"/>
        <v>7.6132102666666673E-2</v>
      </c>
      <c r="Y719" s="78">
        <f t="shared" si="245"/>
        <v>8.5648615500000011E-2</v>
      </c>
      <c r="Z719" s="78">
        <f t="shared" si="245"/>
        <v>9.5165128333333335E-2</v>
      </c>
      <c r="AA719" s="78">
        <f t="shared" si="245"/>
        <v>0.10468164116666666</v>
      </c>
      <c r="AB719" s="78">
        <f t="shared" si="245"/>
        <v>0.11419815399999998</v>
      </c>
      <c r="AC719" s="78">
        <f t="shared" si="245"/>
        <v>0.12371466683333333</v>
      </c>
      <c r="AD719" s="78">
        <f t="shared" si="245"/>
        <v>0.13323117966666667</v>
      </c>
      <c r="AE719" s="78">
        <f t="shared" si="245"/>
        <v>0.1427476925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1436</v>
      </c>
      <c r="E720" s="70"/>
      <c r="F720" s="70"/>
      <c r="G720" s="70"/>
      <c r="H720" s="70"/>
      <c r="I720" s="70"/>
      <c r="J720" s="70"/>
      <c r="K720" s="72"/>
      <c r="L720" s="78">
        <f t="shared" ref="L720:AE720" si="246">(L$710+L$699-MIN(L$650,L$646)*$F$699*$E$699-MIN(L$650,L$707)*$F$710*$E$710)/L$688</f>
        <v>0</v>
      </c>
      <c r="M720" s="78">
        <f t="shared" si="246"/>
        <v>0</v>
      </c>
      <c r="N720" s="78">
        <f t="shared" si="246"/>
        <v>0</v>
      </c>
      <c r="O720" s="78">
        <f t="shared" si="246"/>
        <v>0</v>
      </c>
      <c r="P720" s="78">
        <f t="shared" si="246"/>
        <v>0</v>
      </c>
      <c r="Q720" s="78">
        <f t="shared" si="246"/>
        <v>8.250000000000001E-4</v>
      </c>
      <c r="R720" s="78">
        <f t="shared" si="246"/>
        <v>1.6500000000000002E-3</v>
      </c>
      <c r="S720" s="78">
        <f t="shared" si="246"/>
        <v>2.4750000000000002E-3</v>
      </c>
      <c r="T720" s="78">
        <f t="shared" si="246"/>
        <v>3.3000000000000004E-3</v>
      </c>
      <c r="U720" s="78">
        <f t="shared" si="246"/>
        <v>4.1250000000000002E-3</v>
      </c>
      <c r="V720" s="78">
        <f t="shared" si="246"/>
        <v>4.9500000000000004E-3</v>
      </c>
      <c r="W720" s="78">
        <f t="shared" si="246"/>
        <v>5.7750000000000006E-3</v>
      </c>
      <c r="X720" s="78">
        <f t="shared" si="246"/>
        <v>6.6000000000000008E-3</v>
      </c>
      <c r="Y720" s="78">
        <f t="shared" si="246"/>
        <v>7.4250000000000002E-3</v>
      </c>
      <c r="Z720" s="78">
        <f t="shared" si="246"/>
        <v>8.2500000000000004E-3</v>
      </c>
      <c r="AA720" s="78">
        <f t="shared" si="246"/>
        <v>9.0749999999999997E-3</v>
      </c>
      <c r="AB720" s="78">
        <f t="shared" si="246"/>
        <v>9.9000000000000008E-3</v>
      </c>
      <c r="AC720" s="78">
        <f t="shared" si="246"/>
        <v>1.0725E-2</v>
      </c>
      <c r="AD720" s="78">
        <f t="shared" si="246"/>
        <v>1.1550000000000001E-2</v>
      </c>
      <c r="AE720" s="78">
        <f t="shared" si="246"/>
        <v>1.2375000000000001E-2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1439</v>
      </c>
      <c r="E721" s="70"/>
      <c r="F721" s="70"/>
      <c r="G721" s="70"/>
      <c r="H721" s="70"/>
      <c r="I721" s="70"/>
      <c r="J721" s="70"/>
      <c r="K721" s="72"/>
      <c r="L721" s="78">
        <f t="shared" ref="L721:AE721" si="247">(L$711+L$700-MIN(L$650,L$646)*$F$700*$E$700-MIN(L$650,L$707)*$F$711*$E$711)/L$689</f>
        <v>0</v>
      </c>
      <c r="M721" s="78">
        <f t="shared" si="247"/>
        <v>0</v>
      </c>
      <c r="N721" s="78">
        <f t="shared" si="247"/>
        <v>0</v>
      </c>
      <c r="O721" s="78">
        <f t="shared" si="247"/>
        <v>0</v>
      </c>
      <c r="P721" s="78">
        <f t="shared" si="247"/>
        <v>0</v>
      </c>
      <c r="Q721" s="78">
        <f t="shared" si="247"/>
        <v>2.8729440927419352E-2</v>
      </c>
      <c r="R721" s="78">
        <f t="shared" si="247"/>
        <v>5.7458881854838703E-2</v>
      </c>
      <c r="S721" s="78">
        <f t="shared" si="247"/>
        <v>8.6188322782258048E-2</v>
      </c>
      <c r="T721" s="78">
        <f t="shared" si="247"/>
        <v>0.11491776370967741</v>
      </c>
      <c r="U721" s="78">
        <f t="shared" si="247"/>
        <v>0.14364720463709676</v>
      </c>
      <c r="V721" s="78">
        <f t="shared" si="247"/>
        <v>0.1723766455645161</v>
      </c>
      <c r="W721" s="78">
        <f t="shared" si="247"/>
        <v>0.20110608649193545</v>
      </c>
      <c r="X721" s="78">
        <f t="shared" si="247"/>
        <v>0.22983552741935481</v>
      </c>
      <c r="Y721" s="78">
        <f t="shared" si="247"/>
        <v>0.25856496834677417</v>
      </c>
      <c r="Z721" s="78">
        <f t="shared" si="247"/>
        <v>0.28729440927419353</v>
      </c>
      <c r="AA721" s="78">
        <f t="shared" si="247"/>
        <v>0.31602385020161289</v>
      </c>
      <c r="AB721" s="78">
        <f t="shared" si="247"/>
        <v>0.34475329112903219</v>
      </c>
      <c r="AC721" s="78">
        <f t="shared" si="247"/>
        <v>0.37348273205645161</v>
      </c>
      <c r="AD721" s="78">
        <f t="shared" si="247"/>
        <v>0.40221217298387091</v>
      </c>
      <c r="AE721" s="78">
        <f t="shared" si="247"/>
        <v>0.43094161391129021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1442</v>
      </c>
      <c r="E722" s="70"/>
      <c r="F722" s="70"/>
      <c r="G722" s="70"/>
      <c r="H722" s="70"/>
      <c r="I722" s="70"/>
      <c r="J722" s="70"/>
      <c r="K722" s="72"/>
      <c r="L722" s="78">
        <f t="shared" ref="L722:AE722" si="248">(L$712+L$701-MIN(L$650,L$646)*$F$701*$E$701-MIN(L$650,L$707)*$F$712*$E$712)/L$690</f>
        <v>0</v>
      </c>
      <c r="M722" s="78">
        <f t="shared" si="248"/>
        <v>0</v>
      </c>
      <c r="N722" s="78">
        <f t="shared" si="248"/>
        <v>0</v>
      </c>
      <c r="O722" s="78">
        <f t="shared" si="248"/>
        <v>0</v>
      </c>
      <c r="P722" s="78">
        <f t="shared" si="248"/>
        <v>0</v>
      </c>
      <c r="Q722" s="78">
        <f t="shared" si="248"/>
        <v>3.5632784090909086E-2</v>
      </c>
      <c r="R722" s="78">
        <f t="shared" si="248"/>
        <v>7.1265568181818173E-2</v>
      </c>
      <c r="S722" s="78">
        <f t="shared" si="248"/>
        <v>0.10689835227272727</v>
      </c>
      <c r="T722" s="78">
        <f t="shared" si="248"/>
        <v>0.14253113636363635</v>
      </c>
      <c r="U722" s="78">
        <f t="shared" si="248"/>
        <v>0.17816392045454543</v>
      </c>
      <c r="V722" s="78">
        <f t="shared" si="248"/>
        <v>0.21379670454545455</v>
      </c>
      <c r="W722" s="78">
        <f t="shared" si="248"/>
        <v>0.24942948863636361</v>
      </c>
      <c r="X722" s="78">
        <f t="shared" si="248"/>
        <v>0.28506227272727269</v>
      </c>
      <c r="Y722" s="78">
        <f t="shared" si="248"/>
        <v>0.32069505681818178</v>
      </c>
      <c r="Z722" s="78">
        <f t="shared" si="248"/>
        <v>0.35632784090909086</v>
      </c>
      <c r="AA722" s="78">
        <f t="shared" si="248"/>
        <v>0.39196062499999995</v>
      </c>
      <c r="AB722" s="78">
        <f t="shared" si="248"/>
        <v>0.42759340909090909</v>
      </c>
      <c r="AC722" s="78">
        <f t="shared" si="248"/>
        <v>0.46322619318181812</v>
      </c>
      <c r="AD722" s="78">
        <f t="shared" si="248"/>
        <v>0.49885897727272721</v>
      </c>
      <c r="AE722" s="78">
        <f t="shared" si="248"/>
        <v>0.5344917613636363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1445</v>
      </c>
      <c r="E723" s="70"/>
      <c r="F723" s="70"/>
      <c r="G723" s="70"/>
      <c r="H723" s="70"/>
      <c r="I723" s="70"/>
      <c r="J723" s="70"/>
      <c r="K723" s="72"/>
      <c r="L723" s="78">
        <f t="shared" ref="L723:AE723" si="249">(L$713+L$702-MIN(L$650,L$646)*$F$702*$E$702-MIN(L$650,L$707)*$F$713*$E$713)/L$691</f>
        <v>0</v>
      </c>
      <c r="M723" s="78">
        <f t="shared" si="249"/>
        <v>0</v>
      </c>
      <c r="N723" s="78">
        <f t="shared" si="249"/>
        <v>0</v>
      </c>
      <c r="O723" s="78">
        <f t="shared" si="249"/>
        <v>0</v>
      </c>
      <c r="P723" s="78">
        <f t="shared" si="249"/>
        <v>0</v>
      </c>
      <c r="Q723" s="78">
        <f t="shared" si="249"/>
        <v>5.4853333333333337E-2</v>
      </c>
      <c r="R723" s="78">
        <f t="shared" si="249"/>
        <v>0.10970666666666667</v>
      </c>
      <c r="S723" s="78">
        <f t="shared" si="249"/>
        <v>0.16456000000000001</v>
      </c>
      <c r="T723" s="78">
        <f t="shared" si="249"/>
        <v>0.21941333333333335</v>
      </c>
      <c r="U723" s="78">
        <f t="shared" si="249"/>
        <v>0.27426666666666666</v>
      </c>
      <c r="V723" s="78">
        <f t="shared" si="249"/>
        <v>0.32912000000000002</v>
      </c>
      <c r="W723" s="78">
        <f t="shared" si="249"/>
        <v>0.38397333333333333</v>
      </c>
      <c r="X723" s="78">
        <f t="shared" si="249"/>
        <v>0.4388266666666667</v>
      </c>
      <c r="Y723" s="78">
        <f t="shared" si="249"/>
        <v>0.49368000000000001</v>
      </c>
      <c r="Z723" s="78">
        <f t="shared" si="249"/>
        <v>0.54853333333333332</v>
      </c>
      <c r="AA723" s="78">
        <f t="shared" si="249"/>
        <v>0.60338666666666663</v>
      </c>
      <c r="AB723" s="78">
        <f t="shared" si="249"/>
        <v>0.65824000000000005</v>
      </c>
      <c r="AC723" s="78">
        <f t="shared" si="249"/>
        <v>0.71309333333333336</v>
      </c>
      <c r="AD723" s="78">
        <f t="shared" si="249"/>
        <v>0.76794666666666667</v>
      </c>
      <c r="AE723" s="78">
        <f t="shared" si="249"/>
        <v>0.82279999999999998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1448</v>
      </c>
      <c r="E724" s="70"/>
      <c r="F724" s="70"/>
      <c r="G724" s="70"/>
      <c r="H724" s="70"/>
      <c r="I724" s="70"/>
      <c r="J724" s="70"/>
      <c r="K724" s="72"/>
      <c r="L724" s="78">
        <f t="shared" ref="L724:AE724" si="250">(L$714+L$703-MIN(L$650,L$646)*$F$703*$E$703-MIN(L$650,L$707)*$F$714*$E$714)/L$692</f>
        <v>0</v>
      </c>
      <c r="M724" s="78">
        <f t="shared" si="250"/>
        <v>0</v>
      </c>
      <c r="N724" s="78">
        <f t="shared" si="250"/>
        <v>0</v>
      </c>
      <c r="O724" s="78">
        <f t="shared" si="250"/>
        <v>0</v>
      </c>
      <c r="P724" s="78">
        <f t="shared" si="250"/>
        <v>0</v>
      </c>
      <c r="Q724" s="78">
        <f t="shared" si="250"/>
        <v>3.6907894736842102E-3</v>
      </c>
      <c r="R724" s="78">
        <f t="shared" si="250"/>
        <v>7.3815789473684204E-3</v>
      </c>
      <c r="S724" s="78">
        <f t="shared" si="250"/>
        <v>1.1072368421052631E-2</v>
      </c>
      <c r="T724" s="78">
        <f t="shared" si="250"/>
        <v>1.4763157894736841E-2</v>
      </c>
      <c r="U724" s="78">
        <f t="shared" si="250"/>
        <v>1.8453947368421052E-2</v>
      </c>
      <c r="V724" s="78">
        <f t="shared" si="250"/>
        <v>2.2144736842105262E-2</v>
      </c>
      <c r="W724" s="78">
        <f t="shared" si="250"/>
        <v>2.5835526315789472E-2</v>
      </c>
      <c r="X724" s="78">
        <f t="shared" si="250"/>
        <v>2.9526315789473682E-2</v>
      </c>
      <c r="Y724" s="78">
        <f t="shared" si="250"/>
        <v>3.3217105263157888E-2</v>
      </c>
      <c r="Z724" s="78">
        <f t="shared" si="250"/>
        <v>3.6907894736842105E-2</v>
      </c>
      <c r="AA724" s="78">
        <f t="shared" si="250"/>
        <v>4.0598684210526315E-2</v>
      </c>
      <c r="AB724" s="78">
        <f t="shared" si="250"/>
        <v>4.4289473684210524E-2</v>
      </c>
      <c r="AC724" s="78">
        <f t="shared" si="250"/>
        <v>4.7980263157894734E-2</v>
      </c>
      <c r="AD724" s="78">
        <f t="shared" si="250"/>
        <v>5.1671052631578944E-2</v>
      </c>
      <c r="AE724" s="78">
        <f t="shared" si="250"/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1451</v>
      </c>
      <c r="E725" s="70"/>
      <c r="F725" s="70"/>
      <c r="G725" s="70"/>
      <c r="H725" s="70"/>
      <c r="I725" s="70"/>
      <c r="J725" s="70"/>
      <c r="K725" s="72"/>
      <c r="L725" s="78">
        <f t="shared" ref="L725:AE725" si="251">(L$715+L$704-MIN(L$650,L$646)*$F$704*$E$704-MIN(L$650,L$707)*$F$715*$E$715)/L$693</f>
        <v>0</v>
      </c>
      <c r="M725" s="78">
        <f t="shared" si="251"/>
        <v>0</v>
      </c>
      <c r="N725" s="78">
        <f t="shared" si="251"/>
        <v>0</v>
      </c>
      <c r="O725" s="78">
        <f t="shared" si="251"/>
        <v>0</v>
      </c>
      <c r="P725" s="78">
        <f t="shared" si="251"/>
        <v>0</v>
      </c>
      <c r="Q725" s="78">
        <f t="shared" si="251"/>
        <v>4.3828124999999996E-3</v>
      </c>
      <c r="R725" s="78">
        <f t="shared" si="251"/>
        <v>8.7656249999999991E-3</v>
      </c>
      <c r="S725" s="78">
        <f t="shared" si="251"/>
        <v>1.3148437499999999E-2</v>
      </c>
      <c r="T725" s="78">
        <f t="shared" si="251"/>
        <v>1.7531249999999998E-2</v>
      </c>
      <c r="U725" s="78">
        <f t="shared" si="251"/>
        <v>2.1914062499999998E-2</v>
      </c>
      <c r="V725" s="78">
        <f t="shared" si="251"/>
        <v>2.6296874999999997E-2</v>
      </c>
      <c r="W725" s="78">
        <f t="shared" si="251"/>
        <v>3.0679687499999997E-2</v>
      </c>
      <c r="X725" s="78">
        <f t="shared" si="251"/>
        <v>3.5062499999999996E-2</v>
      </c>
      <c r="Y725" s="78">
        <f t="shared" si="251"/>
        <v>3.9445312499999996E-2</v>
      </c>
      <c r="Z725" s="78">
        <f t="shared" si="251"/>
        <v>4.3828124999999996E-2</v>
      </c>
      <c r="AA725" s="78">
        <f t="shared" si="251"/>
        <v>4.8210937499999995E-2</v>
      </c>
      <c r="AB725" s="78">
        <f t="shared" si="251"/>
        <v>5.2593749999999995E-2</v>
      </c>
      <c r="AC725" s="78">
        <f t="shared" si="251"/>
        <v>5.6976562499999994E-2</v>
      </c>
      <c r="AD725" s="78">
        <f t="shared" si="251"/>
        <v>6.1359374999999994E-2</v>
      </c>
      <c r="AE725" s="78">
        <f t="shared" si="251"/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1454</v>
      </c>
      <c r="E726" s="70"/>
      <c r="F726" s="70"/>
      <c r="G726" s="70"/>
      <c r="H726" s="70"/>
      <c r="I726" s="70"/>
      <c r="J726" s="70"/>
      <c r="K726" s="72"/>
      <c r="L726" s="78">
        <f t="shared" ref="L726:AE726" si="252">(L$716+L$705-MIN(L$650,L$646)*$F$705*$E$705-MIN(L$650,L$707)*$F$716*$E$716)/L$694</f>
        <v>0</v>
      </c>
      <c r="M726" s="78">
        <f t="shared" si="252"/>
        <v>0</v>
      </c>
      <c r="N726" s="78">
        <f t="shared" si="252"/>
        <v>0</v>
      </c>
      <c r="O726" s="78">
        <f t="shared" si="252"/>
        <v>0</v>
      </c>
      <c r="P726" s="78">
        <f t="shared" si="252"/>
        <v>0</v>
      </c>
      <c r="Q726" s="78">
        <f t="shared" si="252"/>
        <v>6.4281250000000005E-4</v>
      </c>
      <c r="R726" s="78">
        <f t="shared" si="252"/>
        <v>1.2856250000000001E-3</v>
      </c>
      <c r="S726" s="78">
        <f t="shared" si="252"/>
        <v>1.9284375000000002E-3</v>
      </c>
      <c r="T726" s="78">
        <f t="shared" si="252"/>
        <v>2.5712500000000002E-3</v>
      </c>
      <c r="U726" s="78">
        <f t="shared" si="252"/>
        <v>3.2140624999999999E-3</v>
      </c>
      <c r="V726" s="78">
        <f t="shared" si="252"/>
        <v>3.8568750000000005E-3</v>
      </c>
      <c r="W726" s="78">
        <f t="shared" si="252"/>
        <v>4.4996875000000002E-3</v>
      </c>
      <c r="X726" s="78">
        <f t="shared" si="252"/>
        <v>5.1425000000000004E-3</v>
      </c>
      <c r="Y726" s="78">
        <f t="shared" si="252"/>
        <v>5.7853125000000005E-3</v>
      </c>
      <c r="Z726" s="78">
        <f t="shared" si="252"/>
        <v>6.4281249999999998E-3</v>
      </c>
      <c r="AA726" s="78">
        <f t="shared" si="252"/>
        <v>7.0709375E-3</v>
      </c>
      <c r="AB726" s="78">
        <f t="shared" si="252"/>
        <v>7.713750000000001E-3</v>
      </c>
      <c r="AC726" s="78">
        <f t="shared" si="252"/>
        <v>8.3565624999999994E-3</v>
      </c>
      <c r="AD726" s="78">
        <f t="shared" si="252"/>
        <v>8.9993750000000004E-3</v>
      </c>
      <c r="AE726" s="78">
        <f t="shared" si="252"/>
        <v>9.6421874999999997E-3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72" t="s">
        <v>1984</v>
      </c>
      <c r="E727" s="72" t="s">
        <v>1852</v>
      </c>
      <c r="F727" s="72"/>
      <c r="G727" s="70" t="s">
        <v>1475</v>
      </c>
      <c r="H727" s="87" t="str">
        <f>Settings!$B$3&amp;".mit.emrt."&amp;$G727&amp;"."&amp;$J$404</f>
        <v>egy.mit.emrt.cbam.tot.2</v>
      </c>
      <c r="I727" s="72"/>
      <c r="J727" s="72"/>
      <c r="K727" s="72"/>
      <c r="L727" s="72">
        <f t="shared" ref="L727:AE727" si="253">L$717+L$780</f>
        <v>0</v>
      </c>
      <c r="M727" s="72">
        <f t="shared" si="253"/>
        <v>0</v>
      </c>
      <c r="N727" s="72">
        <f t="shared" si="253"/>
        <v>0</v>
      </c>
      <c r="O727" s="72">
        <f t="shared" si="253"/>
        <v>0</v>
      </c>
      <c r="P727" s="72">
        <f t="shared" si="253"/>
        <v>0</v>
      </c>
      <c r="Q727" s="72">
        <f t="shared" si="253"/>
        <v>0</v>
      </c>
      <c r="R727" s="72">
        <f t="shared" si="253"/>
        <v>0</v>
      </c>
      <c r="S727" s="72">
        <f t="shared" si="253"/>
        <v>0</v>
      </c>
      <c r="T727" s="72">
        <f t="shared" si="253"/>
        <v>0</v>
      </c>
      <c r="U727" s="72">
        <f t="shared" si="253"/>
        <v>0</v>
      </c>
      <c r="V727" s="72">
        <f t="shared" si="253"/>
        <v>0</v>
      </c>
      <c r="W727" s="72">
        <f t="shared" si="253"/>
        <v>0</v>
      </c>
      <c r="X727" s="72">
        <f t="shared" si="253"/>
        <v>0</v>
      </c>
      <c r="Y727" s="72">
        <f t="shared" si="253"/>
        <v>0</v>
      </c>
      <c r="Z727" s="72">
        <f t="shared" si="253"/>
        <v>0</v>
      </c>
      <c r="AA727" s="72">
        <f t="shared" si="253"/>
        <v>0</v>
      </c>
      <c r="AB727" s="72">
        <f t="shared" si="253"/>
        <v>0</v>
      </c>
      <c r="AC727" s="72">
        <f t="shared" si="253"/>
        <v>0</v>
      </c>
      <c r="AD727" s="72">
        <f t="shared" si="253"/>
        <v>0</v>
      </c>
      <c r="AE727" s="72">
        <f t="shared" si="253"/>
        <v>0</v>
      </c>
      <c r="AF727" s="70"/>
      <c r="AG727" s="70"/>
      <c r="AH727" s="70"/>
      <c r="AI727" s="70"/>
    </row>
    <row r="728" spans="1:35" x14ac:dyDescent="0.45">
      <c r="A728" s="71"/>
      <c r="B728" s="52"/>
      <c r="C728" s="73" t="s">
        <v>1980</v>
      </c>
      <c r="D728" s="73"/>
      <c r="E728" s="70"/>
      <c r="F728" s="72" t="s">
        <v>1465</v>
      </c>
      <c r="G728" s="72" t="s">
        <v>1466</v>
      </c>
      <c r="H728" s="72" t="s">
        <v>1467</v>
      </c>
      <c r="I728" s="72" t="s">
        <v>1881</v>
      </c>
      <c r="J728" s="72" t="s">
        <v>1882</v>
      </c>
      <c r="K728" s="72"/>
      <c r="L728" s="74">
        <f t="shared" ref="L728:AE728" si="254">L739</f>
        <v>2022</v>
      </c>
      <c r="M728" s="74">
        <f t="shared" si="254"/>
        <v>2023</v>
      </c>
      <c r="N728" s="74">
        <f t="shared" si="254"/>
        <v>2024</v>
      </c>
      <c r="O728" s="74">
        <f t="shared" si="254"/>
        <v>2025</v>
      </c>
      <c r="P728" s="74">
        <f t="shared" si="254"/>
        <v>2026</v>
      </c>
      <c r="Q728" s="74">
        <f t="shared" si="254"/>
        <v>2027</v>
      </c>
      <c r="R728" s="74">
        <f t="shared" si="254"/>
        <v>2028</v>
      </c>
      <c r="S728" s="74">
        <f t="shared" si="254"/>
        <v>2029</v>
      </c>
      <c r="T728" s="74">
        <f t="shared" si="254"/>
        <v>2030</v>
      </c>
      <c r="U728" s="74">
        <f t="shared" si="254"/>
        <v>2031</v>
      </c>
      <c r="V728" s="74">
        <f t="shared" si="254"/>
        <v>2032</v>
      </c>
      <c r="W728" s="74">
        <f t="shared" si="254"/>
        <v>2033</v>
      </c>
      <c r="X728" s="74">
        <f t="shared" si="254"/>
        <v>2034</v>
      </c>
      <c r="Y728" s="74">
        <f t="shared" si="254"/>
        <v>2035</v>
      </c>
      <c r="Z728" s="74">
        <f t="shared" si="254"/>
        <v>2036</v>
      </c>
      <c r="AA728" s="74">
        <f t="shared" si="254"/>
        <v>2037</v>
      </c>
      <c r="AB728" s="74">
        <f t="shared" si="254"/>
        <v>2038</v>
      </c>
      <c r="AC728" s="74">
        <f t="shared" si="254"/>
        <v>2039</v>
      </c>
      <c r="AD728" s="74">
        <f t="shared" si="254"/>
        <v>2040</v>
      </c>
      <c r="AE728" s="74">
        <f t="shared" si="254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1468</v>
      </c>
      <c r="F729" s="72">
        <f t="shared" ref="F729:F736" si="255">H663+I663</f>
        <v>0.57099076999999998</v>
      </c>
      <c r="G729" s="72">
        <f t="shared" ref="G729:G736" si="256">MAX($J663,0)+MAX($K663,0)</f>
        <v>3.7901020000000001E-2</v>
      </c>
      <c r="H729" s="72">
        <f t="shared" ref="H729:H736" si="257">G729/F729</f>
        <v>6.6377640395132831E-2</v>
      </c>
      <c r="I729" s="100">
        <f t="shared" ref="I729:I736" si="258">IF($F729=0,0,$E698/$F729)</f>
        <v>1</v>
      </c>
      <c r="J729" s="100">
        <f t="shared" ref="J729:J736" si="259">IF($G729=0,0,$E709/$G729)</f>
        <v>1</v>
      </c>
      <c r="K729" s="72"/>
      <c r="L729" s="72">
        <f t="shared" ref="L729:AE729" si="260">L675*$F729/1000</f>
        <v>2.6717650641872548</v>
      </c>
      <c r="M729" s="72">
        <f t="shared" si="260"/>
        <v>2.789322727011494</v>
      </c>
      <c r="N729" s="72">
        <f t="shared" si="260"/>
        <v>2.9120529269999995</v>
      </c>
      <c r="O729" s="72">
        <f t="shared" si="260"/>
        <v>3.0401832557880004</v>
      </c>
      <c r="P729" s="72">
        <f t="shared" si="260"/>
        <v>3.173951319042672</v>
      </c>
      <c r="Q729" s="72">
        <f t="shared" si="260"/>
        <v>3.3136051770805501</v>
      </c>
      <c r="R729" s="72">
        <f t="shared" si="260"/>
        <v>3.4594038048720939</v>
      </c>
      <c r="S729" s="72">
        <f t="shared" si="260"/>
        <v>3.6116175722864661</v>
      </c>
      <c r="T729" s="72">
        <f t="shared" si="260"/>
        <v>3.7705287454670713</v>
      </c>
      <c r="U729" s="72">
        <f t="shared" si="260"/>
        <v>3.9364320102676222</v>
      </c>
      <c r="V729" s="72">
        <f t="shared" si="260"/>
        <v>4.1096350187193975</v>
      </c>
      <c r="W729" s="72">
        <f t="shared" si="260"/>
        <v>4.2904589595430505</v>
      </c>
      <c r="X729" s="72">
        <f t="shared" si="260"/>
        <v>4.4792391537629452</v>
      </c>
      <c r="Y729" s="72">
        <f t="shared" si="260"/>
        <v>4.6763256765285162</v>
      </c>
      <c r="Z729" s="72">
        <f t="shared" si="260"/>
        <v>4.8820840062957691</v>
      </c>
      <c r="AA729" s="72">
        <f t="shared" si="260"/>
        <v>5.096895702572783</v>
      </c>
      <c r="AB729" s="72">
        <f t="shared" si="260"/>
        <v>5.3211591134859875</v>
      </c>
      <c r="AC729" s="72">
        <f t="shared" si="260"/>
        <v>5.5552901144793703</v>
      </c>
      <c r="AD729" s="72">
        <f t="shared" si="260"/>
        <v>5.7997228795164624</v>
      </c>
      <c r="AE729" s="72">
        <f t="shared" si="260"/>
        <v>6.0549106862151856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1355</v>
      </c>
      <c r="E730" s="71" t="s">
        <v>1468</v>
      </c>
      <c r="F730" s="72">
        <f t="shared" si="255"/>
        <v>4.4880000000000003E-2</v>
      </c>
      <c r="G730" s="72">
        <f t="shared" si="256"/>
        <v>4.3981149999999997E-2</v>
      </c>
      <c r="H730" s="72">
        <f t="shared" si="257"/>
        <v>0.97997214795008902</v>
      </c>
      <c r="I730" s="100">
        <f t="shared" si="258"/>
        <v>1</v>
      </c>
      <c r="J730" s="100">
        <f t="shared" si="259"/>
        <v>1</v>
      </c>
      <c r="K730" s="72"/>
      <c r="L730" s="72">
        <f t="shared" ref="L730:AE730" si="261">L676*$F730/1000</f>
        <v>0.19764830228563882</v>
      </c>
      <c r="M730" s="72">
        <f t="shared" si="261"/>
        <v>0.20634482758620692</v>
      </c>
      <c r="N730" s="72">
        <f t="shared" si="261"/>
        <v>0.215424</v>
      </c>
      <c r="O730" s="72">
        <f t="shared" si="261"/>
        <v>0.22490265600000001</v>
      </c>
      <c r="P730" s="72">
        <f t="shared" si="261"/>
        <v>0.23479837286400002</v>
      </c>
      <c r="Q730" s="72">
        <f t="shared" si="261"/>
        <v>0.24512950127001604</v>
      </c>
      <c r="R730" s="72">
        <f t="shared" si="261"/>
        <v>0.25591519932589668</v>
      </c>
      <c r="S730" s="72">
        <f t="shared" si="261"/>
        <v>0.26717546809623621</v>
      </c>
      <c r="T730" s="72">
        <f t="shared" si="261"/>
        <v>0.27893118869247063</v>
      </c>
      <c r="U730" s="72">
        <f t="shared" si="261"/>
        <v>0.29120416099493934</v>
      </c>
      <c r="V730" s="72">
        <f t="shared" si="261"/>
        <v>0.30401714407871661</v>
      </c>
      <c r="W730" s="72">
        <f t="shared" si="261"/>
        <v>0.31739389841818022</v>
      </c>
      <c r="X730" s="72">
        <f t="shared" si="261"/>
        <v>0.33135922994858014</v>
      </c>
      <c r="Y730" s="72">
        <f t="shared" si="261"/>
        <v>0.34593903606631771</v>
      </c>
      <c r="Z730" s="72">
        <f t="shared" si="261"/>
        <v>0.36116035365323562</v>
      </c>
      <c r="AA730" s="72">
        <f t="shared" si="261"/>
        <v>0.37705140921397801</v>
      </c>
      <c r="AB730" s="72">
        <f t="shared" si="261"/>
        <v>0.39364167121939314</v>
      </c>
      <c r="AC730" s="72">
        <f t="shared" si="261"/>
        <v>0.41096190475304639</v>
      </c>
      <c r="AD730" s="72">
        <f t="shared" si="261"/>
        <v>0.42904422856218044</v>
      </c>
      <c r="AE730" s="72">
        <f t="shared" si="261"/>
        <v>0.44792217461891631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1359</v>
      </c>
      <c r="E731" s="71" t="s">
        <v>1468</v>
      </c>
      <c r="F731" s="72">
        <f t="shared" si="255"/>
        <v>1.4249802699999998</v>
      </c>
      <c r="G731" s="72">
        <f t="shared" si="256"/>
        <v>5.276542E-2</v>
      </c>
      <c r="H731" s="72">
        <f t="shared" si="257"/>
        <v>3.7028877599828106E-2</v>
      </c>
      <c r="I731" s="100">
        <f t="shared" si="258"/>
        <v>1</v>
      </c>
      <c r="J731" s="100">
        <f t="shared" si="259"/>
        <v>1</v>
      </c>
      <c r="K731" s="72"/>
      <c r="L731" s="72">
        <f t="shared" ref="L731:AE731" si="262">L677*$F731/1000</f>
        <v>0</v>
      </c>
      <c r="M731" s="72">
        <f t="shared" si="262"/>
        <v>0</v>
      </c>
      <c r="N731" s="72">
        <f t="shared" si="262"/>
        <v>0</v>
      </c>
      <c r="O731" s="72">
        <f t="shared" si="262"/>
        <v>0</v>
      </c>
      <c r="P731" s="72">
        <f t="shared" si="262"/>
        <v>0</v>
      </c>
      <c r="Q731" s="72">
        <f t="shared" si="262"/>
        <v>0</v>
      </c>
      <c r="R731" s="72">
        <f t="shared" si="262"/>
        <v>0</v>
      </c>
      <c r="S731" s="72">
        <f t="shared" si="262"/>
        <v>0</v>
      </c>
      <c r="T731" s="72">
        <f t="shared" si="262"/>
        <v>0</v>
      </c>
      <c r="U731" s="72">
        <f t="shared" si="262"/>
        <v>0</v>
      </c>
      <c r="V731" s="72">
        <f t="shared" si="262"/>
        <v>0</v>
      </c>
      <c r="W731" s="72">
        <f t="shared" si="262"/>
        <v>0</v>
      </c>
      <c r="X731" s="72">
        <f t="shared" si="262"/>
        <v>0</v>
      </c>
      <c r="Y731" s="72">
        <f t="shared" si="262"/>
        <v>0</v>
      </c>
      <c r="Z731" s="72">
        <f t="shared" si="262"/>
        <v>0</v>
      </c>
      <c r="AA731" s="72">
        <f t="shared" si="262"/>
        <v>0</v>
      </c>
      <c r="AB731" s="72">
        <f t="shared" si="262"/>
        <v>0</v>
      </c>
      <c r="AC731" s="72">
        <f t="shared" si="262"/>
        <v>0</v>
      </c>
      <c r="AD731" s="72">
        <f t="shared" si="262"/>
        <v>0</v>
      </c>
      <c r="AE731" s="72">
        <f t="shared" si="262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1363</v>
      </c>
      <c r="E732" s="71" t="s">
        <v>1468</v>
      </c>
      <c r="F732" s="72">
        <f t="shared" si="255"/>
        <v>0.31356849999999997</v>
      </c>
      <c r="G732" s="72">
        <f t="shared" si="256"/>
        <v>0.53702616000000003</v>
      </c>
      <c r="H732" s="72">
        <f t="shared" si="257"/>
        <v>1.7126278947024336</v>
      </c>
      <c r="I732" s="100">
        <f t="shared" si="258"/>
        <v>1</v>
      </c>
      <c r="J732" s="100">
        <f t="shared" si="259"/>
        <v>1</v>
      </c>
      <c r="K732" s="72"/>
      <c r="L732" s="72">
        <f t="shared" ref="L732:AE732" si="263">L678*$F732/1000</f>
        <v>14.692706044200628</v>
      </c>
      <c r="M732" s="72">
        <f t="shared" si="263"/>
        <v>15.177565343659246</v>
      </c>
      <c r="N732" s="72">
        <f t="shared" si="263"/>
        <v>15.678424999999999</v>
      </c>
      <c r="O732" s="72">
        <f t="shared" si="263"/>
        <v>16.195813024999996</v>
      </c>
      <c r="P732" s="72">
        <f t="shared" si="263"/>
        <v>16.730274854824994</v>
      </c>
      <c r="Q732" s="72">
        <f t="shared" si="263"/>
        <v>17.282373925034218</v>
      </c>
      <c r="R732" s="72">
        <f t="shared" si="263"/>
        <v>17.852692264560343</v>
      </c>
      <c r="S732" s="72">
        <f t="shared" si="263"/>
        <v>18.441831109290838</v>
      </c>
      <c r="T732" s="72">
        <f t="shared" si="263"/>
        <v>19.050411535897432</v>
      </c>
      <c r="U732" s="72">
        <f t="shared" si="263"/>
        <v>19.679075116582045</v>
      </c>
      <c r="V732" s="72">
        <f t="shared" si="263"/>
        <v>20.328484595429249</v>
      </c>
      <c r="W732" s="72">
        <f t="shared" si="263"/>
        <v>20.999324587078412</v>
      </c>
      <c r="X732" s="72">
        <f t="shared" si="263"/>
        <v>21.692302298451992</v>
      </c>
      <c r="Y732" s="72">
        <f t="shared" si="263"/>
        <v>22.40814827430091</v>
      </c>
      <c r="Z732" s="72">
        <f t="shared" si="263"/>
        <v>23.147617167352838</v>
      </c>
      <c r="AA732" s="72">
        <f t="shared" si="263"/>
        <v>23.911488533875481</v>
      </c>
      <c r="AB732" s="72">
        <f t="shared" si="263"/>
        <v>24.700567655493362</v>
      </c>
      <c r="AC732" s="72">
        <f t="shared" si="263"/>
        <v>25.515686388124642</v>
      </c>
      <c r="AD732" s="72">
        <f t="shared" si="263"/>
        <v>26.357704038932756</v>
      </c>
      <c r="AE732" s="72">
        <f t="shared" si="263"/>
        <v>27.227508272217527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1425</v>
      </c>
      <c r="E733" s="71" t="s">
        <v>1468</v>
      </c>
      <c r="F733" s="72">
        <f t="shared" si="255"/>
        <v>1.97472</v>
      </c>
      <c r="G733" s="72">
        <f t="shared" si="256"/>
        <v>0</v>
      </c>
      <c r="H733" s="72">
        <f t="shared" si="257"/>
        <v>0</v>
      </c>
      <c r="I733" s="100">
        <f t="shared" si="258"/>
        <v>1</v>
      </c>
      <c r="J733" s="100">
        <f t="shared" si="259"/>
        <v>0</v>
      </c>
      <c r="K733" s="72"/>
      <c r="L733" s="72">
        <f t="shared" ref="L733:AE733" si="264">L679*$F733/1000</f>
        <v>3.3747527008551588</v>
      </c>
      <c r="M733" s="72">
        <f t="shared" si="264"/>
        <v>3.4489972602739725</v>
      </c>
      <c r="N733" s="72">
        <f t="shared" si="264"/>
        <v>3.5248751999999999</v>
      </c>
      <c r="O733" s="72">
        <f t="shared" si="264"/>
        <v>3.6024224544000001</v>
      </c>
      <c r="P733" s="72">
        <f t="shared" si="264"/>
        <v>3.6816757483967999</v>
      </c>
      <c r="Q733" s="72">
        <f t="shared" si="264"/>
        <v>3.7626726148615299</v>
      </c>
      <c r="R733" s="72">
        <f t="shared" si="264"/>
        <v>3.8454514123884831</v>
      </c>
      <c r="S733" s="72">
        <f t="shared" si="264"/>
        <v>3.9300513434610296</v>
      </c>
      <c r="T733" s="72">
        <f t="shared" si="264"/>
        <v>4.0165124730171726</v>
      </c>
      <c r="U733" s="72">
        <f t="shared" si="264"/>
        <v>4.1048757474235504</v>
      </c>
      <c r="V733" s="72">
        <f t="shared" si="264"/>
        <v>4.1951830138668695</v>
      </c>
      <c r="W733" s="72">
        <f t="shared" si="264"/>
        <v>4.2874770401719395</v>
      </c>
      <c r="X733" s="72">
        <f t="shared" si="264"/>
        <v>4.3818015350557227</v>
      </c>
      <c r="Y733" s="72">
        <f t="shared" si="264"/>
        <v>4.4782011688269483</v>
      </c>
      <c r="Z733" s="72">
        <f t="shared" si="264"/>
        <v>4.5767215945411417</v>
      </c>
      <c r="AA733" s="72">
        <f t="shared" si="264"/>
        <v>4.6774094696210469</v>
      </c>
      <c r="AB733" s="72">
        <f t="shared" si="264"/>
        <v>4.7803124779527089</v>
      </c>
      <c r="AC733" s="72">
        <f t="shared" si="264"/>
        <v>4.8854793524676694</v>
      </c>
      <c r="AD733" s="72">
        <f t="shared" si="264"/>
        <v>4.9929598982219581</v>
      </c>
      <c r="AE733" s="72">
        <f t="shared" si="264"/>
        <v>5.1028050159828409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1373</v>
      </c>
      <c r="E734" s="71" t="s">
        <v>1468</v>
      </c>
      <c r="F734" s="72">
        <f t="shared" si="255"/>
        <v>0.11219999999999999</v>
      </c>
      <c r="G734" s="72">
        <f t="shared" si="256"/>
        <v>0</v>
      </c>
      <c r="H734" s="72">
        <f t="shared" si="257"/>
        <v>0</v>
      </c>
      <c r="I734" s="100">
        <f t="shared" si="258"/>
        <v>1</v>
      </c>
      <c r="J734" s="100">
        <f t="shared" si="259"/>
        <v>0</v>
      </c>
      <c r="K734" s="72"/>
      <c r="L734" s="72">
        <f t="shared" ref="L734:AE734" si="265">L680*$F734/1000</f>
        <v>0.30078009811543305</v>
      </c>
      <c r="M734" s="72">
        <f t="shared" si="265"/>
        <v>0.30739726027397257</v>
      </c>
      <c r="N734" s="72">
        <f t="shared" si="265"/>
        <v>0.31415999999999999</v>
      </c>
      <c r="O734" s="72">
        <f t="shared" si="265"/>
        <v>0.32107151999999994</v>
      </c>
      <c r="P734" s="72">
        <f t="shared" si="265"/>
        <v>0.32813509343999991</v>
      </c>
      <c r="Q734" s="72">
        <f t="shared" si="265"/>
        <v>0.33535406549567992</v>
      </c>
      <c r="R734" s="72">
        <f t="shared" si="265"/>
        <v>0.34273185493658498</v>
      </c>
      <c r="S734" s="72">
        <f t="shared" si="265"/>
        <v>0.35027195574518982</v>
      </c>
      <c r="T734" s="72">
        <f t="shared" si="265"/>
        <v>0.3579779387715839</v>
      </c>
      <c r="U734" s="72">
        <f t="shared" si="265"/>
        <v>0.36585345342455883</v>
      </c>
      <c r="V734" s="72">
        <f t="shared" si="265"/>
        <v>0.37390222939989914</v>
      </c>
      <c r="W734" s="72">
        <f t="shared" si="265"/>
        <v>0.38212807844669694</v>
      </c>
      <c r="X734" s="72">
        <f t="shared" si="265"/>
        <v>0.39053489617252429</v>
      </c>
      <c r="Y734" s="72">
        <f t="shared" si="265"/>
        <v>0.39912666388831985</v>
      </c>
      <c r="Z734" s="72">
        <f t="shared" si="265"/>
        <v>0.4079074504938629</v>
      </c>
      <c r="AA734" s="72">
        <f t="shared" si="265"/>
        <v>0.41688141440472787</v>
      </c>
      <c r="AB734" s="72">
        <f t="shared" si="265"/>
        <v>0.42605280552163183</v>
      </c>
      <c r="AC734" s="72">
        <f t="shared" si="265"/>
        <v>0.43542596724310778</v>
      </c>
      <c r="AD734" s="72">
        <f t="shared" si="265"/>
        <v>0.44500533852245616</v>
      </c>
      <c r="AE734" s="72">
        <f t="shared" si="265"/>
        <v>0.45479545596995019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1378</v>
      </c>
      <c r="E735" s="71" t="s">
        <v>1468</v>
      </c>
      <c r="F735" s="72">
        <f t="shared" si="255"/>
        <v>0.11219999999999999</v>
      </c>
      <c r="G735" s="72">
        <f t="shared" si="256"/>
        <v>0.99441250000000003</v>
      </c>
      <c r="H735" s="72">
        <f t="shared" si="257"/>
        <v>8.8628565062388596</v>
      </c>
      <c r="I735" s="100">
        <f t="shared" si="258"/>
        <v>1</v>
      </c>
      <c r="J735" s="100">
        <f t="shared" si="259"/>
        <v>1</v>
      </c>
      <c r="K735" s="72"/>
      <c r="L735" s="72">
        <f t="shared" ref="L735:AE735" si="266">L681*$F735/1000</f>
        <v>6.4452878167592806E-2</v>
      </c>
      <c r="M735" s="72">
        <f t="shared" si="266"/>
        <v>6.5870841487279841E-2</v>
      </c>
      <c r="N735" s="72">
        <f t="shared" si="266"/>
        <v>6.7319999999999991E-2</v>
      </c>
      <c r="O735" s="72">
        <f t="shared" si="266"/>
        <v>6.8801039999999994E-2</v>
      </c>
      <c r="P735" s="72">
        <f t="shared" si="266"/>
        <v>7.031466287999999E-2</v>
      </c>
      <c r="Q735" s="72">
        <f t="shared" si="266"/>
        <v>7.1861585463359995E-2</v>
      </c>
      <c r="R735" s="72">
        <f t="shared" si="266"/>
        <v>7.3442540343553922E-2</v>
      </c>
      <c r="S735" s="72">
        <f t="shared" si="266"/>
        <v>7.5058276231112109E-2</v>
      </c>
      <c r="T735" s="72">
        <f t="shared" si="266"/>
        <v>7.6709558308196563E-2</v>
      </c>
      <c r="U735" s="72">
        <f t="shared" si="266"/>
        <v>7.8397168590976896E-2</v>
      </c>
      <c r="V735" s="72">
        <f t="shared" si="266"/>
        <v>8.012190629997841E-2</v>
      </c>
      <c r="W735" s="72">
        <f t="shared" si="266"/>
        <v>8.1884588238577902E-2</v>
      </c>
      <c r="X735" s="72">
        <f t="shared" si="266"/>
        <v>8.3686049179826624E-2</v>
      </c>
      <c r="Y735" s="72">
        <f t="shared" si="266"/>
        <v>8.5527142261782832E-2</v>
      </c>
      <c r="Z735" s="72">
        <f t="shared" si="266"/>
        <v>8.7408739391542062E-2</v>
      </c>
      <c r="AA735" s="72">
        <f t="shared" si="266"/>
        <v>8.9331731658155972E-2</v>
      </c>
      <c r="AB735" s="72">
        <f t="shared" si="266"/>
        <v>9.1297029754635384E-2</v>
      </c>
      <c r="AC735" s="72">
        <f t="shared" si="266"/>
        <v>9.3305564409237374E-2</v>
      </c>
      <c r="AD735" s="72">
        <f t="shared" si="266"/>
        <v>9.5358286826240604E-2</v>
      </c>
      <c r="AE735" s="72">
        <f t="shared" si="266"/>
        <v>9.74561691364179E-2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1383</v>
      </c>
      <c r="E736" s="71" t="s">
        <v>1468</v>
      </c>
      <c r="F736" s="72">
        <f t="shared" si="255"/>
        <v>0.12342</v>
      </c>
      <c r="G736" s="72">
        <f t="shared" si="256"/>
        <v>2.3974930400000001</v>
      </c>
      <c r="H736" s="72">
        <f t="shared" si="257"/>
        <v>19.425482417760492</v>
      </c>
      <c r="I736" s="100">
        <f t="shared" si="258"/>
        <v>1</v>
      </c>
      <c r="J736" s="100">
        <f t="shared" si="259"/>
        <v>1</v>
      </c>
      <c r="K736" s="72"/>
      <c r="L736" s="72">
        <f t="shared" ref="L736:AE736" si="267">L682*$F736/1000</f>
        <v>3.3266099144224071E-2</v>
      </c>
      <c r="M736" s="72">
        <f t="shared" si="267"/>
        <v>3.5095734597156404E-2</v>
      </c>
      <c r="N736" s="72">
        <f t="shared" si="267"/>
        <v>3.7026000000000003E-2</v>
      </c>
      <c r="O736" s="72">
        <f t="shared" si="267"/>
        <v>3.9062430000000002E-2</v>
      </c>
      <c r="P736" s="72">
        <f t="shared" si="267"/>
        <v>4.1210863649999999E-2</v>
      </c>
      <c r="Q736" s="72">
        <f t="shared" si="267"/>
        <v>4.3477461150749991E-2</v>
      </c>
      <c r="R736" s="72">
        <f t="shared" si="267"/>
        <v>4.5868721514041248E-2</v>
      </c>
      <c r="S736" s="72">
        <f t="shared" si="267"/>
        <v>4.8391501197313509E-2</v>
      </c>
      <c r="T736" s="72">
        <f t="shared" si="267"/>
        <v>5.105303376316575E-2</v>
      </c>
      <c r="U736" s="72">
        <f t="shared" si="267"/>
        <v>5.3860950620139861E-2</v>
      </c>
      <c r="V736" s="72">
        <f t="shared" si="267"/>
        <v>5.6823302904247558E-2</v>
      </c>
      <c r="W736" s="72">
        <f t="shared" si="267"/>
        <v>5.9948584563981173E-2</v>
      </c>
      <c r="X736" s="72">
        <f t="shared" si="267"/>
        <v>6.3245756715000129E-2</v>
      </c>
      <c r="Y736" s="72">
        <f t="shared" si="267"/>
        <v>6.6724273334325138E-2</v>
      </c>
      <c r="Z736" s="72">
        <f t="shared" si="267"/>
        <v>7.039410836771301E-2</v>
      </c>
      <c r="AA736" s="72">
        <f t="shared" si="267"/>
        <v>7.426578432793722E-2</v>
      </c>
      <c r="AB736" s="72">
        <f t="shared" si="267"/>
        <v>7.8350402465973787E-2</v>
      </c>
      <c r="AC736" s="72">
        <f t="shared" si="267"/>
        <v>8.2659674601602312E-2</v>
      </c>
      <c r="AD736" s="72">
        <f t="shared" si="267"/>
        <v>8.7205956704690446E-2</v>
      </c>
      <c r="AE736" s="72">
        <f t="shared" si="267"/>
        <v>9.2002284323448424E-2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1469</v>
      </c>
      <c r="E737" s="70"/>
      <c r="F737" s="70"/>
      <c r="G737" s="70"/>
      <c r="H737" s="70"/>
      <c r="I737" s="70"/>
      <c r="J737" s="70"/>
      <c r="K737" s="72"/>
      <c r="L737" s="72">
        <f t="shared" ref="L737:AE737" si="268">SUM(L729:L736)</f>
        <v>21.335371186955928</v>
      </c>
      <c r="M737" s="72">
        <f t="shared" si="268"/>
        <v>22.03059399488933</v>
      </c>
      <c r="N737" s="72">
        <f t="shared" si="268"/>
        <v>22.749283126999998</v>
      </c>
      <c r="O737" s="72">
        <f t="shared" si="268"/>
        <v>23.492256381187996</v>
      </c>
      <c r="P737" s="72">
        <f t="shared" si="268"/>
        <v>24.260360915098467</v>
      </c>
      <c r="Q737" s="72">
        <f t="shared" si="268"/>
        <v>25.054474330356101</v>
      </c>
      <c r="R737" s="72">
        <f t="shared" si="268"/>
        <v>25.875505797940995</v>
      </c>
      <c r="S737" s="72">
        <f t="shared" si="268"/>
        <v>26.724397226308188</v>
      </c>
      <c r="T737" s="72">
        <f t="shared" si="268"/>
        <v>27.60212447391709</v>
      </c>
      <c r="U737" s="72">
        <f t="shared" si="268"/>
        <v>28.509698607903836</v>
      </c>
      <c r="V737" s="72">
        <f t="shared" si="268"/>
        <v>29.448167210698362</v>
      </c>
      <c r="W737" s="72">
        <f t="shared" si="268"/>
        <v>30.418615736460836</v>
      </c>
      <c r="X737" s="72">
        <f t="shared" si="268"/>
        <v>31.422168919286591</v>
      </c>
      <c r="Y737" s="72">
        <f t="shared" si="268"/>
        <v>32.459992235207118</v>
      </c>
      <c r="Z737" s="72">
        <f t="shared" si="268"/>
        <v>33.533293420096108</v>
      </c>
      <c r="AA737" s="72">
        <f t="shared" si="268"/>
        <v>34.643324045674106</v>
      </c>
      <c r="AB737" s="72">
        <f t="shared" si="268"/>
        <v>35.791381155893689</v>
      </c>
      <c r="AC737" s="72">
        <f t="shared" si="268"/>
        <v>36.978808966078674</v>
      </c>
      <c r="AD737" s="72">
        <f t="shared" si="268"/>
        <v>38.207000627286739</v>
      </c>
      <c r="AE737" s="72">
        <f t="shared" si="268"/>
        <v>39.477400058464283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52" t="s">
        <v>2012</v>
      </c>
      <c r="E738" s="70" t="s">
        <v>1854</v>
      </c>
      <c r="F738" s="70"/>
      <c r="G738" s="70" t="s">
        <v>1475</v>
      </c>
      <c r="H738" s="87" t="str">
        <f>Settings!$B$3&amp;".mit.cbobl."&amp;$G738&amp;"."&amp;$J$404</f>
        <v>egy.mit.cbobl.cbam.tot.2</v>
      </c>
      <c r="I738" s="70"/>
      <c r="J738" s="70"/>
      <c r="K738" s="72"/>
      <c r="L738" s="72">
        <f>SUMPRODUCT($I$675:$I$682*L$675:L$682/($N$675:$N$682+($N$675:$N$682=0))*((('Manual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1000</f>
        <v>0</v>
      </c>
      <c r="M738" s="72">
        <f>SUMPRODUCT($I$675:$I$682*M$675:M$682/($N$675:$N$682+($N$675:$N$682=0))*((('Manual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1000</f>
        <v>0</v>
      </c>
      <c r="N738" s="72">
        <f>SUMPRODUCT($I$675:$I$682*N$675:N$682/($N$675:$N$682+($N$675:$N$682=0))*((('Manual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1000</f>
        <v>0</v>
      </c>
      <c r="O738" s="72">
        <f>SUMPRODUCT($I$675:$I$682*O$675:O$682/($N$675:$N$682+($N$675:$N$682=0))*((('Manual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1000</f>
        <v>0</v>
      </c>
      <c r="P738" s="72">
        <f>SUMPRODUCT($I$675:$I$682*P$675:P$682/($N$675:$N$682+($N$675:$N$682=0))*((('Manual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1000</f>
        <v>5.3403962478246232</v>
      </c>
      <c r="Q738" s="72">
        <f>SUMPRODUCT($I$675:$I$682*Q$675:Q$682/($N$675:$N$682+($N$675:$N$682=0))*((('Manual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1000</f>
        <v>2.8159181394737116</v>
      </c>
      <c r="R738" s="72">
        <f>SUMPRODUCT($I$675:$I$682*R$675:R$682/($N$675:$N$682+($N$675:$N$682=0))*((('Manual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1000</f>
        <v>5.9053715904014688</v>
      </c>
      <c r="S738" s="72">
        <f>SUMPRODUCT($I$675:$I$682*S$675:S$682/($N$675:$N$682+($N$675:$N$682=0))*((('Manual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1000</f>
        <v>20.277272749757948</v>
      </c>
      <c r="T738" s="72">
        <f>SUMPRODUCT($I$675:$I$682*T$675:T$682/($N$675:$N$682+($N$675:$N$682=0))*((('Manual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1000</f>
        <v>57.513997156829475</v>
      </c>
      <c r="U738" s="72">
        <f>SUMPRODUCT($I$675:$I$682*U$675:U$682/($N$675:$N$682+($N$675:$N$682=0))*((('Manual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1000</f>
        <v>75.74216104190252</v>
      </c>
      <c r="V738" s="72">
        <f>SUMPRODUCT($I$675:$I$682*V$675:V$682/($N$675:$N$682+($N$675:$N$682=0))*((('Manual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1000</f>
        <v>95.432340166445002</v>
      </c>
      <c r="W738" s="72">
        <f>SUMPRODUCT($I$675:$I$682*W$675:W$682/($N$675:$N$682+($N$675:$N$682=0))*((('Manual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1000</f>
        <v>116.68327754350085</v>
      </c>
      <c r="X738" s="72">
        <f>SUMPRODUCT($I$675:$I$682*X$675:X$682/($N$675:$N$682+($N$675:$N$682=0))*((('Manual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1000</f>
        <v>143.13238177211616</v>
      </c>
      <c r="Y738" s="72">
        <f>SUMPRODUCT($I$675:$I$682*Y$675:Y$682/($N$675:$N$682+($N$675:$N$682=0))*((('Manual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1000</f>
        <v>140.42227913528455</v>
      </c>
      <c r="Z738" s="72">
        <f>SUMPRODUCT($I$675:$I$682*Z$675:Z$682/($N$675:$N$682+($N$675:$N$682=0))*((('Manual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1000</f>
        <v>140.99689283925528</v>
      </c>
      <c r="AA738" s="72">
        <f>SUMPRODUCT($I$675:$I$682*AA$675:AA$682/($N$675:$N$682+($N$675:$N$682=0))*((('Manual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1000</f>
        <v>141.46808281047421</v>
      </c>
      <c r="AB738" s="72">
        <f>SUMPRODUCT($I$675:$I$682*AB$675:AB$682/($N$675:$N$682+($N$675:$N$682=0))*((('Manual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1000</f>
        <v>141.82866519298312</v>
      </c>
      <c r="AC738" s="72">
        <f>SUMPRODUCT($I$675:$I$682*AC$675:AC$682/($N$675:$N$682+($N$675:$N$682=0))*((('Manual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1000</f>
        <v>142.07109507942477</v>
      </c>
      <c r="AD738" s="72">
        <f>SUMPRODUCT($I$675:$I$682*AD$675:AD$682/($N$675:$N$682+($N$675:$N$682=0))*((('Manual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1000</f>
        <v>142.18744985371978</v>
      </c>
      <c r="AE738" s="72">
        <f>SUMPRODUCT($I$675:$I$682*AE$675:AE$682/($N$675:$N$682+($N$675:$N$682=0))*((('Manual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1000</f>
        <v>142.16941175627531</v>
      </c>
      <c r="AF738" s="70"/>
      <c r="AG738" s="70"/>
      <c r="AH738" s="70"/>
      <c r="AI738" s="70"/>
    </row>
    <row r="739" spans="1:35" x14ac:dyDescent="0.45">
      <c r="A739" s="71"/>
      <c r="B739" s="52"/>
      <c r="C739" s="73" t="s">
        <v>1981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269">L673</f>
        <v>2022</v>
      </c>
      <c r="M739" s="74">
        <f t="shared" si="269"/>
        <v>2023</v>
      </c>
      <c r="N739" s="74">
        <f t="shared" si="269"/>
        <v>2024</v>
      </c>
      <c r="O739" s="74">
        <f t="shared" si="269"/>
        <v>2025</v>
      </c>
      <c r="P739" s="74">
        <f t="shared" si="269"/>
        <v>2026</v>
      </c>
      <c r="Q739" s="74">
        <f t="shared" si="269"/>
        <v>2027</v>
      </c>
      <c r="R739" s="74">
        <f t="shared" si="269"/>
        <v>2028</v>
      </c>
      <c r="S739" s="74">
        <f t="shared" si="269"/>
        <v>2029</v>
      </c>
      <c r="T739" s="74">
        <f t="shared" si="269"/>
        <v>2030</v>
      </c>
      <c r="U739" s="74">
        <f t="shared" si="269"/>
        <v>2031</v>
      </c>
      <c r="V739" s="74">
        <f t="shared" si="269"/>
        <v>2032</v>
      </c>
      <c r="W739" s="74">
        <f t="shared" si="269"/>
        <v>2033</v>
      </c>
      <c r="X739" s="74">
        <f t="shared" si="269"/>
        <v>2034</v>
      </c>
      <c r="Y739" s="74">
        <f t="shared" si="269"/>
        <v>2035</v>
      </c>
      <c r="Z739" s="74">
        <f t="shared" si="269"/>
        <v>2036</v>
      </c>
      <c r="AA739" s="74">
        <f t="shared" si="269"/>
        <v>2037</v>
      </c>
      <c r="AB739" s="74">
        <f t="shared" si="269"/>
        <v>2038</v>
      </c>
      <c r="AC739" s="74">
        <f t="shared" si="269"/>
        <v>2039</v>
      </c>
      <c r="AD739" s="74">
        <f t="shared" si="269"/>
        <v>2040</v>
      </c>
      <c r="AE739" s="74">
        <f t="shared" si="269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1468</v>
      </c>
      <c r="F740" s="70"/>
      <c r="G740" s="70"/>
      <c r="H740" s="70"/>
      <c r="I740" s="70"/>
      <c r="J740" s="70"/>
      <c r="K740" s="72"/>
      <c r="L740" s="72">
        <f t="shared" ref="L740:L747" si="270">L675*G729/1000</f>
        <v>0.17734546065090059</v>
      </c>
      <c r="M740" s="72">
        <f t="shared" ref="M740:M747" si="271">M675*G729/1000</f>
        <v>0.18514866091954021</v>
      </c>
      <c r="N740" s="72">
        <f t="shared" ref="N740:N747" si="272">N675*G729/1000</f>
        <v>0.193295202</v>
      </c>
      <c r="O740" s="72">
        <f t="shared" ref="O740:O747" si="273">O675*G729/1000</f>
        <v>0.20180019088800003</v>
      </c>
      <c r="P740" s="72">
        <f t="shared" ref="P740:P747" si="274">P675*G729/1000</f>
        <v>0.21067939928707202</v>
      </c>
      <c r="Q740" s="72">
        <f t="shared" ref="Q740:Q747" si="275">Q675*G729/1000</f>
        <v>0.21994929285570322</v>
      </c>
      <c r="R740" s="72">
        <f t="shared" ref="R740:R747" si="276">R675*G729/1000</f>
        <v>0.22962706174135414</v>
      </c>
      <c r="S740" s="72">
        <f t="shared" ref="S740:S747" si="277">S675*G729/1000</f>
        <v>0.2397306524579737</v>
      </c>
      <c r="T740" s="72">
        <f t="shared" ref="T740:T747" si="278">T675*G729/1000</f>
        <v>0.25027880116612461</v>
      </c>
      <c r="U740" s="72">
        <f t="shared" ref="U740:U747" si="279">U675*G729/1000</f>
        <v>0.2612910684174341</v>
      </c>
      <c r="V740" s="72">
        <f t="shared" ref="V740:V747" si="280">V675*G729/1000</f>
        <v>0.27278787542780114</v>
      </c>
      <c r="W740" s="72">
        <f t="shared" ref="W740:W747" si="281">W675*G729/1000</f>
        <v>0.28479054194662445</v>
      </c>
      <c r="X740" s="72">
        <f t="shared" ref="X740:X747" si="282">X675*G729/1000</f>
        <v>0.29732132579227588</v>
      </c>
      <c r="Y740" s="72">
        <f t="shared" ref="Y740:Y747" si="283">Y675*G729/1000</f>
        <v>0.3104034641271361</v>
      </c>
      <c r="Z740" s="72">
        <f t="shared" ref="Z740:Z747" si="284">Z675*G729/1000</f>
        <v>0.32406121654872999</v>
      </c>
      <c r="AA740" s="72">
        <f t="shared" ref="AA740:AA747" si="285">AA675*G729/1000</f>
        <v>0.33831991007687412</v>
      </c>
      <c r="AB740" s="72">
        <f t="shared" ref="AB740:AB747" si="286">AB675*G729/1000</f>
        <v>0.35320598612025667</v>
      </c>
      <c r="AC740" s="72">
        <f t="shared" ref="AC740:AC747" si="287">AC675*G729/1000</f>
        <v>0.36874704950954795</v>
      </c>
      <c r="AD740" s="72">
        <f t="shared" ref="AD740:AD747" si="288">AD675*G729/1000</f>
        <v>0.38497191968796801</v>
      </c>
      <c r="AE740" s="72">
        <f t="shared" ref="AE740:AE747" si="289">AE675*G729/1000</f>
        <v>0.40191068415423858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1355</v>
      </c>
      <c r="E741" s="71" t="s">
        <v>1468</v>
      </c>
      <c r="F741" s="70"/>
      <c r="G741" s="70"/>
      <c r="H741" s="70"/>
      <c r="I741" s="70"/>
      <c r="J741" s="70"/>
      <c r="K741" s="72"/>
      <c r="L741" s="72">
        <f t="shared" si="270"/>
        <v>0.19368983132954593</v>
      </c>
      <c r="M741" s="72">
        <f t="shared" si="271"/>
        <v>0.20221218390804596</v>
      </c>
      <c r="N741" s="72">
        <f t="shared" si="272"/>
        <v>0.21110951999999997</v>
      </c>
      <c r="O741" s="72">
        <f t="shared" si="273"/>
        <v>0.22039833887999999</v>
      </c>
      <c r="P741" s="72">
        <f t="shared" si="274"/>
        <v>0.23009586579071997</v>
      </c>
      <c r="Q741" s="72">
        <f t="shared" si="275"/>
        <v>0.24022008388551169</v>
      </c>
      <c r="R741" s="72">
        <f t="shared" si="276"/>
        <v>0.25078976757647414</v>
      </c>
      <c r="S741" s="72">
        <f t="shared" si="277"/>
        <v>0.26182451734983908</v>
      </c>
      <c r="T741" s="72">
        <f t="shared" si="278"/>
        <v>0.27334479611323198</v>
      </c>
      <c r="U741" s="72">
        <f t="shared" si="279"/>
        <v>0.28537196714221424</v>
      </c>
      <c r="V741" s="72">
        <f t="shared" si="280"/>
        <v>0.29792833369647159</v>
      </c>
      <c r="W741" s="72">
        <f t="shared" si="281"/>
        <v>0.31103718037911643</v>
      </c>
      <c r="X741" s="72">
        <f t="shared" si="282"/>
        <v>0.32472281631579752</v>
      </c>
      <c r="Y741" s="72">
        <f t="shared" si="283"/>
        <v>0.33901062023369266</v>
      </c>
      <c r="Z741" s="72">
        <f t="shared" si="284"/>
        <v>0.35392708752397511</v>
      </c>
      <c r="AA741" s="72">
        <f t="shared" si="285"/>
        <v>0.36949987937502998</v>
      </c>
      <c r="AB741" s="72">
        <f t="shared" si="286"/>
        <v>0.38575787406753137</v>
      </c>
      <c r="AC741" s="72">
        <f t="shared" si="287"/>
        <v>0.40273122052650273</v>
      </c>
      <c r="AD741" s="72">
        <f t="shared" si="288"/>
        <v>0.42045139422966882</v>
      </c>
      <c r="AE741" s="72">
        <f t="shared" si="289"/>
        <v>0.43895125557577425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1359</v>
      </c>
      <c r="E742" s="71" t="s">
        <v>1468</v>
      </c>
      <c r="F742" s="70"/>
      <c r="G742" s="70"/>
      <c r="H742" s="70"/>
      <c r="I742" s="70"/>
      <c r="J742" s="70"/>
      <c r="K742" s="72"/>
      <c r="L742" s="72">
        <f t="shared" si="270"/>
        <v>0</v>
      </c>
      <c r="M742" s="72">
        <f t="shared" si="271"/>
        <v>0</v>
      </c>
      <c r="N742" s="72">
        <f t="shared" si="272"/>
        <v>0</v>
      </c>
      <c r="O742" s="72">
        <f t="shared" si="273"/>
        <v>0</v>
      </c>
      <c r="P742" s="72">
        <f t="shared" si="274"/>
        <v>0</v>
      </c>
      <c r="Q742" s="72">
        <f t="shared" si="275"/>
        <v>0</v>
      </c>
      <c r="R742" s="72">
        <f t="shared" si="276"/>
        <v>0</v>
      </c>
      <c r="S742" s="72">
        <f t="shared" si="277"/>
        <v>0</v>
      </c>
      <c r="T742" s="72">
        <f t="shared" si="278"/>
        <v>0</v>
      </c>
      <c r="U742" s="72">
        <f t="shared" si="279"/>
        <v>0</v>
      </c>
      <c r="V742" s="72">
        <f t="shared" si="280"/>
        <v>0</v>
      </c>
      <c r="W742" s="72">
        <f t="shared" si="281"/>
        <v>0</v>
      </c>
      <c r="X742" s="72">
        <f t="shared" si="282"/>
        <v>0</v>
      </c>
      <c r="Y742" s="72">
        <f t="shared" si="283"/>
        <v>0</v>
      </c>
      <c r="Z742" s="72">
        <f t="shared" si="284"/>
        <v>0</v>
      </c>
      <c r="AA742" s="72">
        <f t="shared" si="285"/>
        <v>0</v>
      </c>
      <c r="AB742" s="72">
        <f t="shared" si="286"/>
        <v>0</v>
      </c>
      <c r="AC742" s="72">
        <f t="shared" si="287"/>
        <v>0</v>
      </c>
      <c r="AD742" s="72">
        <f t="shared" si="288"/>
        <v>0</v>
      </c>
      <c r="AE742" s="72">
        <f t="shared" si="289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1363</v>
      </c>
      <c r="E743" s="71" t="s">
        <v>1468</v>
      </c>
      <c r="F743" s="70"/>
      <c r="G743" s="70"/>
      <c r="H743" s="70"/>
      <c r="I743" s="70"/>
      <c r="J743" s="70"/>
      <c r="K743" s="72"/>
      <c r="L743" s="72">
        <f t="shared" si="270"/>
        <v>25.163138219961041</v>
      </c>
      <c r="M743" s="72">
        <f t="shared" si="271"/>
        <v>25.993521781219755</v>
      </c>
      <c r="N743" s="72">
        <f t="shared" si="272"/>
        <v>26.851308</v>
      </c>
      <c r="O743" s="72">
        <f t="shared" si="273"/>
        <v>27.737401163999998</v>
      </c>
      <c r="P743" s="72">
        <f t="shared" si="274"/>
        <v>28.652735402411995</v>
      </c>
      <c r="Q743" s="72">
        <f t="shared" si="275"/>
        <v>29.598275670691589</v>
      </c>
      <c r="R743" s="72">
        <f t="shared" si="276"/>
        <v>30.575018767824407</v>
      </c>
      <c r="S743" s="72">
        <f t="shared" si="277"/>
        <v>31.583994387162612</v>
      </c>
      <c r="T743" s="72">
        <f t="shared" si="278"/>
        <v>32.626266201938975</v>
      </c>
      <c r="U743" s="72">
        <f t="shared" si="279"/>
        <v>33.70293298660296</v>
      </c>
      <c r="V743" s="72">
        <f t="shared" si="280"/>
        <v>34.815129775160841</v>
      </c>
      <c r="W743" s="72">
        <f t="shared" si="281"/>
        <v>35.964029057741151</v>
      </c>
      <c r="X743" s="72">
        <f t="shared" si="282"/>
        <v>37.150842016646592</v>
      </c>
      <c r="Y743" s="72">
        <f t="shared" si="283"/>
        <v>38.376819803195943</v>
      </c>
      <c r="Z743" s="72">
        <f t="shared" si="284"/>
        <v>39.643254856701404</v>
      </c>
      <c r="AA743" s="72">
        <f t="shared" si="285"/>
        <v>40.951482266972548</v>
      </c>
      <c r="AB743" s="72">
        <f t="shared" si="286"/>
        <v>42.302881181782631</v>
      </c>
      <c r="AC743" s="72">
        <f t="shared" si="287"/>
        <v>43.698876260781446</v>
      </c>
      <c r="AD743" s="72">
        <f t="shared" si="288"/>
        <v>45.140939177387231</v>
      </c>
      <c r="AE743" s="72">
        <f t="shared" si="289"/>
        <v>46.630590170241007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1425</v>
      </c>
      <c r="E744" s="71" t="s">
        <v>1468</v>
      </c>
      <c r="F744" s="70"/>
      <c r="G744" s="70"/>
      <c r="H744" s="70"/>
      <c r="I744" s="70"/>
      <c r="J744" s="70"/>
      <c r="K744" s="72"/>
      <c r="L744" s="72">
        <f t="shared" si="270"/>
        <v>0</v>
      </c>
      <c r="M744" s="72">
        <f t="shared" si="271"/>
        <v>0</v>
      </c>
      <c r="N744" s="72">
        <f t="shared" si="272"/>
        <v>0</v>
      </c>
      <c r="O744" s="72">
        <f t="shared" si="273"/>
        <v>0</v>
      </c>
      <c r="P744" s="72">
        <f t="shared" si="274"/>
        <v>0</v>
      </c>
      <c r="Q744" s="72">
        <f t="shared" si="275"/>
        <v>0</v>
      </c>
      <c r="R744" s="72">
        <f t="shared" si="276"/>
        <v>0</v>
      </c>
      <c r="S744" s="72">
        <f t="shared" si="277"/>
        <v>0</v>
      </c>
      <c r="T744" s="72">
        <f t="shared" si="278"/>
        <v>0</v>
      </c>
      <c r="U744" s="72">
        <f t="shared" si="279"/>
        <v>0</v>
      </c>
      <c r="V744" s="72">
        <f t="shared" si="280"/>
        <v>0</v>
      </c>
      <c r="W744" s="72">
        <f t="shared" si="281"/>
        <v>0</v>
      </c>
      <c r="X744" s="72">
        <f t="shared" si="282"/>
        <v>0</v>
      </c>
      <c r="Y744" s="72">
        <f t="shared" si="283"/>
        <v>0</v>
      </c>
      <c r="Z744" s="72">
        <f t="shared" si="284"/>
        <v>0</v>
      </c>
      <c r="AA744" s="72">
        <f t="shared" si="285"/>
        <v>0</v>
      </c>
      <c r="AB744" s="72">
        <f t="shared" si="286"/>
        <v>0</v>
      </c>
      <c r="AC744" s="72">
        <f t="shared" si="287"/>
        <v>0</v>
      </c>
      <c r="AD744" s="72">
        <f t="shared" si="288"/>
        <v>0</v>
      </c>
      <c r="AE744" s="72">
        <f t="shared" si="289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1373</v>
      </c>
      <c r="E745" s="71" t="s">
        <v>1468</v>
      </c>
      <c r="F745" s="70"/>
      <c r="G745" s="70"/>
      <c r="H745" s="70"/>
      <c r="I745" s="70"/>
      <c r="J745" s="70"/>
      <c r="K745" s="72"/>
      <c r="L745" s="72">
        <f t="shared" si="270"/>
        <v>0</v>
      </c>
      <c r="M745" s="72">
        <f t="shared" si="271"/>
        <v>0</v>
      </c>
      <c r="N745" s="72">
        <f t="shared" si="272"/>
        <v>0</v>
      </c>
      <c r="O745" s="72">
        <f t="shared" si="273"/>
        <v>0</v>
      </c>
      <c r="P745" s="72">
        <f t="shared" si="274"/>
        <v>0</v>
      </c>
      <c r="Q745" s="72">
        <f t="shared" si="275"/>
        <v>0</v>
      </c>
      <c r="R745" s="72">
        <f t="shared" si="276"/>
        <v>0</v>
      </c>
      <c r="S745" s="72">
        <f t="shared" si="277"/>
        <v>0</v>
      </c>
      <c r="T745" s="72">
        <f t="shared" si="278"/>
        <v>0</v>
      </c>
      <c r="U745" s="72">
        <f t="shared" si="279"/>
        <v>0</v>
      </c>
      <c r="V745" s="72">
        <f t="shared" si="280"/>
        <v>0</v>
      </c>
      <c r="W745" s="72">
        <f t="shared" si="281"/>
        <v>0</v>
      </c>
      <c r="X745" s="72">
        <f t="shared" si="282"/>
        <v>0</v>
      </c>
      <c r="Y745" s="72">
        <f t="shared" si="283"/>
        <v>0</v>
      </c>
      <c r="Z745" s="72">
        <f t="shared" si="284"/>
        <v>0</v>
      </c>
      <c r="AA745" s="72">
        <f t="shared" si="285"/>
        <v>0</v>
      </c>
      <c r="AB745" s="72">
        <f t="shared" si="286"/>
        <v>0</v>
      </c>
      <c r="AC745" s="72">
        <f t="shared" si="287"/>
        <v>0</v>
      </c>
      <c r="AD745" s="72">
        <f t="shared" si="288"/>
        <v>0</v>
      </c>
      <c r="AE745" s="72">
        <f t="shared" si="289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1378</v>
      </c>
      <c r="E746" s="71" t="s">
        <v>1468</v>
      </c>
      <c r="F746" s="70"/>
      <c r="G746" s="70"/>
      <c r="H746" s="70"/>
      <c r="I746" s="70"/>
      <c r="J746" s="70"/>
      <c r="K746" s="72"/>
      <c r="L746" s="72">
        <f t="shared" si="270"/>
        <v>0.57123661061347031</v>
      </c>
      <c r="M746" s="72">
        <f t="shared" si="271"/>
        <v>0.58380381604696674</v>
      </c>
      <c r="N746" s="72">
        <f t="shared" si="272"/>
        <v>0.5966475</v>
      </c>
      <c r="O746" s="72">
        <f t="shared" si="273"/>
        <v>0.60977374500000003</v>
      </c>
      <c r="P746" s="72">
        <f t="shared" si="274"/>
        <v>0.62318876738999995</v>
      </c>
      <c r="Q746" s="72">
        <f t="shared" si="275"/>
        <v>0.6368989202725801</v>
      </c>
      <c r="R746" s="72">
        <f t="shared" si="276"/>
        <v>0.65091069651857669</v>
      </c>
      <c r="S746" s="72">
        <f t="shared" si="277"/>
        <v>0.66523073184198556</v>
      </c>
      <c r="T746" s="72">
        <f t="shared" si="278"/>
        <v>0.67986580794250906</v>
      </c>
      <c r="U746" s="72">
        <f t="shared" si="279"/>
        <v>0.69482285571724434</v>
      </c>
      <c r="V746" s="72">
        <f t="shared" si="280"/>
        <v>0.7101089585430238</v>
      </c>
      <c r="W746" s="72">
        <f t="shared" si="281"/>
        <v>0.72573135563097024</v>
      </c>
      <c r="X746" s="72">
        <f t="shared" si="282"/>
        <v>0.74169744545485172</v>
      </c>
      <c r="Y746" s="72">
        <f t="shared" si="283"/>
        <v>0.75801478925485843</v>
      </c>
      <c r="Z746" s="72">
        <f t="shared" si="284"/>
        <v>0.7746911146184654</v>
      </c>
      <c r="AA746" s="72">
        <f t="shared" si="285"/>
        <v>0.79173431914007153</v>
      </c>
      <c r="AB746" s="72">
        <f t="shared" si="286"/>
        <v>0.8091524741611531</v>
      </c>
      <c r="AC746" s="72">
        <f t="shared" si="287"/>
        <v>0.8269538285926985</v>
      </c>
      <c r="AD746" s="72">
        <f t="shared" si="288"/>
        <v>0.84514681282173787</v>
      </c>
      <c r="AE746" s="72">
        <f t="shared" si="289"/>
        <v>0.8637400427038161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1383</v>
      </c>
      <c r="E747" s="71" t="s">
        <v>1468</v>
      </c>
      <c r="F747" s="70"/>
      <c r="G747" s="70"/>
      <c r="H747" s="70"/>
      <c r="I747" s="70"/>
      <c r="J747" s="70"/>
      <c r="K747" s="72"/>
      <c r="L747" s="72">
        <f t="shared" si="270"/>
        <v>0.64621002403360217</v>
      </c>
      <c r="M747" s="72">
        <f t="shared" si="271"/>
        <v>0.68175157535545017</v>
      </c>
      <c r="N747" s="72">
        <f t="shared" si="272"/>
        <v>0.71924791200000004</v>
      </c>
      <c r="O747" s="72">
        <f t="shared" si="273"/>
        <v>0.75880654716000007</v>
      </c>
      <c r="P747" s="72">
        <f t="shared" si="274"/>
        <v>0.80054090725379989</v>
      </c>
      <c r="Q747" s="72">
        <f t="shared" si="275"/>
        <v>0.84457065715275881</v>
      </c>
      <c r="R747" s="72">
        <f t="shared" si="276"/>
        <v>0.89102204329616075</v>
      </c>
      <c r="S747" s="72">
        <f t="shared" si="277"/>
        <v>0.9400282556774493</v>
      </c>
      <c r="T747" s="72">
        <f t="shared" si="278"/>
        <v>0.99172980973970914</v>
      </c>
      <c r="U747" s="72">
        <f t="shared" si="279"/>
        <v>1.0462749492753931</v>
      </c>
      <c r="V747" s="72">
        <f t="shared" si="280"/>
        <v>1.1038200714855397</v>
      </c>
      <c r="W747" s="72">
        <f t="shared" si="281"/>
        <v>1.1645301754172441</v>
      </c>
      <c r="X747" s="72">
        <f t="shared" si="282"/>
        <v>1.2285793350651928</v>
      </c>
      <c r="Y747" s="72">
        <f t="shared" si="283"/>
        <v>1.2961511984937784</v>
      </c>
      <c r="Z747" s="72">
        <f t="shared" si="284"/>
        <v>1.3674395144109359</v>
      </c>
      <c r="AA747" s="72">
        <f t="shared" si="285"/>
        <v>1.4426486877035372</v>
      </c>
      <c r="AB747" s="72">
        <f t="shared" si="286"/>
        <v>1.5219943655272321</v>
      </c>
      <c r="AC747" s="72">
        <f t="shared" si="287"/>
        <v>1.6057040556312294</v>
      </c>
      <c r="AD747" s="72">
        <f t="shared" si="288"/>
        <v>1.6940177786909472</v>
      </c>
      <c r="AE747" s="72">
        <f t="shared" si="289"/>
        <v>1.787188756518949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1469</v>
      </c>
      <c r="E748" s="70"/>
      <c r="F748" s="70"/>
      <c r="G748" s="70"/>
      <c r="H748" s="70"/>
      <c r="I748" s="70"/>
      <c r="J748" s="70"/>
      <c r="K748" s="72"/>
      <c r="L748" s="72">
        <f t="shared" ref="L748:AE748" si="290">SUM(L740:L747)</f>
        <v>26.751620146588564</v>
      </c>
      <c r="M748" s="72">
        <f t="shared" si="290"/>
        <v>27.646438017449757</v>
      </c>
      <c r="N748" s="72">
        <f t="shared" si="290"/>
        <v>28.571608133999998</v>
      </c>
      <c r="O748" s="72">
        <f t="shared" si="290"/>
        <v>29.528179985927999</v>
      </c>
      <c r="P748" s="72">
        <f t="shared" si="290"/>
        <v>30.51724034213359</v>
      </c>
      <c r="Q748" s="72">
        <f t="shared" si="290"/>
        <v>31.539914624858142</v>
      </c>
      <c r="R748" s="72">
        <f t="shared" si="290"/>
        <v>32.597368336956968</v>
      </c>
      <c r="S748" s="72">
        <f t="shared" si="290"/>
        <v>33.690808544489862</v>
      </c>
      <c r="T748" s="72">
        <f t="shared" si="290"/>
        <v>34.821485416900551</v>
      </c>
      <c r="U748" s="72">
        <f t="shared" si="290"/>
        <v>35.990693827155241</v>
      </c>
      <c r="V748" s="72">
        <f t="shared" si="290"/>
        <v>37.199775014313673</v>
      </c>
      <c r="W748" s="72">
        <f t="shared" si="290"/>
        <v>38.450118311115105</v>
      </c>
      <c r="X748" s="72">
        <f t="shared" si="290"/>
        <v>39.743162939274711</v>
      </c>
      <c r="Y748" s="72">
        <f t="shared" si="290"/>
        <v>41.08039987530541</v>
      </c>
      <c r="Z748" s="72">
        <f t="shared" si="290"/>
        <v>42.463373789803505</v>
      </c>
      <c r="AA748" s="72">
        <f t="shared" si="290"/>
        <v>43.893685063268059</v>
      </c>
      <c r="AB748" s="72">
        <f t="shared" si="290"/>
        <v>45.372991881658805</v>
      </c>
      <c r="AC748" s="72">
        <f t="shared" si="290"/>
        <v>46.903012415041424</v>
      </c>
      <c r="AD748" s="72">
        <f t="shared" si="290"/>
        <v>48.485527082817555</v>
      </c>
      <c r="AE748" s="72">
        <f t="shared" si="290"/>
        <v>50.122380909193787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 t="s">
        <v>2013</v>
      </c>
      <c r="E749" s="70" t="s">
        <v>1854</v>
      </c>
      <c r="F749" s="70"/>
      <c r="G749" s="70" t="s">
        <v>1475</v>
      </c>
      <c r="H749" s="87" t="str">
        <f>Settings!$B$3&amp;".mit.cbobl0."&amp;$G749&amp;"."&amp;$J$404</f>
        <v>egy.mit.cbobl0.cbam.tot.2</v>
      </c>
      <c r="I749" s="70"/>
      <c r="J749" s="70"/>
      <c r="K749" s="72"/>
      <c r="L749" s="72">
        <f>SUMPRODUCT($I$675:$I$682*$N$675:$N$682*(1+$G$675:$G$682)^(L$673-$N$673)/($N$675:$N$682+($N$675:$N$682=0))*'Manual inputs'!L$81*'Manual inputs'!L$79*($F$729:$F$736+$G$729:$G$736))/1000</f>
        <v>0</v>
      </c>
      <c r="M749" s="72">
        <f>SUMPRODUCT($I$675:$I$682*$N$675:$N$682*(1+$G$675:$G$682)^(M$673-$N$673)/($N$675:$N$682+($N$675:$N$682=0))*'Manual inputs'!M$81*'Manual inputs'!M$79*($F$729:$F$736+$G$729:$G$736))/1000</f>
        <v>0</v>
      </c>
      <c r="N749" s="72">
        <f>SUMPRODUCT($I$675:$I$682*$N$675:$N$682*(1+$G$675:$G$682)^(N$673-$N$673)/($N$675:$N$682+($N$675:$N$682=0))*'Manual inputs'!N$81*'Manual inputs'!N$79*($F$729:$F$736+$G$729:$G$736))/1000</f>
        <v>0</v>
      </c>
      <c r="O749" s="72">
        <f>SUMPRODUCT($I$675:$I$682*$N$675:$N$682*(1+$G$675:$G$682)^(O$673-$N$673)/($N$675:$N$682+($N$675:$N$682=0))*'Manual inputs'!O$81*'Manual inputs'!O$79*($F$729:$F$736+$G$729:$G$736))/1000</f>
        <v>0</v>
      </c>
      <c r="P749" s="72">
        <f>SUMPRODUCT($I$675:$I$682*$N$675:$N$682*(1+$G$675:$G$682)^(P$673-$N$673)/($N$675:$N$682+($N$675:$N$682=0))*'Manual inputs'!P$81*'Manual inputs'!P$79*($F$729:$F$736+$G$729:$G$736))/1000</f>
        <v>5.3403962478246232</v>
      </c>
      <c r="Q749" s="72">
        <f>SUMPRODUCT($I$675:$I$682*$N$675:$N$682*(1+$G$675:$G$682)^(Q$673-$N$673)/($N$675:$N$682+($N$675:$N$682=0))*'Manual inputs'!Q$81*'Manual inputs'!Q$79*($F$729:$F$736+$G$729:$G$736))/1000</f>
        <v>11.078559094261385</v>
      </c>
      <c r="R749" s="72">
        <f>SUMPRODUCT($I$675:$I$682*$N$675:$N$682*(1+$G$675:$G$682)^(R$673-$N$673)/($N$675:$N$682+($N$675:$N$682=0))*'Manual inputs'!R$81*'Manual inputs'!R$79*($F$729:$F$736+$G$729:$G$736))/1000</f>
        <v>22.98530087521716</v>
      </c>
      <c r="S749" s="72">
        <f>SUMPRODUCT($I$675:$I$682*$N$675:$N$682*(1+$G$675:$G$682)^(S$673-$N$673)/($N$675:$N$682+($N$675:$N$682=0))*'Manual inputs'!S$81*'Manual inputs'!S$79*($F$729:$F$736+$G$729:$G$736))/1000</f>
        <v>53.657060396137581</v>
      </c>
      <c r="T749" s="72">
        <f>SUMPRODUCT($I$675:$I$682*$N$675:$N$682*(1+$G$675:$G$682)^(T$673-$N$673)/($N$675:$N$682+($N$675:$N$682=0))*'Manual inputs'!T$81*'Manual inputs'!T$79*($F$729:$F$736+$G$729:$G$736))/1000</f>
        <v>120.0155796747419</v>
      </c>
      <c r="U749" s="72">
        <f>SUMPRODUCT($I$675:$I$682*$N$675:$N$682*(1+$G$675:$G$682)^(U$673-$N$673)/($N$675:$N$682+($N$675:$N$682=0))*'Manual inputs'!U$81*'Manual inputs'!U$79*($F$729:$F$736+$G$729:$G$736))/1000</f>
        <v>156.65156177105959</v>
      </c>
      <c r="V749" s="72">
        <f>SUMPRODUCT($I$675:$I$682*$N$675:$N$682*(1+$G$675:$G$682)^(V$673-$N$673)/($N$675:$N$682+($N$675:$N$682=0))*'Manual inputs'!V$81*'Manual inputs'!V$79*($F$729:$F$736+$G$729:$G$736))/1000</f>
        <v>195.91099651311984</v>
      </c>
      <c r="W749" s="72">
        <f>SUMPRODUCT($I$675:$I$682*$N$675:$N$682*(1+$G$675:$G$682)^(W$673-$N$673)/($N$675:$N$682+($N$675:$N$682=0))*'Manual inputs'!W$81*'Manual inputs'!W$79*($F$729:$F$736+$G$729:$G$736))/1000</f>
        <v>237.95463678403516</v>
      </c>
      <c r="X749" s="72">
        <f>SUMPRODUCT($I$675:$I$682*$N$675:$N$682*(1+$G$675:$G$682)^(X$673-$N$673)/($N$675:$N$682+($N$675:$N$682=0))*'Manual inputs'!X$81*'Manual inputs'!X$79*($F$729:$F$736+$G$729:$G$736))/1000</f>
        <v>287.26169102231927</v>
      </c>
      <c r="Y749" s="72">
        <f>SUMPRODUCT($I$675:$I$682*$N$675:$N$682*(1+$G$675:$G$682)^(Y$673-$N$673)/($N$675:$N$682+($N$675:$N$682=0))*'Manual inputs'!Y$81*'Manual inputs'!Y$79*($F$729:$F$736+$G$729:$G$736))/1000</f>
        <v>298.27545824009263</v>
      </c>
      <c r="Z749" s="72">
        <f>SUMPRODUCT($I$675:$I$682*$N$675:$N$682*(1+$G$675:$G$682)^(Z$673-$N$673)/($N$675:$N$682+($N$675:$N$682=0))*'Manual inputs'!Z$81*'Manual inputs'!Z$79*($F$729:$F$736+$G$729:$G$736))/1000</f>
        <v>309.75277665421947</v>
      </c>
      <c r="AA749" s="72">
        <f>SUMPRODUCT($I$675:$I$682*$N$675:$N$682*(1+$G$675:$G$682)^(AA$673-$N$673)/($N$675:$N$682+($N$675:$N$682=0))*'Manual inputs'!AA$81*'Manual inputs'!AA$79*($F$729:$F$736+$G$729:$G$736))/1000</f>
        <v>321.71463909494184</v>
      </c>
      <c r="AB749" s="72">
        <f>SUMPRODUCT($I$675:$I$682*$N$675:$N$682*(1+$G$675:$G$682)^(AB$673-$N$673)/($N$675:$N$682+($N$675:$N$682=0))*'Manual inputs'!AB$81*'Manual inputs'!AB$79*($F$729:$F$736+$G$729:$G$736))/1000</f>
        <v>334.1830417601422</v>
      </c>
      <c r="AC749" s="72">
        <f>SUMPRODUCT($I$675:$I$682*$N$675:$N$682*(1+$G$675:$G$682)^(AC$673-$N$673)/($N$675:$N$682+($N$675:$N$682=0))*'Manual inputs'!AC$81*'Manual inputs'!AC$79*($F$729:$F$736+$G$729:$G$736))/1000</f>
        <v>347.18103405019116</v>
      </c>
      <c r="AD749" s="72">
        <f>SUMPRODUCT($I$675:$I$682*$N$675:$N$682*(1+$G$675:$G$682)^(AD$673-$N$673)/($N$675:$N$682+($N$675:$N$682=0))*'Manual inputs'!AD$81*'Manual inputs'!AD$79*($F$729:$F$736+$G$729:$G$736))/1000</f>
        <v>360.73277094599149</v>
      </c>
      <c r="AE749" s="72">
        <f>SUMPRODUCT($I$675:$I$682*$N$675:$N$682*(1+$G$675:$G$682)^(AE$673-$N$673)/($N$675:$N$682+($N$675:$N$682=0))*'Manual inputs'!AE$81*'Manual inputs'!AE$79*($F$729:$F$736+$G$729:$G$736))/1000</f>
        <v>374.86356806252212</v>
      </c>
      <c r="AF749" s="70"/>
      <c r="AG749" s="70"/>
      <c r="AH749" s="70"/>
      <c r="AI749" s="70"/>
    </row>
    <row r="750" spans="1:35" x14ac:dyDescent="0.45">
      <c r="A750" s="70"/>
      <c r="B750" s="52"/>
      <c r="C750" s="73" t="s">
        <v>1471</v>
      </c>
      <c r="D750" s="73"/>
      <c r="E750" s="72" t="s">
        <v>1472</v>
      </c>
      <c r="F750" s="72" t="s">
        <v>1390</v>
      </c>
      <c r="G750" s="72" t="s">
        <v>1473</v>
      </c>
      <c r="H750" s="74"/>
      <c r="I750" s="74"/>
      <c r="J750" s="74"/>
      <c r="K750" s="74"/>
      <c r="L750" s="74">
        <f t="shared" ref="L750:AE750" si="291">L697</f>
        <v>2022</v>
      </c>
      <c r="M750" s="74">
        <f t="shared" si="291"/>
        <v>2023</v>
      </c>
      <c r="N750" s="74">
        <f t="shared" si="291"/>
        <v>2024</v>
      </c>
      <c r="O750" s="74">
        <f t="shared" si="291"/>
        <v>2025</v>
      </c>
      <c r="P750" s="74">
        <f t="shared" si="291"/>
        <v>2026</v>
      </c>
      <c r="Q750" s="74">
        <f t="shared" si="291"/>
        <v>2027</v>
      </c>
      <c r="R750" s="74">
        <f t="shared" si="291"/>
        <v>2028</v>
      </c>
      <c r="S750" s="74">
        <f t="shared" si="291"/>
        <v>2029</v>
      </c>
      <c r="T750" s="74">
        <f t="shared" si="291"/>
        <v>2030</v>
      </c>
      <c r="U750" s="74">
        <f t="shared" si="291"/>
        <v>2031</v>
      </c>
      <c r="V750" s="74">
        <f t="shared" si="291"/>
        <v>2032</v>
      </c>
      <c r="W750" s="74">
        <f t="shared" si="291"/>
        <v>2033</v>
      </c>
      <c r="X750" s="74">
        <f t="shared" si="291"/>
        <v>2034</v>
      </c>
      <c r="Y750" s="74">
        <f t="shared" si="291"/>
        <v>2035</v>
      </c>
      <c r="Z750" s="74">
        <f t="shared" si="291"/>
        <v>2036</v>
      </c>
      <c r="AA750" s="74">
        <f t="shared" si="291"/>
        <v>2037</v>
      </c>
      <c r="AB750" s="74">
        <f t="shared" si="291"/>
        <v>2038</v>
      </c>
      <c r="AC750" s="74">
        <f t="shared" si="291"/>
        <v>2039</v>
      </c>
      <c r="AD750" s="74">
        <f t="shared" si="291"/>
        <v>2040</v>
      </c>
      <c r="AE750" s="74">
        <f t="shared" si="291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292">L729*(EXP(-($E751)*(L648))-1)</f>
        <v>0</v>
      </c>
      <c r="M751" s="72">
        <f t="shared" si="292"/>
        <v>0</v>
      </c>
      <c r="N751" s="72">
        <f t="shared" si="292"/>
        <v>0</v>
      </c>
      <c r="O751" s="72">
        <f t="shared" si="292"/>
        <v>0</v>
      </c>
      <c r="P751" s="72">
        <f t="shared" si="292"/>
        <v>0</v>
      </c>
      <c r="Q751" s="72">
        <f t="shared" si="292"/>
        <v>0</v>
      </c>
      <c r="R751" s="72">
        <f t="shared" si="292"/>
        <v>0</v>
      </c>
      <c r="S751" s="72">
        <f t="shared" si="292"/>
        <v>0</v>
      </c>
      <c r="T751" s="72">
        <f t="shared" si="292"/>
        <v>0</v>
      </c>
      <c r="U751" s="72">
        <f t="shared" si="292"/>
        <v>0</v>
      </c>
      <c r="V751" s="72">
        <f t="shared" si="292"/>
        <v>0</v>
      </c>
      <c r="W751" s="72">
        <f t="shared" si="292"/>
        <v>0</v>
      </c>
      <c r="X751" s="72">
        <f t="shared" si="292"/>
        <v>0</v>
      </c>
      <c r="Y751" s="72">
        <f t="shared" si="292"/>
        <v>0</v>
      </c>
      <c r="Z751" s="72">
        <f t="shared" si="292"/>
        <v>0</v>
      </c>
      <c r="AA751" s="72">
        <f t="shared" si="292"/>
        <v>0</v>
      </c>
      <c r="AB751" s="72">
        <f t="shared" si="292"/>
        <v>0</v>
      </c>
      <c r="AC751" s="72">
        <f t="shared" si="292"/>
        <v>0</v>
      </c>
      <c r="AD751" s="72">
        <f t="shared" si="292"/>
        <v>0</v>
      </c>
      <c r="AE751" s="72">
        <f t="shared" si="292"/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1355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293">L730*(EXP(-($E752)*(L648))-1)</f>
        <v>0</v>
      </c>
      <c r="M752" s="72">
        <f t="shared" si="293"/>
        <v>0</v>
      </c>
      <c r="N752" s="72">
        <f t="shared" si="293"/>
        <v>0</v>
      </c>
      <c r="O752" s="72">
        <f t="shared" si="293"/>
        <v>0</v>
      </c>
      <c r="P752" s="72">
        <f t="shared" si="293"/>
        <v>0</v>
      </c>
      <c r="Q752" s="72">
        <f t="shared" si="293"/>
        <v>0</v>
      </c>
      <c r="R752" s="72">
        <f t="shared" si="293"/>
        <v>0</v>
      </c>
      <c r="S752" s="72">
        <f t="shared" si="293"/>
        <v>0</v>
      </c>
      <c r="T752" s="72">
        <f t="shared" si="293"/>
        <v>0</v>
      </c>
      <c r="U752" s="72">
        <f t="shared" si="293"/>
        <v>0</v>
      </c>
      <c r="V752" s="72">
        <f t="shared" si="293"/>
        <v>0</v>
      </c>
      <c r="W752" s="72">
        <f t="shared" si="293"/>
        <v>0</v>
      </c>
      <c r="X752" s="72">
        <f t="shared" si="293"/>
        <v>0</v>
      </c>
      <c r="Y752" s="72">
        <f t="shared" si="293"/>
        <v>0</v>
      </c>
      <c r="Z752" s="72">
        <f t="shared" si="293"/>
        <v>0</v>
      </c>
      <c r="AA752" s="72">
        <f t="shared" si="293"/>
        <v>0</v>
      </c>
      <c r="AB752" s="72">
        <f t="shared" si="293"/>
        <v>0</v>
      </c>
      <c r="AC752" s="72">
        <f t="shared" si="293"/>
        <v>0</v>
      </c>
      <c r="AD752" s="72">
        <f t="shared" si="293"/>
        <v>0</v>
      </c>
      <c r="AE752" s="72">
        <f t="shared" si="293"/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1391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294">L731*(EXP(-($E753)*(L648))-1)</f>
        <v>0</v>
      </c>
      <c r="M753" s="72">
        <f t="shared" si="294"/>
        <v>0</v>
      </c>
      <c r="N753" s="72">
        <f t="shared" si="294"/>
        <v>0</v>
      </c>
      <c r="O753" s="72">
        <f t="shared" si="294"/>
        <v>0</v>
      </c>
      <c r="P753" s="72">
        <f t="shared" si="294"/>
        <v>0</v>
      </c>
      <c r="Q753" s="72">
        <f t="shared" si="294"/>
        <v>0</v>
      </c>
      <c r="R753" s="72">
        <f t="shared" si="294"/>
        <v>0</v>
      </c>
      <c r="S753" s="72">
        <f t="shared" si="294"/>
        <v>0</v>
      </c>
      <c r="T753" s="72">
        <f t="shared" si="294"/>
        <v>0</v>
      </c>
      <c r="U753" s="72">
        <f t="shared" si="294"/>
        <v>0</v>
      </c>
      <c r="V753" s="72">
        <f t="shared" si="294"/>
        <v>0</v>
      </c>
      <c r="W753" s="72">
        <f t="shared" si="294"/>
        <v>0</v>
      </c>
      <c r="X753" s="72">
        <f t="shared" si="294"/>
        <v>0</v>
      </c>
      <c r="Y753" s="72">
        <f t="shared" si="294"/>
        <v>0</v>
      </c>
      <c r="Z753" s="72">
        <f t="shared" si="294"/>
        <v>0</v>
      </c>
      <c r="AA753" s="72">
        <f t="shared" si="294"/>
        <v>0</v>
      </c>
      <c r="AB753" s="72">
        <f t="shared" si="294"/>
        <v>0</v>
      </c>
      <c r="AC753" s="72">
        <f t="shared" si="294"/>
        <v>0</v>
      </c>
      <c r="AD753" s="72">
        <f t="shared" si="294"/>
        <v>0</v>
      </c>
      <c r="AE753" s="72">
        <f t="shared" si="294"/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1392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295">L732*(EXP(-($E754)*(L648))-1)</f>
        <v>0</v>
      </c>
      <c r="M754" s="72">
        <f t="shared" si="295"/>
        <v>0</v>
      </c>
      <c r="N754" s="72">
        <f t="shared" si="295"/>
        <v>0</v>
      </c>
      <c r="O754" s="72">
        <f t="shared" si="295"/>
        <v>0</v>
      </c>
      <c r="P754" s="72">
        <f t="shared" si="295"/>
        <v>0</v>
      </c>
      <c r="Q754" s="72">
        <f t="shared" si="295"/>
        <v>0</v>
      </c>
      <c r="R754" s="72">
        <f t="shared" si="295"/>
        <v>0</v>
      </c>
      <c r="S754" s="72">
        <f t="shared" si="295"/>
        <v>0</v>
      </c>
      <c r="T754" s="72">
        <f t="shared" si="295"/>
        <v>0</v>
      </c>
      <c r="U754" s="72">
        <f t="shared" si="295"/>
        <v>0</v>
      </c>
      <c r="V754" s="72">
        <f t="shared" si="295"/>
        <v>0</v>
      </c>
      <c r="W754" s="72">
        <f t="shared" si="295"/>
        <v>0</v>
      </c>
      <c r="X754" s="72">
        <f t="shared" si="295"/>
        <v>0</v>
      </c>
      <c r="Y754" s="72">
        <f t="shared" si="295"/>
        <v>0</v>
      </c>
      <c r="Z754" s="72">
        <f t="shared" si="295"/>
        <v>0</v>
      </c>
      <c r="AA754" s="72">
        <f t="shared" si="295"/>
        <v>0</v>
      </c>
      <c r="AB754" s="72">
        <f t="shared" si="295"/>
        <v>0</v>
      </c>
      <c r="AC754" s="72">
        <f t="shared" si="295"/>
        <v>0</v>
      </c>
      <c r="AD754" s="72">
        <f t="shared" si="295"/>
        <v>0</v>
      </c>
      <c r="AE754" s="72">
        <f t="shared" si="295"/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1393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296">L733*(EXP(-($E755)*(L648))-1)</f>
        <v>0</v>
      </c>
      <c r="M755" s="72">
        <f t="shared" si="296"/>
        <v>0</v>
      </c>
      <c r="N755" s="72">
        <f t="shared" si="296"/>
        <v>0</v>
      </c>
      <c r="O755" s="72">
        <f t="shared" si="296"/>
        <v>0</v>
      </c>
      <c r="P755" s="72">
        <f t="shared" si="296"/>
        <v>0</v>
      </c>
      <c r="Q755" s="72">
        <f t="shared" si="296"/>
        <v>0</v>
      </c>
      <c r="R755" s="72">
        <f t="shared" si="296"/>
        <v>0</v>
      </c>
      <c r="S755" s="72">
        <f t="shared" si="296"/>
        <v>0</v>
      </c>
      <c r="T755" s="72">
        <f t="shared" si="296"/>
        <v>0</v>
      </c>
      <c r="U755" s="72">
        <f t="shared" si="296"/>
        <v>0</v>
      </c>
      <c r="V755" s="72">
        <f t="shared" si="296"/>
        <v>0</v>
      </c>
      <c r="W755" s="72">
        <f t="shared" si="296"/>
        <v>0</v>
      </c>
      <c r="X755" s="72">
        <f t="shared" si="296"/>
        <v>0</v>
      </c>
      <c r="Y755" s="72">
        <f t="shared" si="296"/>
        <v>0</v>
      </c>
      <c r="Z755" s="72">
        <f t="shared" si="296"/>
        <v>0</v>
      </c>
      <c r="AA755" s="72">
        <f t="shared" si="296"/>
        <v>0</v>
      </c>
      <c r="AB755" s="72">
        <f t="shared" si="296"/>
        <v>0</v>
      </c>
      <c r="AC755" s="72">
        <f t="shared" si="296"/>
        <v>0</v>
      </c>
      <c r="AD755" s="72">
        <f t="shared" si="296"/>
        <v>0</v>
      </c>
      <c r="AE755" s="72">
        <f t="shared" si="296"/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1373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297">L734*(EXP(-($E756)*(L648))-1)</f>
        <v>0</v>
      </c>
      <c r="M756" s="72">
        <f t="shared" si="297"/>
        <v>0</v>
      </c>
      <c r="N756" s="72">
        <f t="shared" si="297"/>
        <v>0</v>
      </c>
      <c r="O756" s="72">
        <f t="shared" si="297"/>
        <v>0</v>
      </c>
      <c r="P756" s="72">
        <f t="shared" si="297"/>
        <v>0</v>
      </c>
      <c r="Q756" s="72">
        <f t="shared" si="297"/>
        <v>0</v>
      </c>
      <c r="R756" s="72">
        <f t="shared" si="297"/>
        <v>0</v>
      </c>
      <c r="S756" s="72">
        <f t="shared" si="297"/>
        <v>0</v>
      </c>
      <c r="T756" s="72">
        <f t="shared" si="297"/>
        <v>0</v>
      </c>
      <c r="U756" s="72">
        <f t="shared" si="297"/>
        <v>0</v>
      </c>
      <c r="V756" s="72">
        <f t="shared" si="297"/>
        <v>0</v>
      </c>
      <c r="W756" s="72">
        <f t="shared" si="297"/>
        <v>0</v>
      </c>
      <c r="X756" s="72">
        <f t="shared" si="297"/>
        <v>0</v>
      </c>
      <c r="Y756" s="72">
        <f t="shared" si="297"/>
        <v>0</v>
      </c>
      <c r="Z756" s="72">
        <f t="shared" si="297"/>
        <v>0</v>
      </c>
      <c r="AA756" s="72">
        <f t="shared" si="297"/>
        <v>0</v>
      </c>
      <c r="AB756" s="72">
        <f t="shared" si="297"/>
        <v>0</v>
      </c>
      <c r="AC756" s="72">
        <f t="shared" si="297"/>
        <v>0</v>
      </c>
      <c r="AD756" s="72">
        <f t="shared" si="297"/>
        <v>0</v>
      </c>
      <c r="AE756" s="72">
        <f t="shared" si="297"/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1394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298">L735*(EXP(-($E757)*(L648))-1)</f>
        <v>0</v>
      </c>
      <c r="M757" s="72">
        <f t="shared" si="298"/>
        <v>0</v>
      </c>
      <c r="N757" s="72">
        <f t="shared" si="298"/>
        <v>0</v>
      </c>
      <c r="O757" s="72">
        <f t="shared" si="298"/>
        <v>0</v>
      </c>
      <c r="P757" s="72">
        <f t="shared" si="298"/>
        <v>0</v>
      </c>
      <c r="Q757" s="72">
        <f t="shared" si="298"/>
        <v>0</v>
      </c>
      <c r="R757" s="72">
        <f t="shared" si="298"/>
        <v>0</v>
      </c>
      <c r="S757" s="72">
        <f t="shared" si="298"/>
        <v>0</v>
      </c>
      <c r="T757" s="72">
        <f t="shared" si="298"/>
        <v>0</v>
      </c>
      <c r="U757" s="72">
        <f t="shared" si="298"/>
        <v>0</v>
      </c>
      <c r="V757" s="72">
        <f t="shared" si="298"/>
        <v>0</v>
      </c>
      <c r="W757" s="72">
        <f t="shared" si="298"/>
        <v>0</v>
      </c>
      <c r="X757" s="72">
        <f t="shared" si="298"/>
        <v>0</v>
      </c>
      <c r="Y757" s="72">
        <f t="shared" si="298"/>
        <v>0</v>
      </c>
      <c r="Z757" s="72">
        <f t="shared" si="298"/>
        <v>0</v>
      </c>
      <c r="AA757" s="72">
        <f t="shared" si="298"/>
        <v>0</v>
      </c>
      <c r="AB757" s="72">
        <f t="shared" si="298"/>
        <v>0</v>
      </c>
      <c r="AC757" s="72">
        <f t="shared" si="298"/>
        <v>0</v>
      </c>
      <c r="AD757" s="72">
        <f t="shared" si="298"/>
        <v>0</v>
      </c>
      <c r="AE757" s="72">
        <f t="shared" si="298"/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1383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299">L736*(EXP(-($E758)*(L648))-1)</f>
        <v>0</v>
      </c>
      <c r="M758" s="72">
        <f t="shared" si="299"/>
        <v>0</v>
      </c>
      <c r="N758" s="72">
        <f t="shared" si="299"/>
        <v>0</v>
      </c>
      <c r="O758" s="72">
        <f t="shared" si="299"/>
        <v>0</v>
      </c>
      <c r="P758" s="72">
        <f t="shared" si="299"/>
        <v>0</v>
      </c>
      <c r="Q758" s="72">
        <f t="shared" si="299"/>
        <v>0</v>
      </c>
      <c r="R758" s="72">
        <f t="shared" si="299"/>
        <v>0</v>
      </c>
      <c r="S758" s="72">
        <f t="shared" si="299"/>
        <v>0</v>
      </c>
      <c r="T758" s="72">
        <f t="shared" si="299"/>
        <v>0</v>
      </c>
      <c r="U758" s="72">
        <f t="shared" si="299"/>
        <v>0</v>
      </c>
      <c r="V758" s="72">
        <f t="shared" si="299"/>
        <v>0</v>
      </c>
      <c r="W758" s="72">
        <f t="shared" si="299"/>
        <v>0</v>
      </c>
      <c r="X758" s="72">
        <f t="shared" si="299"/>
        <v>0</v>
      </c>
      <c r="Y758" s="72">
        <f t="shared" si="299"/>
        <v>0</v>
      </c>
      <c r="Z758" s="72">
        <f t="shared" si="299"/>
        <v>0</v>
      </c>
      <c r="AA758" s="72">
        <f t="shared" si="299"/>
        <v>0</v>
      </c>
      <c r="AB758" s="72">
        <f t="shared" si="299"/>
        <v>0</v>
      </c>
      <c r="AC758" s="72">
        <f t="shared" si="299"/>
        <v>0</v>
      </c>
      <c r="AD758" s="72">
        <f t="shared" si="299"/>
        <v>0</v>
      </c>
      <c r="AE758" s="72">
        <f t="shared" si="299"/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 t="s">
        <v>111</v>
      </c>
      <c r="E759" s="72"/>
      <c r="F759" s="72"/>
      <c r="G759" s="70" t="s">
        <v>1475</v>
      </c>
      <c r="H759" s="87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300">SUM(L751:L758)</f>
        <v>0</v>
      </c>
      <c r="M759" s="72">
        <f t="shared" si="300"/>
        <v>0</v>
      </c>
      <c r="N759" s="72">
        <f t="shared" si="300"/>
        <v>0</v>
      </c>
      <c r="O759" s="72">
        <f t="shared" si="300"/>
        <v>0</v>
      </c>
      <c r="P759" s="72">
        <f t="shared" si="300"/>
        <v>0</v>
      </c>
      <c r="Q759" s="72">
        <f t="shared" si="300"/>
        <v>0</v>
      </c>
      <c r="R759" s="72">
        <f t="shared" si="300"/>
        <v>0</v>
      </c>
      <c r="S759" s="72">
        <f t="shared" si="300"/>
        <v>0</v>
      </c>
      <c r="T759" s="72">
        <f t="shared" si="300"/>
        <v>0</v>
      </c>
      <c r="U759" s="72">
        <f t="shared" si="300"/>
        <v>0</v>
      </c>
      <c r="V759" s="72">
        <f t="shared" si="300"/>
        <v>0</v>
      </c>
      <c r="W759" s="72">
        <f t="shared" si="300"/>
        <v>0</v>
      </c>
      <c r="X759" s="72">
        <f t="shared" si="300"/>
        <v>0</v>
      </c>
      <c r="Y759" s="72">
        <f t="shared" si="300"/>
        <v>0</v>
      </c>
      <c r="Z759" s="72">
        <f t="shared" si="300"/>
        <v>0</v>
      </c>
      <c r="AA759" s="72">
        <f t="shared" si="300"/>
        <v>0</v>
      </c>
      <c r="AB759" s="72">
        <f t="shared" si="300"/>
        <v>0</v>
      </c>
      <c r="AC759" s="72">
        <f t="shared" si="300"/>
        <v>0</v>
      </c>
      <c r="AD759" s="72">
        <f t="shared" si="300"/>
        <v>0</v>
      </c>
      <c r="AE759" s="72">
        <f t="shared" si="300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72" t="s">
        <v>2014</v>
      </c>
      <c r="E760" s="72" t="s">
        <v>79</v>
      </c>
      <c r="F760" s="72"/>
      <c r="G760" s="70" t="s">
        <v>1475</v>
      </c>
      <c r="H760" s="87" t="str">
        <f>Settings!$B$3&amp;".mit.cbobch."&amp;$G760&amp;"."&amp;$J$404</f>
        <v>egy.mit.cbobch.cbam.tot.2</v>
      </c>
      <c r="I760" s="72"/>
      <c r="J760" s="72"/>
      <c r="K760" s="72"/>
      <c r="L760" s="101">
        <f t="shared" ref="L760:AE760" si="301">IF(L$749=0,0,L$738/L$749-1)</f>
        <v>0</v>
      </c>
      <c r="M760" s="101">
        <f t="shared" si="301"/>
        <v>0</v>
      </c>
      <c r="N760" s="101">
        <f t="shared" si="301"/>
        <v>0</v>
      </c>
      <c r="O760" s="101">
        <f t="shared" si="301"/>
        <v>0</v>
      </c>
      <c r="P760" s="101">
        <f t="shared" si="301"/>
        <v>0</v>
      </c>
      <c r="Q760" s="101">
        <f t="shared" si="301"/>
        <v>-0.74582270893582747</v>
      </c>
      <c r="R760" s="101">
        <f t="shared" si="301"/>
        <v>-0.74308051817722065</v>
      </c>
      <c r="S760" s="101">
        <f t="shared" si="301"/>
        <v>-0.6220949750125041</v>
      </c>
      <c r="T760" s="101">
        <f t="shared" si="301"/>
        <v>-0.52077890793261994</v>
      </c>
      <c r="U760" s="101">
        <f t="shared" si="301"/>
        <v>-0.51649278062993798</v>
      </c>
      <c r="V760" s="101">
        <f t="shared" si="301"/>
        <v>-0.51287910395548386</v>
      </c>
      <c r="W760" s="101">
        <f t="shared" si="301"/>
        <v>-0.50964066462213453</v>
      </c>
      <c r="X760" s="101">
        <f t="shared" si="301"/>
        <v>-0.5017352252479943</v>
      </c>
      <c r="Y760" s="101">
        <f t="shared" si="301"/>
        <v>-0.52921946725414593</v>
      </c>
      <c r="Z760" s="101">
        <f t="shared" si="301"/>
        <v>-0.54480830047037254</v>
      </c>
      <c r="AA760" s="101">
        <f t="shared" si="301"/>
        <v>-0.56026843164968532</v>
      </c>
      <c r="AB760" s="101">
        <f t="shared" si="301"/>
        <v>-0.57559586373392413</v>
      </c>
      <c r="AC760" s="101">
        <f t="shared" si="301"/>
        <v>-0.59078670449813253</v>
      </c>
      <c r="AD760" s="101">
        <f t="shared" si="301"/>
        <v>-0.60583717004461479</v>
      </c>
      <c r="AE760" s="101">
        <f t="shared" si="301"/>
        <v>-0.62074358815108055</v>
      </c>
      <c r="AF760" s="70"/>
      <c r="AG760" s="70"/>
      <c r="AH760" s="70"/>
      <c r="AI760" s="70"/>
    </row>
    <row r="761" spans="1:35" x14ac:dyDescent="0.45">
      <c r="A761" s="70"/>
      <c r="B761" s="52"/>
      <c r="C761" s="73" t="s">
        <v>1474</v>
      </c>
      <c r="D761" s="73"/>
      <c r="E761" s="72" t="s">
        <v>1953</v>
      </c>
      <c r="F761" s="72" t="s">
        <v>1954</v>
      </c>
      <c r="G761" s="72" t="s">
        <v>1955</v>
      </c>
      <c r="H761" s="74" t="s">
        <v>1956</v>
      </c>
      <c r="I761" s="74"/>
      <c r="J761" s="74"/>
      <c r="K761" s="74"/>
      <c r="L761" s="74">
        <f t="shared" ref="L761:AE761" si="302">L708</f>
        <v>2022</v>
      </c>
      <c r="M761" s="74">
        <f t="shared" si="302"/>
        <v>2023</v>
      </c>
      <c r="N761" s="74">
        <f t="shared" si="302"/>
        <v>2024</v>
      </c>
      <c r="O761" s="74">
        <f t="shared" si="302"/>
        <v>2025</v>
      </c>
      <c r="P761" s="74">
        <f t="shared" si="302"/>
        <v>2026</v>
      </c>
      <c r="Q761" s="74">
        <f t="shared" si="302"/>
        <v>2027</v>
      </c>
      <c r="R761" s="74">
        <f t="shared" si="302"/>
        <v>2028</v>
      </c>
      <c r="S761" s="74">
        <f t="shared" si="302"/>
        <v>2029</v>
      </c>
      <c r="T761" s="74">
        <f t="shared" si="302"/>
        <v>2030</v>
      </c>
      <c r="U761" s="74">
        <f t="shared" si="302"/>
        <v>2031</v>
      </c>
      <c r="V761" s="74">
        <f t="shared" si="302"/>
        <v>2032</v>
      </c>
      <c r="W761" s="74">
        <f t="shared" si="302"/>
        <v>2033</v>
      </c>
      <c r="X761" s="74">
        <f t="shared" si="302"/>
        <v>2034</v>
      </c>
      <c r="Y761" s="74">
        <f t="shared" si="302"/>
        <v>2035</v>
      </c>
      <c r="Z761" s="74">
        <f t="shared" si="302"/>
        <v>2036</v>
      </c>
      <c r="AA761" s="74">
        <f t="shared" si="302"/>
        <v>2037</v>
      </c>
      <c r="AB761" s="74">
        <f t="shared" si="302"/>
        <v>2038</v>
      </c>
      <c r="AC761" s="74">
        <f t="shared" si="302"/>
        <v>2039</v>
      </c>
      <c r="AD761" s="74">
        <f t="shared" si="302"/>
        <v>2040</v>
      </c>
      <c r="AE761" s="74">
        <f t="shared" si="302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71">
        <f>'Manual inputs'!T$53</f>
        <v>3.4469507031574592E-3</v>
      </c>
      <c r="F762" s="78">
        <f>'Manual inputs'!U$53</f>
        <v>1</v>
      </c>
      <c r="G762" s="71">
        <f>'Manual inputs'!V$53</f>
        <v>0</v>
      </c>
      <c r="H762" s="78">
        <f>'Manual inputs'!W$53</f>
        <v>0</v>
      </c>
      <c r="I762" s="70" t="s">
        <v>2885</v>
      </c>
      <c r="J762" s="70"/>
      <c r="K762" s="70"/>
      <c r="L762" s="72">
        <f t="shared" ref="L762:AE762" si="303">-L$675/1000*($J$672*MAX($J$663,0)*$F762*(1-EXP(-$E762*($F$709*L$707+$G$709*L$647+L$648)))+$K$672*MAX($K$663,0)*$H762*(1-EXP(-$G762*($F$709*L$707+$G$709*L$647+L$648))))</f>
        <v>0</v>
      </c>
      <c r="M762" s="72">
        <f t="shared" si="303"/>
        <v>0</v>
      </c>
      <c r="N762" s="72">
        <f t="shared" si="303"/>
        <v>0</v>
      </c>
      <c r="O762" s="72">
        <f t="shared" si="303"/>
        <v>0</v>
      </c>
      <c r="P762" s="72">
        <f t="shared" si="303"/>
        <v>0</v>
      </c>
      <c r="Q762" s="72">
        <f t="shared" si="303"/>
        <v>0</v>
      </c>
      <c r="R762" s="72">
        <f t="shared" si="303"/>
        <v>0</v>
      </c>
      <c r="S762" s="72">
        <f t="shared" si="303"/>
        <v>0</v>
      </c>
      <c r="T762" s="72">
        <f t="shared" si="303"/>
        <v>0</v>
      </c>
      <c r="U762" s="72">
        <f t="shared" si="303"/>
        <v>0</v>
      </c>
      <c r="V762" s="72">
        <f t="shared" si="303"/>
        <v>0</v>
      </c>
      <c r="W762" s="72">
        <f t="shared" si="303"/>
        <v>0</v>
      </c>
      <c r="X762" s="72">
        <f t="shared" si="303"/>
        <v>0</v>
      </c>
      <c r="Y762" s="72">
        <f t="shared" si="303"/>
        <v>0</v>
      </c>
      <c r="Z762" s="72">
        <f t="shared" si="303"/>
        <v>0</v>
      </c>
      <c r="AA762" s="72">
        <f t="shared" si="303"/>
        <v>0</v>
      </c>
      <c r="AB762" s="72">
        <f t="shared" si="303"/>
        <v>0</v>
      </c>
      <c r="AC762" s="72">
        <f t="shared" si="303"/>
        <v>0</v>
      </c>
      <c r="AD762" s="72">
        <f t="shared" si="303"/>
        <v>0</v>
      </c>
      <c r="AE762" s="72">
        <f t="shared" si="303"/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1355</v>
      </c>
      <c r="E763" s="71">
        <f>'Manual inputs'!T$54</f>
        <v>1.6366491404021942E-3</v>
      </c>
      <c r="F763" s="78">
        <f>'Manual inputs'!U$54</f>
        <v>1</v>
      </c>
      <c r="G763" s="71">
        <f>'Manual inputs'!V$54</f>
        <v>0</v>
      </c>
      <c r="H763" s="78">
        <f>'Manual inputs'!W$54</f>
        <v>0</v>
      </c>
      <c r="I763" s="70"/>
      <c r="J763" s="70"/>
      <c r="K763" s="70"/>
      <c r="L763" s="72">
        <f t="shared" ref="L763:AE763" si="304">-L$676/1000*($J$672*MAX($J$664,0)*$F763*(1-EXP(-$E763*($F$710*L$707+$G$710*L$647+L$648)))+$K$672*MAX($K$664,0)*$H763*(1-EXP(-$G763*($F$710*L$707+$G$710*L$647+L$648))))</f>
        <v>0</v>
      </c>
      <c r="M763" s="72">
        <f t="shared" si="304"/>
        <v>0</v>
      </c>
      <c r="N763" s="72">
        <f t="shared" si="304"/>
        <v>0</v>
      </c>
      <c r="O763" s="72">
        <f t="shared" si="304"/>
        <v>0</v>
      </c>
      <c r="P763" s="72">
        <f t="shared" si="304"/>
        <v>0</v>
      </c>
      <c r="Q763" s="72">
        <f t="shared" si="304"/>
        <v>0</v>
      </c>
      <c r="R763" s="72">
        <f t="shared" si="304"/>
        <v>0</v>
      </c>
      <c r="S763" s="72">
        <f t="shared" si="304"/>
        <v>0</v>
      </c>
      <c r="T763" s="72">
        <f t="shared" si="304"/>
        <v>0</v>
      </c>
      <c r="U763" s="72">
        <f t="shared" si="304"/>
        <v>0</v>
      </c>
      <c r="V763" s="72">
        <f t="shared" si="304"/>
        <v>0</v>
      </c>
      <c r="W763" s="72">
        <f t="shared" si="304"/>
        <v>0</v>
      </c>
      <c r="X763" s="72">
        <f t="shared" si="304"/>
        <v>0</v>
      </c>
      <c r="Y763" s="72">
        <f t="shared" si="304"/>
        <v>0</v>
      </c>
      <c r="Z763" s="72">
        <f t="shared" si="304"/>
        <v>0</v>
      </c>
      <c r="AA763" s="72">
        <f t="shared" si="304"/>
        <v>0</v>
      </c>
      <c r="AB763" s="72">
        <f t="shared" si="304"/>
        <v>0</v>
      </c>
      <c r="AC763" s="72">
        <f t="shared" si="304"/>
        <v>0</v>
      </c>
      <c r="AD763" s="72">
        <f t="shared" si="304"/>
        <v>0</v>
      </c>
      <c r="AE763" s="72">
        <f t="shared" si="304"/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1391</v>
      </c>
      <c r="E764" s="71">
        <f>'Manual inputs'!T$55</f>
        <v>2.6960722989211347E-3</v>
      </c>
      <c r="F764" s="78">
        <f>'Manual inputs'!U$55</f>
        <v>1</v>
      </c>
      <c r="G764" s="71">
        <f>'Manual inputs'!V$55</f>
        <v>0</v>
      </c>
      <c r="H764" s="78">
        <f>'Manual inputs'!W$55</f>
        <v>0</v>
      </c>
      <c r="I764" s="70"/>
      <c r="J764" s="70"/>
      <c r="K764" s="70"/>
      <c r="L764" s="72">
        <f t="shared" ref="L764:AE764" si="305">-L$677/1000*($J$672*MAX($J$665,0)*$F764*(1-EXP(-$E764*($F$711*L$707+$G$711*L$647+L$648)))+$K$672*MAX($K$665,0)*$H764*(1-EXP(-$G764*($F$711*L$707+$G$711*L$647+L$648))))</f>
        <v>0</v>
      </c>
      <c r="M764" s="72">
        <f t="shared" si="305"/>
        <v>0</v>
      </c>
      <c r="N764" s="72">
        <f t="shared" si="305"/>
        <v>0</v>
      </c>
      <c r="O764" s="72">
        <f t="shared" si="305"/>
        <v>0</v>
      </c>
      <c r="P764" s="72">
        <f t="shared" si="305"/>
        <v>0</v>
      </c>
      <c r="Q764" s="72">
        <f t="shared" si="305"/>
        <v>0</v>
      </c>
      <c r="R764" s="72">
        <f t="shared" si="305"/>
        <v>0</v>
      </c>
      <c r="S764" s="72">
        <f t="shared" si="305"/>
        <v>0</v>
      </c>
      <c r="T764" s="72">
        <f t="shared" si="305"/>
        <v>0</v>
      </c>
      <c r="U764" s="72">
        <f t="shared" si="305"/>
        <v>0</v>
      </c>
      <c r="V764" s="72">
        <f t="shared" si="305"/>
        <v>0</v>
      </c>
      <c r="W764" s="72">
        <f t="shared" si="305"/>
        <v>0</v>
      </c>
      <c r="X764" s="72">
        <f t="shared" si="305"/>
        <v>0</v>
      </c>
      <c r="Y764" s="72">
        <f t="shared" si="305"/>
        <v>0</v>
      </c>
      <c r="Z764" s="72">
        <f t="shared" si="305"/>
        <v>0</v>
      </c>
      <c r="AA764" s="72">
        <f t="shared" si="305"/>
        <v>0</v>
      </c>
      <c r="AB764" s="72">
        <f t="shared" si="305"/>
        <v>0</v>
      </c>
      <c r="AC764" s="72">
        <f t="shared" si="305"/>
        <v>0</v>
      </c>
      <c r="AD764" s="72">
        <f t="shared" si="305"/>
        <v>0</v>
      </c>
      <c r="AE764" s="72">
        <f t="shared" si="305"/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1392</v>
      </c>
      <c r="E765" s="71">
        <f>'Manual inputs'!T$56</f>
        <v>3.3464675036139224E-3</v>
      </c>
      <c r="F765" s="78">
        <f>'Manual inputs'!U$56</f>
        <v>1</v>
      </c>
      <c r="G765" s="71">
        <f>'Manual inputs'!V$56</f>
        <v>0</v>
      </c>
      <c r="H765" s="78">
        <f>'Manual inputs'!W$56</f>
        <v>0</v>
      </c>
      <c r="I765" s="70"/>
      <c r="J765" s="70"/>
      <c r="K765" s="70"/>
      <c r="L765" s="72">
        <f t="shared" ref="L765:AE765" si="306">-L$678/1000*($J$672*MAX($J$666,0)*$F765*(1-EXP(-$E765*($F$712*L$707+$G$712*L$647+L$648)))+$K$672*MAX($K$666,0)*$H765*(1-EXP(-$G765*($F$712*L$707+$G$712*L$647+L$648))))</f>
        <v>0</v>
      </c>
      <c r="M765" s="72">
        <f t="shared" si="306"/>
        <v>0</v>
      </c>
      <c r="N765" s="72">
        <f t="shared" si="306"/>
        <v>0</v>
      </c>
      <c r="O765" s="72">
        <f t="shared" si="306"/>
        <v>0</v>
      </c>
      <c r="P765" s="72">
        <f t="shared" si="306"/>
        <v>0</v>
      </c>
      <c r="Q765" s="72">
        <f t="shared" si="306"/>
        <v>0</v>
      </c>
      <c r="R765" s="72">
        <f t="shared" si="306"/>
        <v>0</v>
      </c>
      <c r="S765" s="72">
        <f t="shared" si="306"/>
        <v>0</v>
      </c>
      <c r="T765" s="72">
        <f t="shared" si="306"/>
        <v>0</v>
      </c>
      <c r="U765" s="72">
        <f t="shared" si="306"/>
        <v>0</v>
      </c>
      <c r="V765" s="72">
        <f t="shared" si="306"/>
        <v>0</v>
      </c>
      <c r="W765" s="72">
        <f t="shared" si="306"/>
        <v>0</v>
      </c>
      <c r="X765" s="72">
        <f t="shared" si="306"/>
        <v>0</v>
      </c>
      <c r="Y765" s="72">
        <f t="shared" si="306"/>
        <v>0</v>
      </c>
      <c r="Z765" s="72">
        <f t="shared" si="306"/>
        <v>0</v>
      </c>
      <c r="AA765" s="72">
        <f t="shared" si="306"/>
        <v>0</v>
      </c>
      <c r="AB765" s="72">
        <f t="shared" si="306"/>
        <v>0</v>
      </c>
      <c r="AC765" s="72">
        <f t="shared" si="306"/>
        <v>0</v>
      </c>
      <c r="AD765" s="72">
        <f t="shared" si="306"/>
        <v>0</v>
      </c>
      <c r="AE765" s="72">
        <f t="shared" si="306"/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1393</v>
      </c>
      <c r="E766" s="71">
        <f>'Manual inputs'!T$57</f>
        <v>0</v>
      </c>
      <c r="F766" s="78">
        <f>'Manual inputs'!U$57</f>
        <v>0</v>
      </c>
      <c r="G766" s="71">
        <f>'Manual inputs'!V$57</f>
        <v>0</v>
      </c>
      <c r="H766" s="78">
        <f>'Manual inputs'!W$57</f>
        <v>0</v>
      </c>
      <c r="I766" s="70"/>
      <c r="J766" s="70"/>
      <c r="K766" s="70"/>
      <c r="L766" s="72">
        <f t="shared" ref="L766:AE766" si="307">-L$679/1000*($J$672*MAX($J$667,0)*$F766*(1-EXP(-$E766*($F$713*L$707+$G$713*L$647+L$648)))+$K$672*MAX($K$667,0)*$H766*(1-EXP(-$G766*($F$713*L$707+$G$713*L$647+L$648))))</f>
        <v>0</v>
      </c>
      <c r="M766" s="72">
        <f t="shared" si="307"/>
        <v>0</v>
      </c>
      <c r="N766" s="72">
        <f t="shared" si="307"/>
        <v>0</v>
      </c>
      <c r="O766" s="72">
        <f t="shared" si="307"/>
        <v>0</v>
      </c>
      <c r="P766" s="72">
        <f t="shared" si="307"/>
        <v>0</v>
      </c>
      <c r="Q766" s="72">
        <f t="shared" si="307"/>
        <v>0</v>
      </c>
      <c r="R766" s="72">
        <f t="shared" si="307"/>
        <v>0</v>
      </c>
      <c r="S766" s="72">
        <f t="shared" si="307"/>
        <v>0</v>
      </c>
      <c r="T766" s="72">
        <f t="shared" si="307"/>
        <v>0</v>
      </c>
      <c r="U766" s="72">
        <f t="shared" si="307"/>
        <v>0</v>
      </c>
      <c r="V766" s="72">
        <f t="shared" si="307"/>
        <v>0</v>
      </c>
      <c r="W766" s="72">
        <f t="shared" si="307"/>
        <v>0</v>
      </c>
      <c r="X766" s="72">
        <f t="shared" si="307"/>
        <v>0</v>
      </c>
      <c r="Y766" s="72">
        <f t="shared" si="307"/>
        <v>0</v>
      </c>
      <c r="Z766" s="72">
        <f t="shared" si="307"/>
        <v>0</v>
      </c>
      <c r="AA766" s="72">
        <f t="shared" si="307"/>
        <v>0</v>
      </c>
      <c r="AB766" s="72">
        <f t="shared" si="307"/>
        <v>0</v>
      </c>
      <c r="AC766" s="72">
        <f t="shared" si="307"/>
        <v>0</v>
      </c>
      <c r="AD766" s="72">
        <f t="shared" si="307"/>
        <v>0</v>
      </c>
      <c r="AE766" s="72">
        <f t="shared" si="307"/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1373</v>
      </c>
      <c r="E767" s="71">
        <f>'Manual inputs'!T$58</f>
        <v>0</v>
      </c>
      <c r="F767" s="78">
        <f>'Manual inputs'!U$58</f>
        <v>0</v>
      </c>
      <c r="G767" s="71">
        <f>'Manual inputs'!V$58</f>
        <v>0</v>
      </c>
      <c r="H767" s="78">
        <f>'Manual inputs'!W$58</f>
        <v>0</v>
      </c>
      <c r="I767" s="70"/>
      <c r="J767" s="70"/>
      <c r="K767" s="70"/>
      <c r="L767" s="72">
        <f t="shared" ref="L767:AE767" si="308">-L$680/1000*($J$672*MAX($J$668,0)*$F767*(1-EXP(-$E767*($F$714*L$707+$G$714*L$647+L$648)))+$K$672*MAX($K$668,0)*$H767*(1-EXP(-$G767*($F$714*L$707+$G$714*L$647+L$648))))</f>
        <v>0</v>
      </c>
      <c r="M767" s="72">
        <f t="shared" si="308"/>
        <v>0</v>
      </c>
      <c r="N767" s="72">
        <f t="shared" si="308"/>
        <v>0</v>
      </c>
      <c r="O767" s="72">
        <f t="shared" si="308"/>
        <v>0</v>
      </c>
      <c r="P767" s="72">
        <f t="shared" si="308"/>
        <v>0</v>
      </c>
      <c r="Q767" s="72">
        <f t="shared" si="308"/>
        <v>0</v>
      </c>
      <c r="R767" s="72">
        <f t="shared" si="308"/>
        <v>0</v>
      </c>
      <c r="S767" s="72">
        <f t="shared" si="308"/>
        <v>0</v>
      </c>
      <c r="T767" s="72">
        <f t="shared" si="308"/>
        <v>0</v>
      </c>
      <c r="U767" s="72">
        <f t="shared" si="308"/>
        <v>0</v>
      </c>
      <c r="V767" s="72">
        <f t="shared" si="308"/>
        <v>0</v>
      </c>
      <c r="W767" s="72">
        <f t="shared" si="308"/>
        <v>0</v>
      </c>
      <c r="X767" s="72">
        <f t="shared" si="308"/>
        <v>0</v>
      </c>
      <c r="Y767" s="72">
        <f t="shared" si="308"/>
        <v>0</v>
      </c>
      <c r="Z767" s="72">
        <f t="shared" si="308"/>
        <v>0</v>
      </c>
      <c r="AA767" s="72">
        <f t="shared" si="308"/>
        <v>0</v>
      </c>
      <c r="AB767" s="72">
        <f t="shared" si="308"/>
        <v>0</v>
      </c>
      <c r="AC767" s="72">
        <f t="shared" si="308"/>
        <v>0</v>
      </c>
      <c r="AD767" s="72">
        <f t="shared" si="308"/>
        <v>0</v>
      </c>
      <c r="AE767" s="72">
        <f t="shared" si="308"/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1394</v>
      </c>
      <c r="E768" s="71">
        <f>'Manual inputs'!T$59</f>
        <v>0</v>
      </c>
      <c r="F768" s="78">
        <f>'Manual inputs'!U$59</f>
        <v>0</v>
      </c>
      <c r="G768" s="71">
        <f>'Manual inputs'!V$59</f>
        <v>7.8858436436826454E-3</v>
      </c>
      <c r="H768" s="78">
        <f>'Manual inputs'!W$59</f>
        <v>1</v>
      </c>
      <c r="I768" s="70"/>
      <c r="J768" s="70"/>
      <c r="K768" s="70"/>
      <c r="L768" s="72">
        <f t="shared" ref="L768:AE768" si="309">-L$681/1000*($J$672*MAX($J$669,0)*$F768*(1-EXP(-$E768*($F$715*L$707+$G$715*L$647+L$648)))+$K$672*MAX($K$669,0)*$H768*(1-EXP(-$G768*($F$715*L$707+$G$715*L$647+L$648))))</f>
        <v>0</v>
      </c>
      <c r="M768" s="72">
        <f t="shared" si="309"/>
        <v>0</v>
      </c>
      <c r="N768" s="72">
        <f t="shared" si="309"/>
        <v>0</v>
      </c>
      <c r="O768" s="72">
        <f t="shared" si="309"/>
        <v>0</v>
      </c>
      <c r="P768" s="72">
        <f t="shared" si="309"/>
        <v>0</v>
      </c>
      <c r="Q768" s="72">
        <f t="shared" si="309"/>
        <v>0</v>
      </c>
      <c r="R768" s="72">
        <f t="shared" si="309"/>
        <v>0</v>
      </c>
      <c r="S768" s="72">
        <f t="shared" si="309"/>
        <v>0</v>
      </c>
      <c r="T768" s="72">
        <f t="shared" si="309"/>
        <v>0</v>
      </c>
      <c r="U768" s="72">
        <f t="shared" si="309"/>
        <v>0</v>
      </c>
      <c r="V768" s="72">
        <f t="shared" si="309"/>
        <v>0</v>
      </c>
      <c r="W768" s="72">
        <f t="shared" si="309"/>
        <v>0</v>
      </c>
      <c r="X768" s="72">
        <f t="shared" si="309"/>
        <v>0</v>
      </c>
      <c r="Y768" s="72">
        <f t="shared" si="309"/>
        <v>0</v>
      </c>
      <c r="Z768" s="72">
        <f t="shared" si="309"/>
        <v>0</v>
      </c>
      <c r="AA768" s="72">
        <f t="shared" si="309"/>
        <v>0</v>
      </c>
      <c r="AB768" s="72">
        <f t="shared" si="309"/>
        <v>0</v>
      </c>
      <c r="AC768" s="72">
        <f t="shared" si="309"/>
        <v>0</v>
      </c>
      <c r="AD768" s="72">
        <f t="shared" si="309"/>
        <v>0</v>
      </c>
      <c r="AE768" s="72">
        <f t="shared" si="309"/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1383</v>
      </c>
      <c r="E769" s="71">
        <f>'Manual inputs'!T$60</f>
        <v>1.9988245320635362E-3</v>
      </c>
      <c r="F769" s="78">
        <f>'Manual inputs'!U$60</f>
        <v>1</v>
      </c>
      <c r="G769" s="71">
        <f>'Manual inputs'!V$60</f>
        <v>1.9988245320635362E-3</v>
      </c>
      <c r="H769" s="78">
        <f>'Manual inputs'!W$60</f>
        <v>1</v>
      </c>
      <c r="I769" s="72"/>
      <c r="J769" s="72"/>
      <c r="K769" s="72"/>
      <c r="L769" s="72">
        <f t="shared" ref="L769:AE769" si="310">-L$682/1000*($J$672*MAX($J$670,0)*$F769*(1-EXP(-$E769*($F$716*L$707+$G$716*L$647+L$648)))+$K$672*MAX($K$670,0)*$H769*(1-EXP(-$G769*($F$716*L$707+$G$716*L$647+L$648))))</f>
        <v>0</v>
      </c>
      <c r="M769" s="72">
        <f t="shared" si="310"/>
        <v>0</v>
      </c>
      <c r="N769" s="72">
        <f t="shared" si="310"/>
        <v>0</v>
      </c>
      <c r="O769" s="72">
        <f t="shared" si="310"/>
        <v>0</v>
      </c>
      <c r="P769" s="72">
        <f t="shared" si="310"/>
        <v>0</v>
      </c>
      <c r="Q769" s="72">
        <f t="shared" si="310"/>
        <v>0</v>
      </c>
      <c r="R769" s="72">
        <f t="shared" si="310"/>
        <v>0</v>
      </c>
      <c r="S769" s="72">
        <f t="shared" si="310"/>
        <v>0</v>
      </c>
      <c r="T769" s="72">
        <f t="shared" si="310"/>
        <v>0</v>
      </c>
      <c r="U769" s="72">
        <f t="shared" si="310"/>
        <v>0</v>
      </c>
      <c r="V769" s="72">
        <f t="shared" si="310"/>
        <v>0</v>
      </c>
      <c r="W769" s="72">
        <f t="shared" si="310"/>
        <v>0</v>
      </c>
      <c r="X769" s="72">
        <f t="shared" si="310"/>
        <v>0</v>
      </c>
      <c r="Y769" s="72">
        <f t="shared" si="310"/>
        <v>0</v>
      </c>
      <c r="Z769" s="72">
        <f t="shared" si="310"/>
        <v>0</v>
      </c>
      <c r="AA769" s="72">
        <f t="shared" si="310"/>
        <v>0</v>
      </c>
      <c r="AB769" s="72">
        <f t="shared" si="310"/>
        <v>0</v>
      </c>
      <c r="AC769" s="72">
        <f t="shared" si="310"/>
        <v>0</v>
      </c>
      <c r="AD769" s="72">
        <f t="shared" si="310"/>
        <v>0</v>
      </c>
      <c r="AE769" s="72">
        <f t="shared" si="310"/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1475</v>
      </c>
      <c r="H770" s="87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311">SUM(L762:L769)</f>
        <v>0</v>
      </c>
      <c r="M770" s="72">
        <f t="shared" si="311"/>
        <v>0</v>
      </c>
      <c r="N770" s="72">
        <f t="shared" si="311"/>
        <v>0</v>
      </c>
      <c r="O770" s="72">
        <f t="shared" si="311"/>
        <v>0</v>
      </c>
      <c r="P770" s="72">
        <f t="shared" si="311"/>
        <v>0</v>
      </c>
      <c r="Q770" s="72">
        <f t="shared" si="311"/>
        <v>0</v>
      </c>
      <c r="R770" s="72">
        <f t="shared" si="311"/>
        <v>0</v>
      </c>
      <c r="S770" s="72">
        <f t="shared" si="311"/>
        <v>0</v>
      </c>
      <c r="T770" s="72">
        <f t="shared" si="311"/>
        <v>0</v>
      </c>
      <c r="U770" s="72">
        <f t="shared" si="311"/>
        <v>0</v>
      </c>
      <c r="V770" s="72">
        <f t="shared" si="311"/>
        <v>0</v>
      </c>
      <c r="W770" s="72">
        <f t="shared" si="311"/>
        <v>0</v>
      </c>
      <c r="X770" s="72">
        <f t="shared" si="311"/>
        <v>0</v>
      </c>
      <c r="Y770" s="72">
        <f t="shared" si="311"/>
        <v>0</v>
      </c>
      <c r="Z770" s="72">
        <f t="shared" si="311"/>
        <v>0</v>
      </c>
      <c r="AA770" s="72">
        <f t="shared" si="311"/>
        <v>0</v>
      </c>
      <c r="AB770" s="72">
        <f t="shared" si="311"/>
        <v>0</v>
      </c>
      <c r="AC770" s="72">
        <f t="shared" si="311"/>
        <v>0</v>
      </c>
      <c r="AD770" s="72">
        <f t="shared" si="311"/>
        <v>0</v>
      </c>
      <c r="AE770" s="72">
        <f t="shared" si="311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2" t="s">
        <v>2015</v>
      </c>
      <c r="E771" s="72" t="s">
        <v>79</v>
      </c>
      <c r="F771" s="72"/>
      <c r="G771" s="70" t="s">
        <v>1475</v>
      </c>
      <c r="H771" s="87" t="str">
        <f>Settings!$B$3&amp;".mit.cbobchu."&amp;$G771&amp;"."&amp;$J$404</f>
        <v>egy.mit.cbobchu.cbam.tot.2</v>
      </c>
      <c r="I771" s="72"/>
      <c r="J771" s="72"/>
      <c r="K771" s="72"/>
      <c r="L771" s="101">
        <f>IF(SUMPRODUCT($I$675:$I$682*'Manual inputs'!L$81*'Manual inputs'!L$79*($F$729:$F$736+$G$729:$G$736))=0,0,SUMPRODUCT($I$675:$I$682*((('Manual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SUMPRODUCT($I$675:$I$682*'Manual inputs'!L$81*'Manual inputs'!L$79*($F$729:$F$736+$G$729:$G$736))-1)</f>
        <v>0</v>
      </c>
      <c r="M771" s="101">
        <f>IF(SUMPRODUCT($I$675:$I$682*'Manual inputs'!M$81*'Manual inputs'!M$79*($F$729:$F$736+$G$729:$G$736))=0,0,SUMPRODUCT($I$675:$I$682*((('Manual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SUMPRODUCT($I$675:$I$682*'Manual inputs'!M$81*'Manual inputs'!M$79*($F$729:$F$736+$G$729:$G$736))-1)</f>
        <v>0</v>
      </c>
      <c r="N771" s="101">
        <f>IF(SUMPRODUCT($I$675:$I$682*'Manual inputs'!N$81*'Manual inputs'!N$79*($F$729:$F$736+$G$729:$G$736))=0,0,SUMPRODUCT($I$675:$I$682*((('Manual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SUMPRODUCT($I$675:$I$682*'Manual inputs'!N$81*'Manual inputs'!N$79*($F$729:$F$736+$G$729:$G$736))-1)</f>
        <v>0</v>
      </c>
      <c r="O771" s="101">
        <f>IF(SUMPRODUCT($I$675:$I$682*'Manual inputs'!O$81*'Manual inputs'!O$79*($F$729:$F$736+$G$729:$G$736))=0,0,SUMPRODUCT($I$675:$I$682*((('Manual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SUMPRODUCT($I$675:$I$682*'Manual inputs'!O$81*'Manual inputs'!O$79*($F$729:$F$736+$G$729:$G$736))-1)</f>
        <v>0</v>
      </c>
      <c r="P771" s="101">
        <f>IF(SUMPRODUCT($I$675:$I$682*'Manual inputs'!P$81*'Manual inputs'!P$79*($F$729:$F$736+$G$729:$G$736))=0,0,SUMPRODUCT($I$675:$I$682*((('Manual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SUMPRODUCT($I$675:$I$682*'Manual inputs'!P$81*'Manual inputs'!P$79*($F$729:$F$736+$G$729:$G$736))-1)</f>
        <v>-2.2204460492503131E-16</v>
      </c>
      <c r="Q771" s="101">
        <f>IF(SUMPRODUCT($I$675:$I$682*'Manual inputs'!Q$81*'Manual inputs'!Q$79*($F$729:$F$736+$G$729:$G$736))=0,0,SUMPRODUCT($I$675:$I$682*((('Manual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SUMPRODUCT($I$675:$I$682*'Manual inputs'!Q$81*'Manual inputs'!Q$79*($F$729:$F$736+$G$729:$G$736))-1)</f>
        <v>-0.75386771619452342</v>
      </c>
      <c r="R771" s="101">
        <f>IF(SUMPRODUCT($I$675:$I$682*'Manual inputs'!R$81*'Manual inputs'!R$79*($F$729:$F$736+$G$729:$G$736))=0,0,SUMPRODUCT($I$675:$I$682*((('Manual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SUMPRODUCT($I$675:$I$682*'Manual inputs'!R$81*'Manual inputs'!R$79*($F$729:$F$736+$G$729:$G$736))-1)</f>
        <v>-0.75386771619452331</v>
      </c>
      <c r="S771" s="101">
        <f>IF(SUMPRODUCT($I$675:$I$682*'Manual inputs'!S$81*'Manual inputs'!S$79*($F$729:$F$736+$G$729:$G$736))=0,0,SUMPRODUCT($I$675:$I$682*((('Manual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SUMPRODUCT($I$675:$I$682*'Manual inputs'!S$81*'Manual inputs'!S$79*($F$729:$F$736+$G$729:$G$736))-1)</f>
        <v>-0.63408719017979909</v>
      </c>
      <c r="T771" s="101">
        <f>IF(SUMPRODUCT($I$675:$I$682*'Manual inputs'!T$81*'Manual inputs'!T$79*($F$729:$F$736+$G$729:$G$736))=0,0,SUMPRODUCT($I$675:$I$682*((('Manual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SUMPRODUCT($I$675:$I$682*'Manual inputs'!T$81*'Manual inputs'!T$79*($F$729:$F$736+$G$729:$G$736))-1)</f>
        <v>-0.53410854810573127</v>
      </c>
      <c r="U771" s="101">
        <f>IF(SUMPRODUCT($I$675:$I$682*'Manual inputs'!U$81*'Manual inputs'!U$79*($F$729:$F$736+$G$729:$G$736))=0,0,SUMPRODUCT($I$675:$I$682*((('Manual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SUMPRODUCT($I$675:$I$682*'Manual inputs'!U$81*'Manual inputs'!U$79*($F$729:$F$736+$G$729:$G$736))-1)</f>
        <v>-0.53211410779092594</v>
      </c>
      <c r="V771" s="101">
        <f>IF(SUMPRODUCT($I$675:$I$682*'Manual inputs'!V$81*'Manual inputs'!V$79*($F$729:$F$736+$G$729:$G$736))=0,0,SUMPRODUCT($I$675:$I$682*((('Manual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SUMPRODUCT($I$675:$I$682*'Manual inputs'!V$81*'Manual inputs'!V$79*($F$729:$F$736+$G$729:$G$736))-1)</f>
        <v>-0.53079804853557833</v>
      </c>
      <c r="W771" s="101">
        <f>IF(SUMPRODUCT($I$675:$I$682*'Manual inputs'!W$81*'Manual inputs'!W$79*($F$729:$F$736+$G$729:$G$736))=0,0,SUMPRODUCT($I$675:$I$682*((('Manual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SUMPRODUCT($I$675:$I$682*'Manual inputs'!W$81*'Manual inputs'!W$79*($F$729:$F$736+$G$729:$G$736))-1)</f>
        <v>-0.5298645646451573</v>
      </c>
      <c r="X771" s="101">
        <f>IF(SUMPRODUCT($I$675:$I$682*'Manual inputs'!X$81*'Manual inputs'!X$79*($F$729:$F$736+$G$729:$G$736))=0,0,SUMPRODUCT($I$675:$I$682*((('Manual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SUMPRODUCT($I$675:$I$682*'Manual inputs'!X$81*'Manual inputs'!X$79*($F$729:$F$736+$G$729:$G$736))-1)</f>
        <v>-0.52437567936948148</v>
      </c>
      <c r="Y771" s="101">
        <f>IF(SUMPRODUCT($I$675:$I$682*'Manual inputs'!Y$81*'Manual inputs'!Y$79*($F$729:$F$736+$G$729:$G$736))=0,0,SUMPRODUCT($I$675:$I$682*((('Manual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SUMPRODUCT($I$675:$I$682*'Manual inputs'!Y$81*'Manual inputs'!Y$79*($F$729:$F$736+$G$729:$G$736))-1)</f>
        <v>-0.55393861451477044</v>
      </c>
      <c r="Z771" s="101">
        <f>IF(SUMPRODUCT($I$675:$I$682*'Manual inputs'!Z$81*'Manual inputs'!Z$79*($F$729:$F$736+$G$729:$G$736))=0,0,SUMPRODUCT($I$675:$I$682*((('Manual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SUMPRODUCT($I$675:$I$682*'Manual inputs'!Z$81*'Manual inputs'!Z$79*($F$729:$F$736+$G$729:$G$736))-1)</f>
        <v>-0.57243443966823881</v>
      </c>
      <c r="AA771" s="101">
        <f>IF(SUMPRODUCT($I$675:$I$682*'Manual inputs'!AA$81*'Manual inputs'!AA$79*($F$729:$F$736+$G$729:$G$736))=0,0,SUMPRODUCT($I$675:$I$682*((('Manual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SUMPRODUCT($I$675:$I$682*'Manual inputs'!AA$81*'Manual inputs'!AA$79*($F$729:$F$736+$G$729:$G$736))-1)</f>
        <v>-0.59093026482170674</v>
      </c>
      <c r="AB771" s="101">
        <f>IF(SUMPRODUCT($I$675:$I$682*'Manual inputs'!AB$81*'Manual inputs'!AB$79*($F$729:$F$736+$G$729:$G$736))=0,0,SUMPRODUCT($I$675:$I$682*((('Manual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SUMPRODUCT($I$675:$I$682*'Manual inputs'!AB$81*'Manual inputs'!AB$79*($F$729:$F$736+$G$729:$G$736))-1)</f>
        <v>-0.60942608997517489</v>
      </c>
      <c r="AC771" s="101">
        <f>IF(SUMPRODUCT($I$675:$I$682*'Manual inputs'!AC$81*'Manual inputs'!AC$79*($F$729:$F$736+$G$729:$G$736))=0,0,SUMPRODUCT($I$675:$I$682*((('Manual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SUMPRODUCT($I$675:$I$682*'Manual inputs'!AC$81*'Manual inputs'!AC$79*($F$729:$F$736+$G$729:$G$736))-1)</f>
        <v>-0.62792191512864304</v>
      </c>
      <c r="AD771" s="101">
        <f>IF(SUMPRODUCT($I$675:$I$682*'Manual inputs'!AD$81*'Manual inputs'!AD$79*($F$729:$F$736+$G$729:$G$736))=0,0,SUMPRODUCT($I$675:$I$682*((('Manual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SUMPRODUCT($I$675:$I$682*'Manual inputs'!AD$81*'Manual inputs'!AD$79*($F$729:$F$736+$G$729:$G$736))-1)</f>
        <v>-0.64641774028211119</v>
      </c>
      <c r="AE771" s="101">
        <f>IF(SUMPRODUCT($I$675:$I$682*'Manual inputs'!AE$81*'Manual inputs'!AE$79*($F$729:$F$736+$G$729:$G$736))=0,0,SUMPRODUCT($I$675:$I$682*((('Manual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SUMPRODUCT($I$675:$I$682*'Manual inputs'!AE$81*'Manual inputs'!AE$79*($F$729:$F$736+$G$729:$G$736))-1)</f>
        <v>-0.66491356543557933</v>
      </c>
      <c r="AF771" s="70"/>
      <c r="AG771" s="70"/>
      <c r="AH771" s="70"/>
      <c r="AI771" s="70"/>
    </row>
    <row r="772" spans="1:35" x14ac:dyDescent="0.45">
      <c r="A772" s="70"/>
      <c r="B772" s="52"/>
      <c r="C772" s="73" t="s">
        <v>1476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1477</v>
      </c>
      <c r="H773" s="87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312">SUM(L733:L735)+SUM(L755:L757)</f>
        <v>3.7399856771381845</v>
      </c>
      <c r="M773" s="72">
        <f t="shared" si="312"/>
        <v>3.8222653620352247</v>
      </c>
      <c r="N773" s="72">
        <f t="shared" si="312"/>
        <v>3.9063551999999997</v>
      </c>
      <c r="O773" s="72">
        <f t="shared" si="312"/>
        <v>3.9922950143999998</v>
      </c>
      <c r="P773" s="72">
        <f t="shared" si="312"/>
        <v>4.0801255047168006</v>
      </c>
      <c r="Q773" s="72">
        <f t="shared" si="312"/>
        <v>4.1698882658205694</v>
      </c>
      <c r="R773" s="72">
        <f t="shared" si="312"/>
        <v>4.2616258076686222</v>
      </c>
      <c r="S773" s="72">
        <f t="shared" si="312"/>
        <v>4.3553815754373311</v>
      </c>
      <c r="T773" s="72">
        <f t="shared" si="312"/>
        <v>4.4511999700969529</v>
      </c>
      <c r="U773" s="72">
        <f t="shared" si="312"/>
        <v>4.5491263694390858</v>
      </c>
      <c r="V773" s="72">
        <f t="shared" si="312"/>
        <v>4.6492071495667471</v>
      </c>
      <c r="W773" s="72">
        <f t="shared" si="312"/>
        <v>4.7514897068572139</v>
      </c>
      <c r="X773" s="72">
        <f t="shared" si="312"/>
        <v>4.8560224804080736</v>
      </c>
      <c r="Y773" s="72">
        <f t="shared" si="312"/>
        <v>4.9628549749770512</v>
      </c>
      <c r="Z773" s="72">
        <f t="shared" si="312"/>
        <v>5.0720377844265467</v>
      </c>
      <c r="AA773" s="72">
        <f t="shared" si="312"/>
        <v>5.1836226156839302</v>
      </c>
      <c r="AB773" s="72">
        <f t="shared" si="312"/>
        <v>5.297662313228976</v>
      </c>
      <c r="AC773" s="72">
        <f t="shared" si="312"/>
        <v>5.4142108841200143</v>
      </c>
      <c r="AD773" s="72">
        <f t="shared" si="312"/>
        <v>5.5333235235706555</v>
      </c>
      <c r="AE773" s="72">
        <f t="shared" si="312"/>
        <v>5.6550566410892094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1478</v>
      </c>
      <c r="H774" s="87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313">SUM(L729:L731)+SUM(L751:L753)</f>
        <v>2.8694133664728936</v>
      </c>
      <c r="M774" s="72">
        <f t="shared" si="313"/>
        <v>2.9956675545977007</v>
      </c>
      <c r="N774" s="72">
        <f t="shared" si="313"/>
        <v>3.1274769269999996</v>
      </c>
      <c r="O774" s="72">
        <f t="shared" si="313"/>
        <v>3.2650859117880002</v>
      </c>
      <c r="P774" s="72">
        <f t="shared" si="313"/>
        <v>3.4087496919066722</v>
      </c>
      <c r="Q774" s="72">
        <f t="shared" si="313"/>
        <v>3.5587346783505662</v>
      </c>
      <c r="R774" s="72">
        <f t="shared" si="313"/>
        <v>3.7153190041979904</v>
      </c>
      <c r="S774" s="72">
        <f t="shared" si="313"/>
        <v>3.8787930403827025</v>
      </c>
      <c r="T774" s="72">
        <f t="shared" si="313"/>
        <v>4.0494599341595423</v>
      </c>
      <c r="U774" s="72">
        <f t="shared" si="313"/>
        <v>4.2276361712625619</v>
      </c>
      <c r="V774" s="72">
        <f t="shared" si="313"/>
        <v>4.4136521627981145</v>
      </c>
      <c r="W774" s="72">
        <f t="shared" si="313"/>
        <v>4.6078528579612303</v>
      </c>
      <c r="X774" s="72">
        <f t="shared" si="313"/>
        <v>4.8105983837115254</v>
      </c>
      <c r="Y774" s="72">
        <f t="shared" si="313"/>
        <v>5.0222647125948336</v>
      </c>
      <c r="Z774" s="72">
        <f t="shared" si="313"/>
        <v>5.2432443599490046</v>
      </c>
      <c r="AA774" s="72">
        <f t="shared" si="313"/>
        <v>5.4739471117867611</v>
      </c>
      <c r="AB774" s="72">
        <f t="shared" si="313"/>
        <v>5.714800784705381</v>
      </c>
      <c r="AC774" s="72">
        <f t="shared" si="313"/>
        <v>5.9662520192324164</v>
      </c>
      <c r="AD774" s="72">
        <f t="shared" si="313"/>
        <v>6.2287671080786424</v>
      </c>
      <c r="AE774" s="72">
        <f t="shared" si="313"/>
        <v>6.5028328608341015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1479</v>
      </c>
      <c r="H775" s="87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314">L736+L758</f>
        <v>3.3266099144224071E-2</v>
      </c>
      <c r="M775" s="72">
        <f t="shared" si="314"/>
        <v>3.5095734597156404E-2</v>
      </c>
      <c r="N775" s="72">
        <f t="shared" si="314"/>
        <v>3.7026000000000003E-2</v>
      </c>
      <c r="O775" s="72">
        <f t="shared" si="314"/>
        <v>3.9062430000000002E-2</v>
      </c>
      <c r="P775" s="72">
        <f t="shared" si="314"/>
        <v>4.1210863649999999E-2</v>
      </c>
      <c r="Q775" s="72">
        <f t="shared" si="314"/>
        <v>4.3477461150749991E-2</v>
      </c>
      <c r="R775" s="72">
        <f t="shared" si="314"/>
        <v>4.5868721514041248E-2</v>
      </c>
      <c r="S775" s="72">
        <f t="shared" si="314"/>
        <v>4.8391501197313509E-2</v>
      </c>
      <c r="T775" s="72">
        <f t="shared" si="314"/>
        <v>5.105303376316575E-2</v>
      </c>
      <c r="U775" s="72">
        <f t="shared" si="314"/>
        <v>5.3860950620139861E-2</v>
      </c>
      <c r="V775" s="72">
        <f t="shared" si="314"/>
        <v>5.6823302904247558E-2</v>
      </c>
      <c r="W775" s="72">
        <f t="shared" si="314"/>
        <v>5.9948584563981173E-2</v>
      </c>
      <c r="X775" s="72">
        <f t="shared" si="314"/>
        <v>6.3245756715000129E-2</v>
      </c>
      <c r="Y775" s="72">
        <f t="shared" si="314"/>
        <v>6.6724273334325138E-2</v>
      </c>
      <c r="Z775" s="72">
        <f t="shared" si="314"/>
        <v>7.039410836771301E-2</v>
      </c>
      <c r="AA775" s="72">
        <f t="shared" si="314"/>
        <v>7.426578432793722E-2</v>
      </c>
      <c r="AB775" s="72">
        <f t="shared" si="314"/>
        <v>7.8350402465973787E-2</v>
      </c>
      <c r="AC775" s="72">
        <f t="shared" si="314"/>
        <v>8.2659674601602312E-2</v>
      </c>
      <c r="AD775" s="72">
        <f t="shared" si="314"/>
        <v>8.7205956704690446E-2</v>
      </c>
      <c r="AE775" s="72">
        <f t="shared" si="314"/>
        <v>9.2002284323448424E-2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1480</v>
      </c>
      <c r="H776" s="87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1481</v>
      </c>
      <c r="H777" s="87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315">L732+L754</f>
        <v>14.692706044200628</v>
      </c>
      <c r="M777" s="72">
        <f t="shared" si="315"/>
        <v>15.177565343659246</v>
      </c>
      <c r="N777" s="72">
        <f t="shared" si="315"/>
        <v>15.678424999999999</v>
      </c>
      <c r="O777" s="72">
        <f t="shared" si="315"/>
        <v>16.195813024999996</v>
      </c>
      <c r="P777" s="72">
        <f t="shared" si="315"/>
        <v>16.730274854824994</v>
      </c>
      <c r="Q777" s="72">
        <f t="shared" si="315"/>
        <v>17.282373925034218</v>
      </c>
      <c r="R777" s="72">
        <f t="shared" si="315"/>
        <v>17.852692264560343</v>
      </c>
      <c r="S777" s="72">
        <f t="shared" si="315"/>
        <v>18.441831109290838</v>
      </c>
      <c r="T777" s="72">
        <f t="shared" si="315"/>
        <v>19.050411535897432</v>
      </c>
      <c r="U777" s="72">
        <f t="shared" si="315"/>
        <v>19.679075116582045</v>
      </c>
      <c r="V777" s="72">
        <f t="shared" si="315"/>
        <v>20.328484595429249</v>
      </c>
      <c r="W777" s="72">
        <f t="shared" si="315"/>
        <v>20.999324587078412</v>
      </c>
      <c r="X777" s="72">
        <f t="shared" si="315"/>
        <v>21.692302298451992</v>
      </c>
      <c r="Y777" s="72">
        <f t="shared" si="315"/>
        <v>22.40814827430091</v>
      </c>
      <c r="Z777" s="72">
        <f t="shared" si="315"/>
        <v>23.147617167352838</v>
      </c>
      <c r="AA777" s="72">
        <f t="shared" si="315"/>
        <v>23.911488533875481</v>
      </c>
      <c r="AB777" s="72">
        <f t="shared" si="315"/>
        <v>24.700567655493362</v>
      </c>
      <c r="AC777" s="72">
        <f t="shared" si="315"/>
        <v>25.515686388124642</v>
      </c>
      <c r="AD777" s="72">
        <f t="shared" si="315"/>
        <v>26.357704038932756</v>
      </c>
      <c r="AE777" s="72">
        <f t="shared" si="315"/>
        <v>27.227508272217527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1475</v>
      </c>
      <c r="H778" s="87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316">SUM(L773:L777)</f>
        <v>21.335371186955932</v>
      </c>
      <c r="M778" s="72">
        <f t="shared" si="316"/>
        <v>22.03059399488933</v>
      </c>
      <c r="N778" s="72">
        <f t="shared" si="316"/>
        <v>22.749283126999998</v>
      </c>
      <c r="O778" s="72">
        <f t="shared" si="316"/>
        <v>23.492256381187996</v>
      </c>
      <c r="P778" s="72">
        <f t="shared" si="316"/>
        <v>24.260360915098467</v>
      </c>
      <c r="Q778" s="72">
        <f t="shared" si="316"/>
        <v>25.054474330356104</v>
      </c>
      <c r="R778" s="72">
        <f t="shared" si="316"/>
        <v>25.875505797940995</v>
      </c>
      <c r="S778" s="72">
        <f t="shared" si="316"/>
        <v>26.724397226308184</v>
      </c>
      <c r="T778" s="72">
        <f t="shared" si="316"/>
        <v>27.602124473917094</v>
      </c>
      <c r="U778" s="72">
        <f t="shared" si="316"/>
        <v>28.509698607903829</v>
      </c>
      <c r="V778" s="72">
        <f t="shared" si="316"/>
        <v>29.448167210698358</v>
      </c>
      <c r="W778" s="72">
        <f t="shared" si="316"/>
        <v>30.418615736460836</v>
      </c>
      <c r="X778" s="72">
        <f t="shared" si="316"/>
        <v>31.422168919286591</v>
      </c>
      <c r="Y778" s="72">
        <f t="shared" si="316"/>
        <v>32.459992235207118</v>
      </c>
      <c r="Z778" s="72">
        <f t="shared" si="316"/>
        <v>33.533293420096101</v>
      </c>
      <c r="AA778" s="72">
        <f t="shared" si="316"/>
        <v>34.643324045674106</v>
      </c>
      <c r="AB778" s="72">
        <f t="shared" si="316"/>
        <v>35.791381155893696</v>
      </c>
      <c r="AC778" s="72">
        <f t="shared" si="316"/>
        <v>36.978808966078674</v>
      </c>
      <c r="AD778" s="72">
        <f t="shared" si="316"/>
        <v>38.207000627286746</v>
      </c>
      <c r="AE778" s="72">
        <f t="shared" si="316"/>
        <v>39.477400058464283</v>
      </c>
      <c r="AF778" s="70"/>
      <c r="AG778" s="70"/>
      <c r="AH778" s="70"/>
      <c r="AI778" s="70"/>
    </row>
    <row r="779" spans="1:35" x14ac:dyDescent="0.45">
      <c r="A779" s="70"/>
      <c r="B779" s="52"/>
      <c r="C779" s="52"/>
      <c r="D779" s="72" t="s">
        <v>1851</v>
      </c>
      <c r="E779" s="72" t="s">
        <v>1852</v>
      </c>
      <c r="F779" s="72"/>
      <c r="G779" s="70" t="s">
        <v>1475</v>
      </c>
      <c r="H779" s="87" t="str">
        <f>Settings!$B$3&amp;".mit.emis."&amp;$G779&amp;"."&amp;$J$404</f>
        <v>egy.mit.emis.cbam.tot.2</v>
      </c>
      <c r="I779" s="72"/>
      <c r="J779" s="72"/>
      <c r="K779" s="72"/>
      <c r="L779" s="72">
        <f t="shared" ref="L779:AE779" si="317">L$778+L$789</f>
        <v>48.086991333544489</v>
      </c>
      <c r="M779" s="72">
        <f t="shared" si="317"/>
        <v>49.677032012339083</v>
      </c>
      <c r="N779" s="72">
        <f t="shared" si="317"/>
        <v>51.320891261</v>
      </c>
      <c r="O779" s="72">
        <f t="shared" si="317"/>
        <v>53.020436367115991</v>
      </c>
      <c r="P779" s="72">
        <f t="shared" si="317"/>
        <v>54.77760125723205</v>
      </c>
      <c r="Q779" s="72">
        <f t="shared" si="317"/>
        <v>56.594388955214242</v>
      </c>
      <c r="R779" s="72">
        <f t="shared" si="317"/>
        <v>58.472874134897971</v>
      </c>
      <c r="S779" s="72">
        <f t="shared" si="317"/>
        <v>60.415205770798046</v>
      </c>
      <c r="T779" s="72">
        <f t="shared" si="317"/>
        <v>62.423609890817644</v>
      </c>
      <c r="U779" s="72">
        <f t="shared" si="317"/>
        <v>64.500392435059069</v>
      </c>
      <c r="V779" s="72">
        <f t="shared" si="317"/>
        <v>66.647942225012031</v>
      </c>
      <c r="W779" s="72">
        <f t="shared" si="317"/>
        <v>68.868734047575941</v>
      </c>
      <c r="X779" s="72">
        <f t="shared" si="317"/>
        <v>71.165331858561302</v>
      </c>
      <c r="Y779" s="72">
        <f t="shared" si="317"/>
        <v>73.540392110512528</v>
      </c>
      <c r="Z779" s="72">
        <f t="shared" si="317"/>
        <v>75.996667209899613</v>
      </c>
      <c r="AA779" s="72">
        <f t="shared" si="317"/>
        <v>78.537009108942158</v>
      </c>
      <c r="AB779" s="72">
        <f t="shared" si="317"/>
        <v>81.164373037552508</v>
      </c>
      <c r="AC779" s="72">
        <f t="shared" si="317"/>
        <v>83.881821381120091</v>
      </c>
      <c r="AD779" s="72">
        <f t="shared" si="317"/>
        <v>86.692527710104301</v>
      </c>
      <c r="AE779" s="72">
        <f t="shared" si="317"/>
        <v>89.599780967658063</v>
      </c>
      <c r="AF779" s="70"/>
      <c r="AG779" s="70"/>
      <c r="AH779" s="70"/>
      <c r="AI779" s="70"/>
    </row>
    <row r="780" spans="1:35" x14ac:dyDescent="0.45">
      <c r="A780" s="70"/>
      <c r="B780" s="52"/>
      <c r="C780" s="52"/>
      <c r="D780" s="72" t="s">
        <v>1853</v>
      </c>
      <c r="E780" s="72" t="s">
        <v>1852</v>
      </c>
      <c r="F780" s="72"/>
      <c r="G780" s="70" t="s">
        <v>1475</v>
      </c>
      <c r="H780" s="87" t="str">
        <f>Settings!$B$3&amp;".mit.emr."&amp;$G780&amp;"."&amp;$J$404</f>
        <v>egy.mit.emr.cbam.tot.2</v>
      </c>
      <c r="I780" s="72"/>
      <c r="J780" s="72"/>
      <c r="K780" s="72"/>
      <c r="L780" s="72">
        <f t="shared" ref="L780:AE780" si="318">L$759+L$770</f>
        <v>0</v>
      </c>
      <c r="M780" s="72">
        <f t="shared" si="318"/>
        <v>0</v>
      </c>
      <c r="N780" s="72">
        <f t="shared" si="318"/>
        <v>0</v>
      </c>
      <c r="O780" s="72">
        <f t="shared" si="318"/>
        <v>0</v>
      </c>
      <c r="P780" s="72">
        <f t="shared" si="318"/>
        <v>0</v>
      </c>
      <c r="Q780" s="72">
        <f t="shared" si="318"/>
        <v>0</v>
      </c>
      <c r="R780" s="72">
        <f t="shared" si="318"/>
        <v>0</v>
      </c>
      <c r="S780" s="72">
        <f t="shared" si="318"/>
        <v>0</v>
      </c>
      <c r="T780" s="72">
        <f t="shared" si="318"/>
        <v>0</v>
      </c>
      <c r="U780" s="72">
        <f t="shared" si="318"/>
        <v>0</v>
      </c>
      <c r="V780" s="72">
        <f t="shared" si="318"/>
        <v>0</v>
      </c>
      <c r="W780" s="72">
        <f t="shared" si="318"/>
        <v>0</v>
      </c>
      <c r="X780" s="72">
        <f t="shared" si="318"/>
        <v>0</v>
      </c>
      <c r="Y780" s="72">
        <f t="shared" si="318"/>
        <v>0</v>
      </c>
      <c r="Z780" s="72">
        <f t="shared" si="318"/>
        <v>0</v>
      </c>
      <c r="AA780" s="72">
        <f t="shared" si="318"/>
        <v>0</v>
      </c>
      <c r="AB780" s="72">
        <f t="shared" si="318"/>
        <v>0</v>
      </c>
      <c r="AC780" s="72">
        <f t="shared" si="318"/>
        <v>0</v>
      </c>
      <c r="AD780" s="72">
        <f t="shared" si="318"/>
        <v>0</v>
      </c>
      <c r="AE780" s="72">
        <f t="shared" si="318"/>
        <v>0</v>
      </c>
      <c r="AF780" s="70"/>
      <c r="AG780" s="70"/>
      <c r="AH780" s="70"/>
      <c r="AI780" s="70"/>
    </row>
    <row r="781" spans="1:35" x14ac:dyDescent="0.45">
      <c r="A781" s="70"/>
      <c r="B781" s="52"/>
      <c r="C781" s="52"/>
      <c r="D781" s="72" t="s">
        <v>1883</v>
      </c>
      <c r="E781" s="72" t="s">
        <v>1854</v>
      </c>
      <c r="F781" s="72"/>
      <c r="G781" s="70" t="s">
        <v>1475</v>
      </c>
      <c r="H781" s="87" t="str">
        <f>Settings!$B$3&amp;".mit.revf."&amp;$G781&amp;"."&amp;$J$404</f>
        <v>egy.mit.revf.cbam.tot.2</v>
      </c>
      <c r="I781" s="72"/>
      <c r="J781" s="72"/>
      <c r="K781" s="72"/>
      <c r="L781" s="72">
        <f t="shared" ref="L781:AE781" si="319">SUMPRODUCT((L$729:L$736+L$751:L$758)*$I$729:$I$736*($F$698:$F$705*L$646+$G$698:$G$705*L$647))</f>
        <v>0</v>
      </c>
      <c r="M781" s="72">
        <f t="shared" si="319"/>
        <v>0</v>
      </c>
      <c r="N781" s="72">
        <f t="shared" si="319"/>
        <v>0</v>
      </c>
      <c r="O781" s="72">
        <f t="shared" si="319"/>
        <v>0</v>
      </c>
      <c r="P781" s="72">
        <f t="shared" si="319"/>
        <v>0</v>
      </c>
      <c r="Q781" s="72">
        <f t="shared" si="319"/>
        <v>313.18092912945133</v>
      </c>
      <c r="R781" s="72">
        <f t="shared" si="319"/>
        <v>646.88764494852489</v>
      </c>
      <c r="S781" s="72">
        <f t="shared" si="319"/>
        <v>1002.1648959865571</v>
      </c>
      <c r="T781" s="72">
        <f t="shared" si="319"/>
        <v>1380.1062236958546</v>
      </c>
      <c r="U781" s="72">
        <f t="shared" si="319"/>
        <v>1781.8561629939895</v>
      </c>
      <c r="V781" s="72">
        <f t="shared" si="319"/>
        <v>2208.6125408023772</v>
      </c>
      <c r="W781" s="72">
        <f t="shared" si="319"/>
        <v>2661.6288769403232</v>
      </c>
      <c r="X781" s="72">
        <f t="shared" si="319"/>
        <v>3142.2168919286596</v>
      </c>
      <c r="Y781" s="72">
        <f t="shared" si="319"/>
        <v>3651.7491264608011</v>
      </c>
      <c r="Z781" s="72">
        <f t="shared" si="319"/>
        <v>4191.6616775120128</v>
      </c>
      <c r="AA781" s="72">
        <f t="shared" si="319"/>
        <v>4763.45705628019</v>
      </c>
      <c r="AB781" s="72">
        <f t="shared" si="319"/>
        <v>5368.7071733840539</v>
      </c>
      <c r="AC781" s="72">
        <f t="shared" si="319"/>
        <v>6009.0564569877843</v>
      </c>
      <c r="AD781" s="72">
        <f t="shared" si="319"/>
        <v>6686.2251097751796</v>
      </c>
      <c r="AE781" s="72">
        <f t="shared" si="319"/>
        <v>7402.012510962054</v>
      </c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2" t="s">
        <v>1902</v>
      </c>
      <c r="E782" s="72" t="s">
        <v>1854</v>
      </c>
      <c r="F782" s="72"/>
      <c r="G782" s="70" t="s">
        <v>1475</v>
      </c>
      <c r="H782" s="87" t="str">
        <f>Settings!$B$3&amp;".mit.revp."&amp;$G782&amp;"."&amp;$J$404</f>
        <v>egy.mit.revp.cbam.tot.2</v>
      </c>
      <c r="I782" s="72"/>
      <c r="J782" s="72"/>
      <c r="K782" s="72"/>
      <c r="L782" s="72">
        <f t="shared" ref="L782:AE782" si="320">SUMPRODUCT((L$740:L$747*$J$729:$J$736+L$762:L$769)*($F$709:$F$716*L$707+$G$709:$G$716*L$647))</f>
        <v>0</v>
      </c>
      <c r="M782" s="72">
        <f t="shared" si="320"/>
        <v>0</v>
      </c>
      <c r="N782" s="72">
        <f t="shared" si="320"/>
        <v>0</v>
      </c>
      <c r="O782" s="72">
        <f t="shared" si="320"/>
        <v>0</v>
      </c>
      <c r="P782" s="72">
        <f t="shared" si="320"/>
        <v>0</v>
      </c>
      <c r="Q782" s="72">
        <f t="shared" si="320"/>
        <v>0</v>
      </c>
      <c r="R782" s="72">
        <f t="shared" si="320"/>
        <v>0</v>
      </c>
      <c r="S782" s="72">
        <f t="shared" si="320"/>
        <v>0</v>
      </c>
      <c r="T782" s="72">
        <f t="shared" si="320"/>
        <v>0</v>
      </c>
      <c r="U782" s="72">
        <f t="shared" si="320"/>
        <v>0</v>
      </c>
      <c r="V782" s="72">
        <f t="shared" si="320"/>
        <v>0</v>
      </c>
      <c r="W782" s="72">
        <f t="shared" si="320"/>
        <v>0</v>
      </c>
      <c r="X782" s="72">
        <f t="shared" si="320"/>
        <v>0</v>
      </c>
      <c r="Y782" s="72">
        <f t="shared" si="320"/>
        <v>0</v>
      </c>
      <c r="Z782" s="72">
        <f t="shared" si="320"/>
        <v>0</v>
      </c>
      <c r="AA782" s="72">
        <f t="shared" si="320"/>
        <v>0</v>
      </c>
      <c r="AB782" s="72">
        <f t="shared" si="320"/>
        <v>0</v>
      </c>
      <c r="AC782" s="72">
        <f t="shared" si="320"/>
        <v>0</v>
      </c>
      <c r="AD782" s="72">
        <f t="shared" si="320"/>
        <v>0</v>
      </c>
      <c r="AE782" s="72">
        <f t="shared" si="320"/>
        <v>0</v>
      </c>
      <c r="AF782" s="70"/>
      <c r="AG782" s="70"/>
      <c r="AH782" s="70"/>
      <c r="AI782" s="70"/>
    </row>
    <row r="783" spans="1:35" x14ac:dyDescent="0.45">
      <c r="A783" s="70"/>
      <c r="B783" s="52"/>
      <c r="C783" s="73" t="s">
        <v>1482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1477</v>
      </c>
      <c r="H784" s="87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21">SUM(L744:L746)+SUM(L766:L768)</f>
        <v>0.57123661061347031</v>
      </c>
      <c r="M784" s="72">
        <f t="shared" si="321"/>
        <v>0.58380381604696674</v>
      </c>
      <c r="N784" s="72">
        <f t="shared" si="321"/>
        <v>0.5966475</v>
      </c>
      <c r="O784" s="72">
        <f t="shared" si="321"/>
        <v>0.60977374500000003</v>
      </c>
      <c r="P784" s="72">
        <f t="shared" si="321"/>
        <v>0.62318876738999995</v>
      </c>
      <c r="Q784" s="72">
        <f t="shared" si="321"/>
        <v>0.6368989202725801</v>
      </c>
      <c r="R784" s="72">
        <f t="shared" si="321"/>
        <v>0.65091069651857669</v>
      </c>
      <c r="S784" s="72">
        <f t="shared" si="321"/>
        <v>0.66523073184198556</v>
      </c>
      <c r="T784" s="72">
        <f t="shared" si="321"/>
        <v>0.67986580794250906</v>
      </c>
      <c r="U784" s="72">
        <f t="shared" si="321"/>
        <v>0.69482285571724434</v>
      </c>
      <c r="V784" s="72">
        <f t="shared" si="321"/>
        <v>0.7101089585430238</v>
      </c>
      <c r="W784" s="72">
        <f t="shared" si="321"/>
        <v>0.72573135563097024</v>
      </c>
      <c r="X784" s="72">
        <f t="shared" si="321"/>
        <v>0.74169744545485172</v>
      </c>
      <c r="Y784" s="72">
        <f t="shared" si="321"/>
        <v>0.75801478925485843</v>
      </c>
      <c r="Z784" s="72">
        <f t="shared" si="321"/>
        <v>0.7746911146184654</v>
      </c>
      <c r="AA784" s="72">
        <f t="shared" si="321"/>
        <v>0.79173431914007153</v>
      </c>
      <c r="AB784" s="72">
        <f t="shared" si="321"/>
        <v>0.8091524741611531</v>
      </c>
      <c r="AC784" s="72">
        <f t="shared" si="321"/>
        <v>0.8269538285926985</v>
      </c>
      <c r="AD784" s="72">
        <f t="shared" si="321"/>
        <v>0.84514681282173787</v>
      </c>
      <c r="AE784" s="72">
        <f t="shared" si="321"/>
        <v>0.8637400427038161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1478</v>
      </c>
      <c r="H785" s="87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22">SUM(L740:L742)+SUM(L762:L764)</f>
        <v>0.37103529198044649</v>
      </c>
      <c r="M785" s="72">
        <f t="shared" si="322"/>
        <v>0.38736084482758615</v>
      </c>
      <c r="N785" s="72">
        <f t="shared" si="322"/>
        <v>0.40440472199999999</v>
      </c>
      <c r="O785" s="72">
        <f t="shared" si="322"/>
        <v>0.42219852976799999</v>
      </c>
      <c r="P785" s="72">
        <f t="shared" si="322"/>
        <v>0.44077526507779197</v>
      </c>
      <c r="Q785" s="72">
        <f t="shared" si="322"/>
        <v>0.46016937674121494</v>
      </c>
      <c r="R785" s="72">
        <f t="shared" si="322"/>
        <v>0.48041682931782825</v>
      </c>
      <c r="S785" s="72">
        <f t="shared" si="322"/>
        <v>0.50155516980781278</v>
      </c>
      <c r="T785" s="72">
        <f t="shared" si="322"/>
        <v>0.52362359727935659</v>
      </c>
      <c r="U785" s="72">
        <f t="shared" si="322"/>
        <v>0.54666303555964835</v>
      </c>
      <c r="V785" s="72">
        <f t="shared" si="322"/>
        <v>0.57071620912427279</v>
      </c>
      <c r="W785" s="72">
        <f t="shared" si="322"/>
        <v>0.59582772232574088</v>
      </c>
      <c r="X785" s="72">
        <f t="shared" si="322"/>
        <v>0.62204414210807335</v>
      </c>
      <c r="Y785" s="72">
        <f t="shared" si="322"/>
        <v>0.6494140843608287</v>
      </c>
      <c r="Z785" s="72">
        <f t="shared" si="322"/>
        <v>0.67798830407270505</v>
      </c>
      <c r="AA785" s="72">
        <f t="shared" si="322"/>
        <v>0.70781978945190405</v>
      </c>
      <c r="AB785" s="72">
        <f t="shared" si="322"/>
        <v>0.73896386018778804</v>
      </c>
      <c r="AC785" s="72">
        <f t="shared" si="322"/>
        <v>0.77147827003605074</v>
      </c>
      <c r="AD785" s="72">
        <f t="shared" si="322"/>
        <v>0.80542331391763677</v>
      </c>
      <c r="AE785" s="72">
        <f t="shared" si="322"/>
        <v>0.84086193973001278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1479</v>
      </c>
      <c r="H786" s="87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23">L747+L769</f>
        <v>0.64621002403360217</v>
      </c>
      <c r="M786" s="72">
        <f t="shared" si="323"/>
        <v>0.68175157535545017</v>
      </c>
      <c r="N786" s="72">
        <f t="shared" si="323"/>
        <v>0.71924791200000004</v>
      </c>
      <c r="O786" s="72">
        <f t="shared" si="323"/>
        <v>0.75880654716000007</v>
      </c>
      <c r="P786" s="72">
        <f t="shared" si="323"/>
        <v>0.80054090725379989</v>
      </c>
      <c r="Q786" s="72">
        <f t="shared" si="323"/>
        <v>0.84457065715275881</v>
      </c>
      <c r="R786" s="72">
        <f t="shared" si="323"/>
        <v>0.89102204329616075</v>
      </c>
      <c r="S786" s="72">
        <f t="shared" si="323"/>
        <v>0.9400282556774493</v>
      </c>
      <c r="T786" s="72">
        <f t="shared" si="323"/>
        <v>0.99172980973970914</v>
      </c>
      <c r="U786" s="72">
        <f t="shared" si="323"/>
        <v>1.0462749492753931</v>
      </c>
      <c r="V786" s="72">
        <f t="shared" si="323"/>
        <v>1.1038200714855397</v>
      </c>
      <c r="W786" s="72">
        <f t="shared" si="323"/>
        <v>1.1645301754172441</v>
      </c>
      <c r="X786" s="72">
        <f t="shared" si="323"/>
        <v>1.2285793350651928</v>
      </c>
      <c r="Y786" s="72">
        <f t="shared" si="323"/>
        <v>1.2961511984937784</v>
      </c>
      <c r="Z786" s="72">
        <f t="shared" si="323"/>
        <v>1.3674395144109359</v>
      </c>
      <c r="AA786" s="72">
        <f t="shared" si="323"/>
        <v>1.4426486877035372</v>
      </c>
      <c r="AB786" s="72">
        <f t="shared" si="323"/>
        <v>1.5219943655272321</v>
      </c>
      <c r="AC786" s="72">
        <f t="shared" si="323"/>
        <v>1.6057040556312294</v>
      </c>
      <c r="AD786" s="72">
        <f t="shared" si="323"/>
        <v>1.6940177786909472</v>
      </c>
      <c r="AE786" s="72">
        <f t="shared" si="323"/>
        <v>1.787188756518949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1480</v>
      </c>
      <c r="H787" s="87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1481</v>
      </c>
      <c r="H788" s="87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24">L743+L765</f>
        <v>25.163138219961041</v>
      </c>
      <c r="M788" s="72">
        <f t="shared" si="324"/>
        <v>25.993521781219755</v>
      </c>
      <c r="N788" s="72">
        <f t="shared" si="324"/>
        <v>26.851308</v>
      </c>
      <c r="O788" s="72">
        <f t="shared" si="324"/>
        <v>27.737401163999998</v>
      </c>
      <c r="P788" s="72">
        <f t="shared" si="324"/>
        <v>28.652735402411995</v>
      </c>
      <c r="Q788" s="72">
        <f t="shared" si="324"/>
        <v>29.598275670691589</v>
      </c>
      <c r="R788" s="72">
        <f t="shared" si="324"/>
        <v>30.575018767824407</v>
      </c>
      <c r="S788" s="72">
        <f t="shared" si="324"/>
        <v>31.583994387162612</v>
      </c>
      <c r="T788" s="72">
        <f t="shared" si="324"/>
        <v>32.626266201938975</v>
      </c>
      <c r="U788" s="72">
        <f t="shared" si="324"/>
        <v>33.70293298660296</v>
      </c>
      <c r="V788" s="72">
        <f t="shared" si="324"/>
        <v>34.815129775160841</v>
      </c>
      <c r="W788" s="72">
        <f t="shared" si="324"/>
        <v>35.964029057741151</v>
      </c>
      <c r="X788" s="72">
        <f t="shared" si="324"/>
        <v>37.150842016646592</v>
      </c>
      <c r="Y788" s="72">
        <f t="shared" si="324"/>
        <v>38.376819803195943</v>
      </c>
      <c r="Z788" s="72">
        <f t="shared" si="324"/>
        <v>39.643254856701404</v>
      </c>
      <c r="AA788" s="72">
        <f t="shared" si="324"/>
        <v>40.951482266972548</v>
      </c>
      <c r="AB788" s="72">
        <f t="shared" si="324"/>
        <v>42.302881181782631</v>
      </c>
      <c r="AC788" s="72">
        <f t="shared" si="324"/>
        <v>43.698876260781446</v>
      </c>
      <c r="AD788" s="72">
        <f t="shared" si="324"/>
        <v>45.140939177387231</v>
      </c>
      <c r="AE788" s="72">
        <f t="shared" si="324"/>
        <v>46.630590170241007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1475</v>
      </c>
      <c r="H789" s="87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25">SUM(L784:L788)</f>
        <v>26.751620146588561</v>
      </c>
      <c r="M789" s="72">
        <f t="shared" si="325"/>
        <v>27.646438017449757</v>
      </c>
      <c r="N789" s="72">
        <f t="shared" si="325"/>
        <v>28.571608133999998</v>
      </c>
      <c r="O789" s="72">
        <f t="shared" si="325"/>
        <v>29.528179985927999</v>
      </c>
      <c r="P789" s="72">
        <f t="shared" si="325"/>
        <v>30.517240342133586</v>
      </c>
      <c r="Q789" s="72">
        <f t="shared" si="325"/>
        <v>31.539914624858142</v>
      </c>
      <c r="R789" s="72">
        <f t="shared" si="325"/>
        <v>32.597368336956976</v>
      </c>
      <c r="S789" s="72">
        <f t="shared" si="325"/>
        <v>33.690808544489862</v>
      </c>
      <c r="T789" s="72">
        <f t="shared" si="325"/>
        <v>34.821485416900551</v>
      </c>
      <c r="U789" s="72">
        <f t="shared" si="325"/>
        <v>35.990693827155248</v>
      </c>
      <c r="V789" s="72">
        <f t="shared" si="325"/>
        <v>37.19977501431368</v>
      </c>
      <c r="W789" s="72">
        <f t="shared" si="325"/>
        <v>38.450118311115105</v>
      </c>
      <c r="X789" s="72">
        <f t="shared" si="325"/>
        <v>39.743162939274711</v>
      </c>
      <c r="Y789" s="72">
        <f t="shared" si="325"/>
        <v>41.08039987530541</v>
      </c>
      <c r="Z789" s="72">
        <f t="shared" si="325"/>
        <v>42.463373789803512</v>
      </c>
      <c r="AA789" s="72">
        <f t="shared" si="325"/>
        <v>43.893685063268059</v>
      </c>
      <c r="AB789" s="72">
        <f t="shared" si="325"/>
        <v>45.372991881658805</v>
      </c>
      <c r="AC789" s="72">
        <f t="shared" si="325"/>
        <v>46.903012415041424</v>
      </c>
      <c r="AD789" s="72">
        <f t="shared" si="325"/>
        <v>48.485527082817555</v>
      </c>
      <c r="AE789" s="72">
        <f t="shared" si="325"/>
        <v>50.122380909193787</v>
      </c>
      <c r="AF789" s="70"/>
      <c r="AG789" s="70"/>
      <c r="AH789" s="70"/>
      <c r="AI789" s="70"/>
    </row>
    <row r="790" spans="1:35" x14ac:dyDescent="0.45">
      <c r="A790" s="70"/>
      <c r="B790" s="52" t="s">
        <v>1855</v>
      </c>
      <c r="C790" s="73" t="s">
        <v>1483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26">L761</f>
        <v>2022</v>
      </c>
      <c r="M790" s="74">
        <f t="shared" si="326"/>
        <v>2023</v>
      </c>
      <c r="N790" s="74">
        <f t="shared" si="326"/>
        <v>2024</v>
      </c>
      <c r="O790" s="74">
        <f t="shared" si="326"/>
        <v>2025</v>
      </c>
      <c r="P790" s="74">
        <f t="shared" si="326"/>
        <v>2026</v>
      </c>
      <c r="Q790" s="74">
        <f t="shared" si="326"/>
        <v>2027</v>
      </c>
      <c r="R790" s="74">
        <f t="shared" si="326"/>
        <v>2028</v>
      </c>
      <c r="S790" s="74">
        <f t="shared" si="326"/>
        <v>2029</v>
      </c>
      <c r="T790" s="74">
        <f t="shared" si="326"/>
        <v>2030</v>
      </c>
      <c r="U790" s="74">
        <f t="shared" si="326"/>
        <v>2031</v>
      </c>
      <c r="V790" s="74">
        <f t="shared" si="326"/>
        <v>2032</v>
      </c>
      <c r="W790" s="74">
        <f t="shared" si="326"/>
        <v>2033</v>
      </c>
      <c r="X790" s="74">
        <f t="shared" si="326"/>
        <v>2034</v>
      </c>
      <c r="Y790" s="74">
        <f t="shared" si="326"/>
        <v>2035</v>
      </c>
      <c r="Z790" s="74">
        <f t="shared" si="326"/>
        <v>2036</v>
      </c>
      <c r="AA790" s="74">
        <f t="shared" si="326"/>
        <v>2037</v>
      </c>
      <c r="AB790" s="74">
        <f t="shared" si="326"/>
        <v>2038</v>
      </c>
      <c r="AC790" s="74">
        <f t="shared" si="326"/>
        <v>2039</v>
      </c>
      <c r="AD790" s="74">
        <f t="shared" si="326"/>
        <v>2040</v>
      </c>
      <c r="AE790" s="74">
        <f t="shared" si="326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 t="shared" ref="L791:AE791" si="327">(L729+L751)*$I729*($F698*L$646+$G698*L$647)+(L740*$J729+L762)*($F709*L$707+$G709*L$647)</f>
        <v>0</v>
      </c>
      <c r="M791" s="72">
        <f t="shared" si="327"/>
        <v>0</v>
      </c>
      <c r="N791" s="72">
        <f t="shared" si="327"/>
        <v>0</v>
      </c>
      <c r="O791" s="72">
        <f t="shared" si="327"/>
        <v>0</v>
      </c>
      <c r="P791" s="72">
        <f t="shared" si="327"/>
        <v>0</v>
      </c>
      <c r="Q791" s="72">
        <f t="shared" si="327"/>
        <v>41.420064713506875</v>
      </c>
      <c r="R791" s="72">
        <f t="shared" si="327"/>
        <v>86.485095121802345</v>
      </c>
      <c r="S791" s="72">
        <f t="shared" si="327"/>
        <v>135.43565896074247</v>
      </c>
      <c r="T791" s="72">
        <f t="shared" si="327"/>
        <v>188.52643727335357</v>
      </c>
      <c r="U791" s="72">
        <f t="shared" si="327"/>
        <v>246.0270006417264</v>
      </c>
      <c r="V791" s="72">
        <f t="shared" si="327"/>
        <v>308.22262640395479</v>
      </c>
      <c r="W791" s="72">
        <f t="shared" si="327"/>
        <v>375.41515896001692</v>
      </c>
      <c r="X791" s="72">
        <f t="shared" si="327"/>
        <v>447.92391537629453</v>
      </c>
      <c r="Y791" s="72">
        <f t="shared" si="327"/>
        <v>526.08663860945808</v>
      </c>
      <c r="Z791" s="72">
        <f t="shared" si="327"/>
        <v>610.26050078697119</v>
      </c>
      <c r="AA791" s="72">
        <f t="shared" si="327"/>
        <v>700.82315910375769</v>
      </c>
      <c r="AB791" s="72">
        <f t="shared" si="327"/>
        <v>798.17386702289809</v>
      </c>
      <c r="AC791" s="72">
        <f t="shared" si="327"/>
        <v>902.73464360289768</v>
      </c>
      <c r="AD791" s="72">
        <f t="shared" si="327"/>
        <v>1014.951503915381</v>
      </c>
      <c r="AE791" s="72">
        <f t="shared" si="327"/>
        <v>1135.2957536653473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1355</v>
      </c>
      <c r="E792" s="70"/>
      <c r="F792" s="70"/>
      <c r="G792" s="70"/>
      <c r="H792" s="70"/>
      <c r="I792" s="70"/>
      <c r="J792" s="70"/>
      <c r="K792" s="72"/>
      <c r="L792" s="72">
        <f t="shared" ref="L792:AE792" si="328">(L730+L752)*$I730*($F699*L$646+$G699*L$647)+(L741*$J730+L763)*($F710*L$707+$G710*L$647)</f>
        <v>0</v>
      </c>
      <c r="M792" s="72">
        <f t="shared" si="328"/>
        <v>0</v>
      </c>
      <c r="N792" s="72">
        <f t="shared" si="328"/>
        <v>0</v>
      </c>
      <c r="O792" s="72">
        <f t="shared" si="328"/>
        <v>0</v>
      </c>
      <c r="P792" s="72">
        <f t="shared" si="328"/>
        <v>0</v>
      </c>
      <c r="Q792" s="72">
        <f t="shared" si="328"/>
        <v>3.0641187658752003</v>
      </c>
      <c r="R792" s="72">
        <f t="shared" si="328"/>
        <v>6.3978799831474173</v>
      </c>
      <c r="S792" s="72">
        <f t="shared" si="328"/>
        <v>10.019080053608858</v>
      </c>
      <c r="T792" s="72">
        <f t="shared" si="328"/>
        <v>13.946559434623532</v>
      </c>
      <c r="U792" s="72">
        <f t="shared" si="328"/>
        <v>18.200260062183709</v>
      </c>
      <c r="V792" s="72">
        <f t="shared" si="328"/>
        <v>22.801285805903746</v>
      </c>
      <c r="W792" s="72">
        <f t="shared" si="328"/>
        <v>27.771966111590768</v>
      </c>
      <c r="X792" s="72">
        <f t="shared" si="328"/>
        <v>33.135922994858014</v>
      </c>
      <c r="Y792" s="72">
        <f t="shared" si="328"/>
        <v>38.918141557460743</v>
      </c>
      <c r="Z792" s="72">
        <f t="shared" si="328"/>
        <v>45.145044206654454</v>
      </c>
      <c r="AA792" s="72">
        <f t="shared" si="328"/>
        <v>51.844568766921974</v>
      </c>
      <c r="AB792" s="72">
        <f t="shared" si="328"/>
        <v>59.046250682908969</v>
      </c>
      <c r="AC792" s="72">
        <f t="shared" si="328"/>
        <v>66.781309522370037</v>
      </c>
      <c r="AD792" s="72">
        <f t="shared" si="328"/>
        <v>75.082739998381584</v>
      </c>
      <c r="AE792" s="72">
        <f t="shared" si="328"/>
        <v>83.985407741046814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1359</v>
      </c>
      <c r="E793" s="70"/>
      <c r="F793" s="70"/>
      <c r="G793" s="70"/>
      <c r="H793" s="70"/>
      <c r="I793" s="70"/>
      <c r="J793" s="70"/>
      <c r="K793" s="72"/>
      <c r="L793" s="72">
        <f t="shared" ref="L793:AE793" si="329">(L731+L753)*$I731*($F700*L$646+$G700*L$647)+(L742*$J731+L764)*($F711*L$707+$G711*L$647)</f>
        <v>0</v>
      </c>
      <c r="M793" s="72">
        <f t="shared" si="329"/>
        <v>0</v>
      </c>
      <c r="N793" s="72">
        <f t="shared" si="329"/>
        <v>0</v>
      </c>
      <c r="O793" s="72">
        <f t="shared" si="329"/>
        <v>0</v>
      </c>
      <c r="P793" s="72">
        <f t="shared" si="329"/>
        <v>0</v>
      </c>
      <c r="Q793" s="72">
        <f t="shared" si="329"/>
        <v>0</v>
      </c>
      <c r="R793" s="72">
        <f t="shared" si="329"/>
        <v>0</v>
      </c>
      <c r="S793" s="72">
        <f t="shared" si="329"/>
        <v>0</v>
      </c>
      <c r="T793" s="72">
        <f t="shared" si="329"/>
        <v>0</v>
      </c>
      <c r="U793" s="72">
        <f t="shared" si="329"/>
        <v>0</v>
      </c>
      <c r="V793" s="72">
        <f t="shared" si="329"/>
        <v>0</v>
      </c>
      <c r="W793" s="72">
        <f t="shared" si="329"/>
        <v>0</v>
      </c>
      <c r="X793" s="72">
        <f t="shared" si="329"/>
        <v>0</v>
      </c>
      <c r="Y793" s="72">
        <f t="shared" si="329"/>
        <v>0</v>
      </c>
      <c r="Z793" s="72">
        <f t="shared" si="329"/>
        <v>0</v>
      </c>
      <c r="AA793" s="72">
        <f t="shared" si="329"/>
        <v>0</v>
      </c>
      <c r="AB793" s="72">
        <f t="shared" si="329"/>
        <v>0</v>
      </c>
      <c r="AC793" s="72">
        <f t="shared" si="329"/>
        <v>0</v>
      </c>
      <c r="AD793" s="72">
        <f t="shared" si="329"/>
        <v>0</v>
      </c>
      <c r="AE793" s="72">
        <f t="shared" si="329"/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1363</v>
      </c>
      <c r="E794" s="70"/>
      <c r="F794" s="70"/>
      <c r="G794" s="70"/>
      <c r="H794" s="70"/>
      <c r="I794" s="70"/>
      <c r="J794" s="70"/>
      <c r="K794" s="72"/>
      <c r="L794" s="72">
        <f t="shared" ref="L794:AE794" si="330">(L732+L754)*$I732*($F701*L$646+$G701*L$647)+(L743*$J732+L765)*($F712*L$707+$G712*L$647)</f>
        <v>0</v>
      </c>
      <c r="M794" s="72">
        <f t="shared" si="330"/>
        <v>0</v>
      </c>
      <c r="N794" s="72">
        <f t="shared" si="330"/>
        <v>0</v>
      </c>
      <c r="O794" s="72">
        <f t="shared" si="330"/>
        <v>0</v>
      </c>
      <c r="P794" s="72">
        <f t="shared" si="330"/>
        <v>0</v>
      </c>
      <c r="Q794" s="72">
        <f t="shared" si="330"/>
        <v>216.02967406292771</v>
      </c>
      <c r="R794" s="72">
        <f t="shared" si="330"/>
        <v>446.31730661400854</v>
      </c>
      <c r="S794" s="72">
        <f t="shared" si="330"/>
        <v>691.56866659840648</v>
      </c>
      <c r="T794" s="72">
        <f t="shared" si="330"/>
        <v>952.52057679487154</v>
      </c>
      <c r="U794" s="72">
        <f t="shared" si="330"/>
        <v>1229.9421947863777</v>
      </c>
      <c r="V794" s="72">
        <f t="shared" si="330"/>
        <v>1524.6363446571936</v>
      </c>
      <c r="W794" s="72">
        <f t="shared" si="330"/>
        <v>1837.440901369361</v>
      </c>
      <c r="X794" s="72">
        <f t="shared" si="330"/>
        <v>2169.2302298451991</v>
      </c>
      <c r="Y794" s="72">
        <f t="shared" si="330"/>
        <v>2520.9166808588525</v>
      </c>
      <c r="Z794" s="72">
        <f t="shared" si="330"/>
        <v>2893.4521459191046</v>
      </c>
      <c r="AA794" s="72">
        <f t="shared" si="330"/>
        <v>3287.8296734078785</v>
      </c>
      <c r="AB794" s="72">
        <f t="shared" si="330"/>
        <v>3705.0851483240044</v>
      </c>
      <c r="AC794" s="72">
        <f t="shared" si="330"/>
        <v>4146.299038070254</v>
      </c>
      <c r="AD794" s="72">
        <f t="shared" si="330"/>
        <v>4612.5982068132325</v>
      </c>
      <c r="AE794" s="72">
        <f t="shared" si="330"/>
        <v>5105.1578010407866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1425</v>
      </c>
      <c r="E795" s="70"/>
      <c r="F795" s="70"/>
      <c r="G795" s="70"/>
      <c r="H795" s="70"/>
      <c r="I795" s="70"/>
      <c r="J795" s="70"/>
      <c r="K795" s="72"/>
      <c r="L795" s="72">
        <f t="shared" ref="L795:AE795" si="331">(L733+L755)*$I733*($F702*L$646+$G702*L$647)+(L744*$J733+L766)*($F713*L$707+$G713*L$647)</f>
        <v>0</v>
      </c>
      <c r="M795" s="72">
        <f t="shared" si="331"/>
        <v>0</v>
      </c>
      <c r="N795" s="72">
        <f t="shared" si="331"/>
        <v>0</v>
      </c>
      <c r="O795" s="72">
        <f t="shared" si="331"/>
        <v>0</v>
      </c>
      <c r="P795" s="72">
        <f t="shared" si="331"/>
        <v>0</v>
      </c>
      <c r="Q795" s="72">
        <f t="shared" si="331"/>
        <v>47.033407685769127</v>
      </c>
      <c r="R795" s="72">
        <f t="shared" si="331"/>
        <v>96.136285309712079</v>
      </c>
      <c r="S795" s="72">
        <f t="shared" si="331"/>
        <v>147.37692537978862</v>
      </c>
      <c r="T795" s="72">
        <f t="shared" si="331"/>
        <v>200.82562365085863</v>
      </c>
      <c r="U795" s="72">
        <f t="shared" si="331"/>
        <v>256.55473421397193</v>
      </c>
      <c r="V795" s="72">
        <f t="shared" si="331"/>
        <v>314.63872604001523</v>
      </c>
      <c r="W795" s="72">
        <f t="shared" si="331"/>
        <v>375.1542410150447</v>
      </c>
      <c r="X795" s="72">
        <f t="shared" si="331"/>
        <v>438.18015350557226</v>
      </c>
      <c r="Y795" s="72">
        <f t="shared" si="331"/>
        <v>503.7976314930317</v>
      </c>
      <c r="Z795" s="72">
        <f t="shared" si="331"/>
        <v>572.09019931764271</v>
      </c>
      <c r="AA795" s="72">
        <f t="shared" si="331"/>
        <v>643.14380207289389</v>
      </c>
      <c r="AB795" s="72">
        <f t="shared" si="331"/>
        <v>717.04687169290628</v>
      </c>
      <c r="AC795" s="72">
        <f t="shared" si="331"/>
        <v>793.89039477599624</v>
      </c>
      <c r="AD795" s="72">
        <f t="shared" si="331"/>
        <v>873.76798218884267</v>
      </c>
      <c r="AE795" s="72">
        <f t="shared" si="331"/>
        <v>956.77594049678271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1373</v>
      </c>
      <c r="E796" s="70"/>
      <c r="F796" s="70"/>
      <c r="G796" s="70"/>
      <c r="H796" s="70"/>
      <c r="I796" s="70"/>
      <c r="J796" s="70"/>
      <c r="K796" s="72"/>
      <c r="L796" s="72">
        <f t="shared" ref="L796:AE796" si="332">(L734+L756)*$I734*($F703*L$646+$G703*L$647)+(L745*$J734+L767)*($F714*L$707+$G714*L$647)</f>
        <v>0</v>
      </c>
      <c r="M796" s="72">
        <f t="shared" si="332"/>
        <v>0</v>
      </c>
      <c r="N796" s="72">
        <f t="shared" si="332"/>
        <v>0</v>
      </c>
      <c r="O796" s="72">
        <f t="shared" si="332"/>
        <v>0</v>
      </c>
      <c r="P796" s="72">
        <f t="shared" si="332"/>
        <v>0</v>
      </c>
      <c r="Q796" s="72">
        <f t="shared" si="332"/>
        <v>4.1919258186959993</v>
      </c>
      <c r="R796" s="72">
        <f t="shared" si="332"/>
        <v>8.5682963734146238</v>
      </c>
      <c r="S796" s="72">
        <f t="shared" si="332"/>
        <v>13.135198340444619</v>
      </c>
      <c r="T796" s="72">
        <f t="shared" si="332"/>
        <v>17.898896938579195</v>
      </c>
      <c r="U796" s="72">
        <f t="shared" si="332"/>
        <v>22.865840839034927</v>
      </c>
      <c r="V796" s="72">
        <f t="shared" si="332"/>
        <v>28.042667204992437</v>
      </c>
      <c r="W796" s="72">
        <f t="shared" si="332"/>
        <v>33.436206864085982</v>
      </c>
      <c r="X796" s="72">
        <f t="shared" si="332"/>
        <v>39.053489617252431</v>
      </c>
      <c r="Y796" s="72">
        <f t="shared" si="332"/>
        <v>44.901749687435981</v>
      </c>
      <c r="Z796" s="72">
        <f t="shared" si="332"/>
        <v>50.98843131173286</v>
      </c>
      <c r="AA796" s="72">
        <f t="shared" si="332"/>
        <v>57.321194480650085</v>
      </c>
      <c r="AB796" s="72">
        <f t="shared" si="332"/>
        <v>63.907920828244777</v>
      </c>
      <c r="AC796" s="72">
        <f t="shared" si="332"/>
        <v>70.756719677005009</v>
      </c>
      <c r="AD796" s="72">
        <f t="shared" si="332"/>
        <v>77.875934241429832</v>
      </c>
      <c r="AE796" s="72">
        <f t="shared" si="332"/>
        <v>85.274147994365663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1378</v>
      </c>
      <c r="E797" s="70"/>
      <c r="F797" s="70"/>
      <c r="G797" s="70"/>
      <c r="H797" s="70"/>
      <c r="I797" s="70"/>
      <c r="J797" s="70"/>
      <c r="K797" s="72"/>
      <c r="L797" s="72">
        <f t="shared" ref="L797:AE797" si="333">(L735+L757)*$I735*($F704*L$646+$G704*L$647)+(L746*$J735+L768)*($F715*L$707+$G715*L$647)</f>
        <v>0</v>
      </c>
      <c r="M797" s="72">
        <f t="shared" si="333"/>
        <v>0</v>
      </c>
      <c r="N797" s="72">
        <f t="shared" si="333"/>
        <v>0</v>
      </c>
      <c r="O797" s="72">
        <f t="shared" si="333"/>
        <v>0</v>
      </c>
      <c r="P797" s="72">
        <f t="shared" si="333"/>
        <v>0</v>
      </c>
      <c r="Q797" s="72">
        <f t="shared" si="333"/>
        <v>0.89826981829199992</v>
      </c>
      <c r="R797" s="72">
        <f t="shared" si="333"/>
        <v>1.8360635085888481</v>
      </c>
      <c r="S797" s="72">
        <f t="shared" si="333"/>
        <v>2.8146853586667042</v>
      </c>
      <c r="T797" s="72">
        <f t="shared" si="333"/>
        <v>3.835477915409828</v>
      </c>
      <c r="U797" s="72">
        <f t="shared" si="333"/>
        <v>4.8998230369360556</v>
      </c>
      <c r="V797" s="72">
        <f t="shared" si="333"/>
        <v>6.0091429724983811</v>
      </c>
      <c r="W797" s="72">
        <f t="shared" si="333"/>
        <v>7.1649014708755665</v>
      </c>
      <c r="X797" s="72">
        <f t="shared" si="333"/>
        <v>8.3686049179826618</v>
      </c>
      <c r="Y797" s="72">
        <f t="shared" si="333"/>
        <v>9.6218035044505683</v>
      </c>
      <c r="Z797" s="72">
        <f t="shared" si="333"/>
        <v>10.926092423942757</v>
      </c>
      <c r="AA797" s="72">
        <f t="shared" si="333"/>
        <v>12.283113102996445</v>
      </c>
      <c r="AB797" s="72">
        <f t="shared" si="333"/>
        <v>13.694554463195308</v>
      </c>
      <c r="AC797" s="72">
        <f t="shared" si="333"/>
        <v>15.162154216501074</v>
      </c>
      <c r="AD797" s="72">
        <f t="shared" si="333"/>
        <v>16.687700194592107</v>
      </c>
      <c r="AE797" s="72">
        <f t="shared" si="333"/>
        <v>18.273031713078357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1383</v>
      </c>
      <c r="E798" s="83"/>
      <c r="F798" s="84"/>
      <c r="G798" s="70"/>
      <c r="H798" s="70"/>
      <c r="I798" s="70"/>
      <c r="J798" s="70"/>
      <c r="K798" s="72"/>
      <c r="L798" s="72">
        <f t="shared" ref="L798:AE798" si="334">(L736+L758)*$I736*($F705*L$646+$G705*L$647)+(L747*$J736+L769)*($F716*L$707+$G716*L$647)</f>
        <v>0</v>
      </c>
      <c r="M798" s="72">
        <f t="shared" si="334"/>
        <v>0</v>
      </c>
      <c r="N798" s="72">
        <f t="shared" si="334"/>
        <v>0</v>
      </c>
      <c r="O798" s="72">
        <f t="shared" si="334"/>
        <v>0</v>
      </c>
      <c r="P798" s="72">
        <f t="shared" si="334"/>
        <v>0</v>
      </c>
      <c r="Q798" s="72">
        <f t="shared" si="334"/>
        <v>0.5434682643843749</v>
      </c>
      <c r="R798" s="72">
        <f t="shared" si="334"/>
        <v>1.1467180378510311</v>
      </c>
      <c r="S798" s="72">
        <f t="shared" si="334"/>
        <v>1.8146812948992566</v>
      </c>
      <c r="T798" s="72">
        <f t="shared" si="334"/>
        <v>2.5526516881582877</v>
      </c>
      <c r="U798" s="72">
        <f t="shared" si="334"/>
        <v>3.3663094137587413</v>
      </c>
      <c r="V798" s="72">
        <f t="shared" si="334"/>
        <v>4.261747717818567</v>
      </c>
      <c r="W798" s="72">
        <f t="shared" si="334"/>
        <v>5.2455011493483523</v>
      </c>
      <c r="X798" s="72">
        <f t="shared" si="334"/>
        <v>6.3245756715000132</v>
      </c>
      <c r="Y798" s="72">
        <f t="shared" si="334"/>
        <v>7.506480750111578</v>
      </c>
      <c r="Z798" s="72">
        <f t="shared" si="334"/>
        <v>8.7992635459641271</v>
      </c>
      <c r="AA798" s="72">
        <f t="shared" si="334"/>
        <v>10.211545345091368</v>
      </c>
      <c r="AB798" s="72">
        <f t="shared" si="334"/>
        <v>11.752560369896068</v>
      </c>
      <c r="AC798" s="72">
        <f t="shared" si="334"/>
        <v>13.432197122760376</v>
      </c>
      <c r="AD798" s="72">
        <f t="shared" si="334"/>
        <v>15.261042423320829</v>
      </c>
      <c r="AE798" s="72">
        <f t="shared" si="334"/>
        <v>17.25042831064658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1484</v>
      </c>
      <c r="E799" s="70" t="s">
        <v>1854</v>
      </c>
      <c r="F799" s="70"/>
      <c r="G799" s="70" t="s">
        <v>110</v>
      </c>
      <c r="H799" s="87" t="str">
        <f>Settings!$B$3&amp;".mit.rev.cbam."&amp;G799&amp;"."&amp;$J$404</f>
        <v>egy.mit.rev.cbam.tot.2</v>
      </c>
      <c r="I799" s="70" t="s">
        <v>1856</v>
      </c>
      <c r="J799" s="70"/>
      <c r="K799" s="72"/>
      <c r="L799" s="72">
        <f t="shared" ref="L799:AE799" si="335">SUM(L791:L798)</f>
        <v>0</v>
      </c>
      <c r="M799" s="72">
        <f t="shared" si="335"/>
        <v>0</v>
      </c>
      <c r="N799" s="72">
        <f t="shared" si="335"/>
        <v>0</v>
      </c>
      <c r="O799" s="72">
        <f t="shared" si="335"/>
        <v>0</v>
      </c>
      <c r="P799" s="72">
        <f t="shared" si="335"/>
        <v>0</v>
      </c>
      <c r="Q799" s="72">
        <f t="shared" si="335"/>
        <v>313.18092912945133</v>
      </c>
      <c r="R799" s="72">
        <f t="shared" si="335"/>
        <v>646.88764494852489</v>
      </c>
      <c r="S799" s="72">
        <f t="shared" si="335"/>
        <v>1002.1648959865571</v>
      </c>
      <c r="T799" s="72">
        <f t="shared" si="335"/>
        <v>1380.1062236958546</v>
      </c>
      <c r="U799" s="72">
        <f t="shared" si="335"/>
        <v>1781.8561629939895</v>
      </c>
      <c r="V799" s="72">
        <f t="shared" si="335"/>
        <v>2208.6125408023772</v>
      </c>
      <c r="W799" s="72">
        <f t="shared" si="335"/>
        <v>2661.6288769403232</v>
      </c>
      <c r="X799" s="72">
        <f t="shared" si="335"/>
        <v>3142.2168919286596</v>
      </c>
      <c r="Y799" s="72">
        <f t="shared" si="335"/>
        <v>3651.7491264608011</v>
      </c>
      <c r="Z799" s="72">
        <f t="shared" si="335"/>
        <v>4191.6616775120128</v>
      </c>
      <c r="AA799" s="72">
        <f t="shared" si="335"/>
        <v>4763.45705628019</v>
      </c>
      <c r="AB799" s="72">
        <f t="shared" si="335"/>
        <v>5368.7071733840539</v>
      </c>
      <c r="AC799" s="72">
        <f t="shared" si="335"/>
        <v>6009.0564569877843</v>
      </c>
      <c r="AD799" s="72">
        <f t="shared" si="335"/>
        <v>6686.2251097751796</v>
      </c>
      <c r="AE799" s="72">
        <f t="shared" si="335"/>
        <v>7402.012510962054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B0AA-8CB2-48BD-84B1-A89D293DE4A0}">
  <dimension ref="A1:AI102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33.7304687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31.2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2065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2066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2067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49</v>
      </c>
      <c r="C6" s="14" t="str">
        <f t="shared" ref="C6:C15" si="0">$C$5</f>
        <v>irn</v>
      </c>
      <c r="D6" s="15" t="s">
        <v>50</v>
      </c>
      <c r="E6" s="16" t="s">
        <v>2068</v>
      </c>
      <c r="F6" s="14" t="s">
        <v>2069</v>
      </c>
      <c r="G6" s="128" t="str">
        <f>Settings!$B$3&amp;".mit.efc."&amp;$B6</f>
        <v>egy.mit.efc.coa</v>
      </c>
      <c r="H6" s="45" t="str">
        <f>Settings!$B$3&amp;".mit.eco2."&amp;$C$5&amp;"."&amp;$B6&amp;".e."&amp;$J$5</f>
        <v>egy.mit.eco2.irn.coa.e.1</v>
      </c>
      <c r="I6" t="s">
        <v>2070</v>
      </c>
      <c r="L6" s="129">
        <f>Mitigation_Industry!L$54*INDEX(Data_EF!$G:$G,MATCH($G6,Data_EF!$A:$A,0))/1000000</f>
        <v>0.90552851514095434</v>
      </c>
      <c r="M6" s="19">
        <f>Mitigation_Industry!M$54*INDEX(Data_EF!$G:$G,MATCH($G6,Data_EF!$A:$A,0))/1000000</f>
        <v>0.7373709829353039</v>
      </c>
      <c r="N6" s="19">
        <f>Mitigation_Industry!N$54*INDEX(Data_EF!$G:$G,MATCH($G6,Data_EF!$A:$A,0))/1000000</f>
        <v>0.84742505653625044</v>
      </c>
      <c r="O6" s="19">
        <f>Mitigation_Industry!O$54*INDEX(Data_EF!$G:$G,MATCH($G6,Data_EF!$A:$A,0))/1000000</f>
        <v>0.92592542220348095</v>
      </c>
      <c r="P6" s="19">
        <f>Mitigation_Industry!P$54*INDEX(Data_EF!$G:$G,MATCH($G6,Data_EF!$A:$A,0))/1000000</f>
        <v>0.90550015822817864</v>
      </c>
      <c r="Q6" s="19">
        <f>Mitigation_Industry!Q$54*INDEX(Data_EF!$G:$G,MATCH($G6,Data_EF!$A:$A,0))/1000000</f>
        <v>0.91598111483669054</v>
      </c>
      <c r="R6" s="19">
        <f>Mitigation_Industry!R$54*INDEX(Data_EF!$G:$G,MATCH($G6,Data_EF!$A:$A,0))/1000000</f>
        <v>0.94132187959094771</v>
      </c>
      <c r="S6" s="19">
        <f>Mitigation_Industry!S$54*INDEX(Data_EF!$G:$G,MATCH($G6,Data_EF!$A:$A,0))/1000000</f>
        <v>0.96599765578723318</v>
      </c>
      <c r="T6" s="19">
        <f>Mitigation_Industry!T$54*INDEX(Data_EF!$G:$G,MATCH($G6,Data_EF!$A:$A,0))/1000000</f>
        <v>0.98963877869988903</v>
      </c>
      <c r="U6" s="19">
        <f>Mitigation_Industry!U$54*INDEX(Data_EF!$G:$G,MATCH($G6,Data_EF!$A:$A,0))/1000000</f>
        <v>1.0133362658908103</v>
      </c>
      <c r="V6" s="19">
        <f>Mitigation_Industry!V$54*INDEX(Data_EF!$G:$G,MATCH($G6,Data_EF!$A:$A,0))/1000000</f>
        <v>1.0325208097008434</v>
      </c>
      <c r="W6" s="19">
        <f>Mitigation_Industry!W$54*INDEX(Data_EF!$G:$G,MATCH($G6,Data_EF!$A:$A,0))/1000000</f>
        <v>1.0517537633582514</v>
      </c>
      <c r="X6" s="19">
        <f>Mitigation_Industry!X$54*INDEX(Data_EF!$G:$G,MATCH($G6,Data_EF!$A:$A,0))/1000000</f>
        <v>1.0710296448648655</v>
      </c>
      <c r="Y6" s="19">
        <f>Mitigation_Industry!Y$54*INDEX(Data_EF!$G:$G,MATCH($G6,Data_EF!$A:$A,0))/1000000</f>
        <v>1.0903430205340965</v>
      </c>
      <c r="Z6" s="19">
        <f>Mitigation_Industry!Z$54*INDEX(Data_EF!$G:$G,MATCH($G6,Data_EF!$A:$A,0))/1000000</f>
        <v>1.1096885003893</v>
      </c>
      <c r="AA6" s="19">
        <f>Mitigation_Industry!AA$54*INDEX(Data_EF!$G:$G,MATCH($G6,Data_EF!$A:$A,0))/1000000</f>
        <v>1.1290607330681555</v>
      </c>
      <c r="AB6" s="19">
        <f>Mitigation_Industry!AB$54*INDEX(Data_EF!$G:$G,MATCH($G6,Data_EF!$A:$A,0))/1000000</f>
        <v>1.1484544002584203</v>
      </c>
      <c r="AC6" s="19">
        <f>Mitigation_Industry!AC$54*INDEX(Data_EF!$G:$G,MATCH($G6,Data_EF!$A:$A,0))/1000000</f>
        <v>1.1678642106887949</v>
      </c>
      <c r="AD6" s="19">
        <f>Mitigation_Industry!AD$54*INDEX(Data_EF!$G:$G,MATCH($G6,Data_EF!$A:$A,0))/1000000</f>
        <v>1.1872848936970086</v>
      </c>
      <c r="AE6" s="19">
        <f>Mitigation_Industry!AE$54*INDEX(Data_EF!$G:$G,MATCH($G6,Data_EF!$A:$A,0))/1000000</f>
        <v>1.2067111923955773</v>
      </c>
    </row>
    <row r="7" spans="1:35" customFormat="1" ht="14.25" x14ac:dyDescent="0.45">
      <c r="B7" s="14" t="s">
        <v>53</v>
      </c>
      <c r="C7" s="14" t="str">
        <f t="shared" si="0"/>
        <v>irn</v>
      </c>
      <c r="D7" s="15" t="s">
        <v>54</v>
      </c>
      <c r="E7" s="16" t="s">
        <v>2068</v>
      </c>
      <c r="F7" s="14" t="s">
        <v>2069</v>
      </c>
      <c r="G7" s="128" t="str">
        <f>Settings!$B$3&amp;".mit.efc."&amp;$B7</f>
        <v>egy.mit.efc.nga</v>
      </c>
      <c r="H7" s="45" t="str">
        <f>Settings!$B$3&amp;".mit.eco2."&amp;$C$5&amp;"."&amp;$B7&amp;".e."&amp;$J$5</f>
        <v>egy.mit.eco2.irn.nga.e.1</v>
      </c>
      <c r="I7" t="s">
        <v>2071</v>
      </c>
      <c r="L7" s="129">
        <f>Mitigation_Industry!L$55*INDEX(Data_EF!$G:$G,MATCH($G7,Data_EF!$A:$A,0))/1000000</f>
        <v>3.6248550032610098</v>
      </c>
      <c r="M7" s="19">
        <f>Mitigation_Industry!M$55*INDEX(Data_EF!$G:$G,MATCH($G7,Data_EF!$A:$A,0))/1000000</f>
        <v>3.1095323789272165</v>
      </c>
      <c r="N7" s="19">
        <f>Mitigation_Industry!N$55*INDEX(Data_EF!$G:$G,MATCH($G7,Data_EF!$A:$A,0))/1000000</f>
        <v>3.4816495642852692</v>
      </c>
      <c r="O7" s="19">
        <f>Mitigation_Industry!O$55*INDEX(Data_EF!$G:$G,MATCH($G7,Data_EF!$A:$A,0))/1000000</f>
        <v>3.6192352321477199</v>
      </c>
      <c r="P7" s="19">
        <f>Mitigation_Industry!P$55*INDEX(Data_EF!$G:$G,MATCH($G7,Data_EF!$A:$A,0))/1000000</f>
        <v>3.755152565160921</v>
      </c>
      <c r="Q7" s="19">
        <f>Mitigation_Industry!Q$55*INDEX(Data_EF!$G:$G,MATCH($G7,Data_EF!$A:$A,0))/1000000</f>
        <v>3.9170984794377439</v>
      </c>
      <c r="R7" s="19">
        <f>Mitigation_Industry!R$55*INDEX(Data_EF!$G:$G,MATCH($G7,Data_EF!$A:$A,0))/1000000</f>
        <v>4.1116087327343127</v>
      </c>
      <c r="S7" s="19">
        <f>Mitigation_Industry!S$55*INDEX(Data_EF!$G:$G,MATCH($G7,Data_EF!$A:$A,0))/1000000</f>
        <v>4.3007940441743049</v>
      </c>
      <c r="T7" s="19">
        <f>Mitigation_Industry!T$55*INDEX(Data_EF!$G:$G,MATCH($G7,Data_EF!$A:$A,0))/1000000</f>
        <v>4.4803403110751576</v>
      </c>
      <c r="U7" s="19">
        <f>Mitigation_Industry!U$55*INDEX(Data_EF!$G:$G,MATCH($G7,Data_EF!$A:$A,0))/1000000</f>
        <v>4.6637740945368567</v>
      </c>
      <c r="V7" s="19">
        <f>Mitigation_Industry!V$55*INDEX(Data_EF!$G:$G,MATCH($G7,Data_EF!$A:$A,0))/1000000</f>
        <v>4.8517650364524734</v>
      </c>
      <c r="W7" s="19">
        <f>Mitigation_Industry!W$55*INDEX(Data_EF!$G:$G,MATCH($G7,Data_EF!$A:$A,0))/1000000</f>
        <v>5.0443136510343951</v>
      </c>
      <c r="X7" s="19">
        <f>Mitigation_Industry!X$55*INDEX(Data_EF!$G:$G,MATCH($G7,Data_EF!$A:$A,0))/1000000</f>
        <v>5.2414170434139917</v>
      </c>
      <c r="Y7" s="19">
        <f>Mitigation_Industry!Y$55*INDEX(Data_EF!$G:$G,MATCH($G7,Data_EF!$A:$A,0))/1000000</f>
        <v>5.4430688581786226</v>
      </c>
      <c r="Z7" s="19">
        <f>Mitigation_Industry!Z$55*INDEX(Data_EF!$G:$G,MATCH($G7,Data_EF!$A:$A,0))/1000000</f>
        <v>5.6492592208852512</v>
      </c>
      <c r="AA7" s="19">
        <f>Mitigation_Industry!AA$55*INDEX(Data_EF!$G:$G,MATCH($G7,Data_EF!$A:$A,0))/1000000</f>
        <v>5.8599746719722035</v>
      </c>
      <c r="AB7" s="19">
        <f>Mitigation_Industry!AB$55*INDEX(Data_EF!$G:$G,MATCH($G7,Data_EF!$A:$A,0))/1000000</f>
        <v>6.0751980925136602</v>
      </c>
      <c r="AC7" s="19">
        <f>Mitigation_Industry!AC$55*INDEX(Data_EF!$G:$G,MATCH($G7,Data_EF!$A:$A,0))/1000000</f>
        <v>6.2949086212833896</v>
      </c>
      <c r="AD7" s="19">
        <f>Mitigation_Industry!AD$55*INDEX(Data_EF!$G:$G,MATCH($G7,Data_EF!$A:$A,0))/1000000</f>
        <v>6.5190815626160781</v>
      </c>
      <c r="AE7" s="19">
        <f>Mitigation_Industry!AE$55*INDEX(Data_EF!$G:$G,MATCH($G7,Data_EF!$A:$A,0))/1000000</f>
        <v>6.7476882845752897</v>
      </c>
    </row>
    <row r="8" spans="1:35" customFormat="1" ht="14.25" x14ac:dyDescent="0.45">
      <c r="B8" s="14" t="s">
        <v>55</v>
      </c>
      <c r="C8" s="14" t="str">
        <f t="shared" si="0"/>
        <v>irn</v>
      </c>
      <c r="D8" s="15" t="s">
        <v>56</v>
      </c>
      <c r="E8" s="16" t="s">
        <v>2068</v>
      </c>
      <c r="F8" s="14" t="s">
        <v>2069</v>
      </c>
      <c r="G8" s="128" t="str">
        <f>Settings!$B$3&amp;".mit.efc."&amp;$B8</f>
        <v>egy.mit.efc.gso</v>
      </c>
      <c r="H8" s="45" t="str">
        <f>Settings!$B$3&amp;".mit.eco2."&amp;$C$5&amp;"."&amp;$B8&amp;".e."&amp;$J$5</f>
        <v>egy.mit.eco2.irn.gso.e.1</v>
      </c>
      <c r="I8" t="s">
        <v>2072</v>
      </c>
      <c r="L8" s="129">
        <f>Mitigation_Industry!L$56*INDEX(Data_EF!$G:$G,MATCH($G8,Data_EF!$A:$A,0))/1000000</f>
        <v>0</v>
      </c>
      <c r="M8" s="19">
        <f>Mitigation_Industry!M$56*INDEX(Data_EF!$G:$G,MATCH($G8,Data_EF!$A:$A,0))/1000000</f>
        <v>0</v>
      </c>
      <c r="N8" s="19">
        <f>Mitigation_Industry!N$56*INDEX(Data_EF!$G:$G,MATCH($G8,Data_EF!$A:$A,0))/1000000</f>
        <v>0</v>
      </c>
      <c r="O8" s="19">
        <f>Mitigation_Industry!O$56*INDEX(Data_EF!$G:$G,MATCH($G8,Data_EF!$A:$A,0))/1000000</f>
        <v>0</v>
      </c>
      <c r="P8" s="19">
        <f>Mitigation_Industry!P$56*INDEX(Data_EF!$G:$G,MATCH($G8,Data_EF!$A:$A,0))/1000000</f>
        <v>0</v>
      </c>
      <c r="Q8" s="19">
        <f>Mitigation_Industry!Q$56*INDEX(Data_EF!$G:$G,MATCH($G8,Data_EF!$A:$A,0))/1000000</f>
        <v>0</v>
      </c>
      <c r="R8" s="19">
        <f>Mitigation_Industry!R$56*INDEX(Data_EF!$G:$G,MATCH($G8,Data_EF!$A:$A,0))/1000000</f>
        <v>0</v>
      </c>
      <c r="S8" s="19">
        <f>Mitigation_Industry!S$56*INDEX(Data_EF!$G:$G,MATCH($G8,Data_EF!$A:$A,0))/1000000</f>
        <v>0</v>
      </c>
      <c r="T8" s="19">
        <f>Mitigation_Industry!T$56*INDEX(Data_EF!$G:$G,MATCH($G8,Data_EF!$A:$A,0))/1000000</f>
        <v>0</v>
      </c>
      <c r="U8" s="19">
        <f>Mitigation_Industry!U$56*INDEX(Data_EF!$G:$G,MATCH($G8,Data_EF!$A:$A,0))/1000000</f>
        <v>0</v>
      </c>
      <c r="V8" s="19">
        <f>Mitigation_Industry!V$56*INDEX(Data_EF!$G:$G,MATCH($G8,Data_EF!$A:$A,0))/1000000</f>
        <v>0</v>
      </c>
      <c r="W8" s="19">
        <f>Mitigation_Industry!W$56*INDEX(Data_EF!$G:$G,MATCH($G8,Data_EF!$A:$A,0))/1000000</f>
        <v>0</v>
      </c>
      <c r="X8" s="19">
        <f>Mitigation_Industry!X$56*INDEX(Data_EF!$G:$G,MATCH($G8,Data_EF!$A:$A,0))/1000000</f>
        <v>0</v>
      </c>
      <c r="Y8" s="19">
        <f>Mitigation_Industry!Y$56*INDEX(Data_EF!$G:$G,MATCH($G8,Data_EF!$A:$A,0))/1000000</f>
        <v>0</v>
      </c>
      <c r="Z8" s="19">
        <f>Mitigation_Industry!Z$56*INDEX(Data_EF!$G:$G,MATCH($G8,Data_EF!$A:$A,0))/1000000</f>
        <v>0</v>
      </c>
      <c r="AA8" s="19">
        <f>Mitigation_Industry!AA$56*INDEX(Data_EF!$G:$G,MATCH($G8,Data_EF!$A:$A,0))/1000000</f>
        <v>0</v>
      </c>
      <c r="AB8" s="19">
        <f>Mitigation_Industry!AB$56*INDEX(Data_EF!$G:$G,MATCH($G8,Data_EF!$A:$A,0))/1000000</f>
        <v>0</v>
      </c>
      <c r="AC8" s="19">
        <f>Mitigation_Industry!AC$56*INDEX(Data_EF!$G:$G,MATCH($G8,Data_EF!$A:$A,0))/1000000</f>
        <v>0</v>
      </c>
      <c r="AD8" s="19">
        <f>Mitigation_Industry!AD$56*INDEX(Data_EF!$G:$G,MATCH($G8,Data_EF!$A:$A,0))/1000000</f>
        <v>0</v>
      </c>
      <c r="AE8" s="19">
        <f>Mitigation_Industry!AE$56*INDEX(Data_EF!$G:$G,MATCH($G8,Data_EF!$A:$A,0))/1000000</f>
        <v>0</v>
      </c>
    </row>
    <row r="9" spans="1:35" customFormat="1" ht="14.25" x14ac:dyDescent="0.45">
      <c r="B9" s="14" t="s">
        <v>58</v>
      </c>
      <c r="C9" s="14" t="str">
        <f t="shared" si="0"/>
        <v>irn</v>
      </c>
      <c r="D9" s="15" t="s">
        <v>59</v>
      </c>
      <c r="E9" s="16" t="s">
        <v>2068</v>
      </c>
      <c r="F9" s="14" t="s">
        <v>2069</v>
      </c>
      <c r="G9" s="128" t="str">
        <f>Settings!$B$3&amp;".mit.efc."&amp;$B9</f>
        <v>egy.mit.efc.die</v>
      </c>
      <c r="H9" s="45" t="str">
        <f>Settings!$B$3&amp;".mit.eco2."&amp;$C$5&amp;"."&amp;$B9&amp;".e."&amp;$J$5</f>
        <v>egy.mit.eco2.irn.die.e.1</v>
      </c>
      <c r="I9" t="s">
        <v>2073</v>
      </c>
      <c r="L9" s="129">
        <f>Mitigation_Industry!L$57*INDEX(Data_EF!$G:$G,MATCH($G9,Data_EF!$A:$A,0))/1000000</f>
        <v>0</v>
      </c>
      <c r="M9" s="19">
        <f>Mitigation_Industry!M$57*INDEX(Data_EF!$G:$G,MATCH($G9,Data_EF!$A:$A,0))/1000000</f>
        <v>0</v>
      </c>
      <c r="N9" s="19">
        <f>Mitigation_Industry!N$57*INDEX(Data_EF!$G:$G,MATCH($G9,Data_EF!$A:$A,0))/1000000</f>
        <v>0</v>
      </c>
      <c r="O9" s="19">
        <f>Mitigation_Industry!O$57*INDEX(Data_EF!$G:$G,MATCH($G9,Data_EF!$A:$A,0))/1000000</f>
        <v>0</v>
      </c>
      <c r="P9" s="19">
        <f>Mitigation_Industry!P$57*INDEX(Data_EF!$G:$G,MATCH($G9,Data_EF!$A:$A,0))/1000000</f>
        <v>0</v>
      </c>
      <c r="Q9" s="19">
        <f>Mitigation_Industry!Q$57*INDEX(Data_EF!$G:$G,MATCH($G9,Data_EF!$A:$A,0))/1000000</f>
        <v>0</v>
      </c>
      <c r="R9" s="19">
        <f>Mitigation_Industry!R$57*INDEX(Data_EF!$G:$G,MATCH($G9,Data_EF!$A:$A,0))/1000000</f>
        <v>0</v>
      </c>
      <c r="S9" s="19">
        <f>Mitigation_Industry!S$57*INDEX(Data_EF!$G:$G,MATCH($G9,Data_EF!$A:$A,0))/1000000</f>
        <v>0</v>
      </c>
      <c r="T9" s="19">
        <f>Mitigation_Industry!T$57*INDEX(Data_EF!$G:$G,MATCH($G9,Data_EF!$A:$A,0))/1000000</f>
        <v>0</v>
      </c>
      <c r="U9" s="19">
        <f>Mitigation_Industry!U$57*INDEX(Data_EF!$G:$G,MATCH($G9,Data_EF!$A:$A,0))/1000000</f>
        <v>0</v>
      </c>
      <c r="V9" s="19">
        <f>Mitigation_Industry!V$57*INDEX(Data_EF!$G:$G,MATCH($G9,Data_EF!$A:$A,0))/1000000</f>
        <v>0</v>
      </c>
      <c r="W9" s="19">
        <f>Mitigation_Industry!W$57*INDEX(Data_EF!$G:$G,MATCH($G9,Data_EF!$A:$A,0))/1000000</f>
        <v>0</v>
      </c>
      <c r="X9" s="19">
        <f>Mitigation_Industry!X$57*INDEX(Data_EF!$G:$G,MATCH($G9,Data_EF!$A:$A,0))/1000000</f>
        <v>0</v>
      </c>
      <c r="Y9" s="19">
        <f>Mitigation_Industry!Y$57*INDEX(Data_EF!$G:$G,MATCH($G9,Data_EF!$A:$A,0))/1000000</f>
        <v>0</v>
      </c>
      <c r="Z9" s="19">
        <f>Mitigation_Industry!Z$57*INDEX(Data_EF!$G:$G,MATCH($G9,Data_EF!$A:$A,0))/1000000</f>
        <v>0</v>
      </c>
      <c r="AA9" s="19">
        <f>Mitigation_Industry!AA$57*INDEX(Data_EF!$G:$G,MATCH($G9,Data_EF!$A:$A,0))/1000000</f>
        <v>0</v>
      </c>
      <c r="AB9" s="19">
        <f>Mitigation_Industry!AB$57*INDEX(Data_EF!$G:$G,MATCH($G9,Data_EF!$A:$A,0))/1000000</f>
        <v>0</v>
      </c>
      <c r="AC9" s="19">
        <f>Mitigation_Industry!AC$57*INDEX(Data_EF!$G:$G,MATCH($G9,Data_EF!$A:$A,0))/1000000</f>
        <v>0</v>
      </c>
      <c r="AD9" s="19">
        <f>Mitigation_Industry!AD$57*INDEX(Data_EF!$G:$G,MATCH($G9,Data_EF!$A:$A,0))/1000000</f>
        <v>0</v>
      </c>
      <c r="AE9" s="19">
        <f>Mitigation_Industry!AE$57*INDEX(Data_EF!$G:$G,MATCH($G9,Data_EF!$A:$A,0))/1000000</f>
        <v>0</v>
      </c>
    </row>
    <row r="10" spans="1:35" customFormat="1" ht="14.25" x14ac:dyDescent="0.45">
      <c r="B10" s="14" t="s">
        <v>60</v>
      </c>
      <c r="C10" s="14" t="str">
        <f t="shared" si="0"/>
        <v>irn</v>
      </c>
      <c r="D10" s="15" t="s">
        <v>61</v>
      </c>
      <c r="E10" s="16" t="s">
        <v>2068</v>
      </c>
      <c r="F10" s="14" t="s">
        <v>2069</v>
      </c>
      <c r="G10" s="128" t="str">
        <f>Settings!$B$3&amp;".mit.efc."&amp;$B10</f>
        <v>egy.mit.efc.lpg</v>
      </c>
      <c r="H10" s="45" t="str">
        <f>Settings!$B$3&amp;".mit.eco2."&amp;$C$5&amp;"."&amp;$B10&amp;".e."&amp;$J$5</f>
        <v>egy.mit.eco2.irn.lpg.e.1</v>
      </c>
      <c r="I10" t="s">
        <v>2074</v>
      </c>
      <c r="L10" s="129">
        <f>Mitigation_Industry!L$58*INDEX(Data_EF!$G:$G,MATCH($G10,Data_EF!$A:$A,0))/1000000</f>
        <v>0</v>
      </c>
      <c r="M10" s="19">
        <f>Mitigation_Industry!M$58*INDEX(Data_EF!$G:$G,MATCH($G10,Data_EF!$A:$A,0))/1000000</f>
        <v>0</v>
      </c>
      <c r="N10" s="19">
        <f>Mitigation_Industry!N$58*INDEX(Data_EF!$G:$G,MATCH($G10,Data_EF!$A:$A,0))/1000000</f>
        <v>0</v>
      </c>
      <c r="O10" s="19">
        <f>Mitigation_Industry!O$58*INDEX(Data_EF!$G:$G,MATCH($G10,Data_EF!$A:$A,0))/1000000</f>
        <v>0</v>
      </c>
      <c r="P10" s="19">
        <f>Mitigation_Industry!P$58*INDEX(Data_EF!$G:$G,MATCH($G10,Data_EF!$A:$A,0))/1000000</f>
        <v>0</v>
      </c>
      <c r="Q10" s="19">
        <f>Mitigation_Industry!Q$58*INDEX(Data_EF!$G:$G,MATCH($G10,Data_EF!$A:$A,0))/1000000</f>
        <v>0</v>
      </c>
      <c r="R10" s="19">
        <f>Mitigation_Industry!R$58*INDEX(Data_EF!$G:$G,MATCH($G10,Data_EF!$A:$A,0))/1000000</f>
        <v>0</v>
      </c>
      <c r="S10" s="19">
        <f>Mitigation_Industry!S$58*INDEX(Data_EF!$G:$G,MATCH($G10,Data_EF!$A:$A,0))/1000000</f>
        <v>0</v>
      </c>
      <c r="T10" s="19">
        <f>Mitigation_Industry!T$58*INDEX(Data_EF!$G:$G,MATCH($G10,Data_EF!$A:$A,0))/1000000</f>
        <v>0</v>
      </c>
      <c r="U10" s="19">
        <f>Mitigation_Industry!U$58*INDEX(Data_EF!$G:$G,MATCH($G10,Data_EF!$A:$A,0))/1000000</f>
        <v>0</v>
      </c>
      <c r="V10" s="19">
        <f>Mitigation_Industry!V$58*INDEX(Data_EF!$G:$G,MATCH($G10,Data_EF!$A:$A,0))/1000000</f>
        <v>0</v>
      </c>
      <c r="W10" s="19">
        <f>Mitigation_Industry!W$58*INDEX(Data_EF!$G:$G,MATCH($G10,Data_EF!$A:$A,0))/1000000</f>
        <v>0</v>
      </c>
      <c r="X10" s="19">
        <f>Mitigation_Industry!X$58*INDEX(Data_EF!$G:$G,MATCH($G10,Data_EF!$A:$A,0))/1000000</f>
        <v>0</v>
      </c>
      <c r="Y10" s="19">
        <f>Mitigation_Industry!Y$58*INDEX(Data_EF!$G:$G,MATCH($G10,Data_EF!$A:$A,0))/1000000</f>
        <v>0</v>
      </c>
      <c r="Z10" s="19">
        <f>Mitigation_Industry!Z$58*INDEX(Data_EF!$G:$G,MATCH($G10,Data_EF!$A:$A,0))/1000000</f>
        <v>0</v>
      </c>
      <c r="AA10" s="19">
        <f>Mitigation_Industry!AA$58*INDEX(Data_EF!$G:$G,MATCH($G10,Data_EF!$A:$A,0))/1000000</f>
        <v>0</v>
      </c>
      <c r="AB10" s="19">
        <f>Mitigation_Industry!AB$58*INDEX(Data_EF!$G:$G,MATCH($G10,Data_EF!$A:$A,0))/1000000</f>
        <v>0</v>
      </c>
      <c r="AC10" s="19">
        <f>Mitigation_Industry!AC$58*INDEX(Data_EF!$G:$G,MATCH($G10,Data_EF!$A:$A,0))/1000000</f>
        <v>0</v>
      </c>
      <c r="AD10" s="19">
        <f>Mitigation_Industry!AD$58*INDEX(Data_EF!$G:$G,MATCH($G10,Data_EF!$A:$A,0))/1000000</f>
        <v>0</v>
      </c>
      <c r="AE10" s="19">
        <f>Mitigation_Industry!AE$58*INDEX(Data_EF!$G:$G,MATCH($G10,Data_EF!$A:$A,0))/1000000</f>
        <v>0</v>
      </c>
    </row>
    <row r="11" spans="1:35" customFormat="1" ht="14.25" x14ac:dyDescent="0.45">
      <c r="B11" s="14" t="s">
        <v>62</v>
      </c>
      <c r="C11" s="14" t="str">
        <f t="shared" si="0"/>
        <v>irn</v>
      </c>
      <c r="D11" s="15" t="s">
        <v>63</v>
      </c>
      <c r="E11" s="16" t="s">
        <v>2068</v>
      </c>
      <c r="F11" s="14" t="s">
        <v>2069</v>
      </c>
      <c r="G11" s="128" t="str">
        <f>Settings!$B$3&amp;".mit.efc."&amp;$B11</f>
        <v>egy.mit.efc.ker</v>
      </c>
      <c r="H11" s="45" t="str">
        <f>Settings!$B$3&amp;".mit.eco2."&amp;$C$5&amp;"."&amp;$B11&amp;".e."&amp;$J$5</f>
        <v>egy.mit.eco2.irn.ker.e.1</v>
      </c>
      <c r="I11" t="s">
        <v>2075</v>
      </c>
      <c r="L11" s="129">
        <f>Mitigation_Industry!L$59*INDEX(Data_EF!$G:$G,MATCH($G11,Data_EF!$A:$A,0))/1000000</f>
        <v>0</v>
      </c>
      <c r="M11" s="19">
        <f>Mitigation_Industry!M$59*INDEX(Data_EF!$G:$G,MATCH($G11,Data_EF!$A:$A,0))/1000000</f>
        <v>0</v>
      </c>
      <c r="N11" s="19">
        <f>Mitigation_Industry!N$59*INDEX(Data_EF!$G:$G,MATCH($G11,Data_EF!$A:$A,0))/1000000</f>
        <v>0</v>
      </c>
      <c r="O11" s="19">
        <f>Mitigation_Industry!O$59*INDEX(Data_EF!$G:$G,MATCH($G11,Data_EF!$A:$A,0))/1000000</f>
        <v>0</v>
      </c>
      <c r="P11" s="19">
        <f>Mitigation_Industry!P$59*INDEX(Data_EF!$G:$G,MATCH($G11,Data_EF!$A:$A,0))/1000000</f>
        <v>0</v>
      </c>
      <c r="Q11" s="19">
        <f>Mitigation_Industry!Q$59*INDEX(Data_EF!$G:$G,MATCH($G11,Data_EF!$A:$A,0))/1000000</f>
        <v>0</v>
      </c>
      <c r="R11" s="19">
        <f>Mitigation_Industry!R$59*INDEX(Data_EF!$G:$G,MATCH($G11,Data_EF!$A:$A,0))/1000000</f>
        <v>0</v>
      </c>
      <c r="S11" s="19">
        <f>Mitigation_Industry!S$59*INDEX(Data_EF!$G:$G,MATCH($G11,Data_EF!$A:$A,0))/1000000</f>
        <v>0</v>
      </c>
      <c r="T11" s="19">
        <f>Mitigation_Industry!T$59*INDEX(Data_EF!$G:$G,MATCH($G11,Data_EF!$A:$A,0))/1000000</f>
        <v>0</v>
      </c>
      <c r="U11" s="19">
        <f>Mitigation_Industry!U$59*INDEX(Data_EF!$G:$G,MATCH($G11,Data_EF!$A:$A,0))/1000000</f>
        <v>0</v>
      </c>
      <c r="V11" s="19">
        <f>Mitigation_Industry!V$59*INDEX(Data_EF!$G:$G,MATCH($G11,Data_EF!$A:$A,0))/1000000</f>
        <v>0</v>
      </c>
      <c r="W11" s="19">
        <f>Mitigation_Industry!W$59*INDEX(Data_EF!$G:$G,MATCH($G11,Data_EF!$A:$A,0))/1000000</f>
        <v>0</v>
      </c>
      <c r="X11" s="19">
        <f>Mitigation_Industry!X$59*INDEX(Data_EF!$G:$G,MATCH($G11,Data_EF!$A:$A,0))/1000000</f>
        <v>0</v>
      </c>
      <c r="Y11" s="19">
        <f>Mitigation_Industry!Y$59*INDEX(Data_EF!$G:$G,MATCH($G11,Data_EF!$A:$A,0))/1000000</f>
        <v>0</v>
      </c>
      <c r="Z11" s="19">
        <f>Mitigation_Industry!Z$59*INDEX(Data_EF!$G:$G,MATCH($G11,Data_EF!$A:$A,0))/1000000</f>
        <v>0</v>
      </c>
      <c r="AA11" s="19">
        <f>Mitigation_Industry!AA$59*INDEX(Data_EF!$G:$G,MATCH($G11,Data_EF!$A:$A,0))/1000000</f>
        <v>0</v>
      </c>
      <c r="AB11" s="19">
        <f>Mitigation_Industry!AB$59*INDEX(Data_EF!$G:$G,MATCH($G11,Data_EF!$A:$A,0))/1000000</f>
        <v>0</v>
      </c>
      <c r="AC11" s="19">
        <f>Mitigation_Industry!AC$59*INDEX(Data_EF!$G:$G,MATCH($G11,Data_EF!$A:$A,0))/1000000</f>
        <v>0</v>
      </c>
      <c r="AD11" s="19">
        <f>Mitigation_Industry!AD$59*INDEX(Data_EF!$G:$G,MATCH($G11,Data_EF!$A:$A,0))/1000000</f>
        <v>0</v>
      </c>
      <c r="AE11" s="19">
        <f>Mitigation_Industry!AE$59*INDEX(Data_EF!$G:$G,MATCH($G11,Data_EF!$A:$A,0))/1000000</f>
        <v>0</v>
      </c>
    </row>
    <row r="12" spans="1:35" customFormat="1" ht="14.25" x14ac:dyDescent="0.45">
      <c r="B12" s="14" t="s">
        <v>64</v>
      </c>
      <c r="C12" s="14" t="str">
        <f t="shared" si="0"/>
        <v>irn</v>
      </c>
      <c r="D12" s="15" t="s">
        <v>65</v>
      </c>
      <c r="E12" s="16" t="s">
        <v>2068</v>
      </c>
      <c r="F12" s="14" t="s">
        <v>2069</v>
      </c>
      <c r="G12" s="128" t="str">
        <f>Settings!$B$3&amp;".mit.efc."&amp;$B12</f>
        <v>egy.mit.efc.oop</v>
      </c>
      <c r="H12" s="45" t="str">
        <f>Settings!$B$3&amp;".mit.eco2."&amp;$C$5&amp;"."&amp;$B12&amp;".e."&amp;$J$5</f>
        <v>egy.mit.eco2.irn.oop.e.1</v>
      </c>
      <c r="I12" t="s">
        <v>2076</v>
      </c>
      <c r="L12" s="129">
        <f>Mitigation_Industry!L$60*INDEX(Data_EF!$G:$G,MATCH($G12,Data_EF!$A:$A,0))/1000000</f>
        <v>0</v>
      </c>
      <c r="M12" s="19">
        <f>Mitigation_Industry!M$60*INDEX(Data_EF!$G:$G,MATCH($G12,Data_EF!$A:$A,0))/1000000</f>
        <v>0</v>
      </c>
      <c r="N12" s="19">
        <f>Mitigation_Industry!N$60*INDEX(Data_EF!$G:$G,MATCH($G12,Data_EF!$A:$A,0))/1000000</f>
        <v>0</v>
      </c>
      <c r="O12" s="19">
        <f>Mitigation_Industry!O$60*INDEX(Data_EF!$G:$G,MATCH($G12,Data_EF!$A:$A,0))/1000000</f>
        <v>0</v>
      </c>
      <c r="P12" s="19">
        <f>Mitigation_Industry!P$60*INDEX(Data_EF!$G:$G,MATCH($G12,Data_EF!$A:$A,0))/1000000</f>
        <v>0</v>
      </c>
      <c r="Q12" s="19">
        <f>Mitigation_Industry!Q$60*INDEX(Data_EF!$G:$G,MATCH($G12,Data_EF!$A:$A,0))/1000000</f>
        <v>0</v>
      </c>
      <c r="R12" s="19">
        <f>Mitigation_Industry!R$60*INDEX(Data_EF!$G:$G,MATCH($G12,Data_EF!$A:$A,0))/1000000</f>
        <v>0</v>
      </c>
      <c r="S12" s="19">
        <f>Mitigation_Industry!S$60*INDEX(Data_EF!$G:$G,MATCH($G12,Data_EF!$A:$A,0))/1000000</f>
        <v>0</v>
      </c>
      <c r="T12" s="19">
        <f>Mitigation_Industry!T$60*INDEX(Data_EF!$G:$G,MATCH($G12,Data_EF!$A:$A,0))/1000000</f>
        <v>0</v>
      </c>
      <c r="U12" s="19">
        <f>Mitigation_Industry!U$60*INDEX(Data_EF!$G:$G,MATCH($G12,Data_EF!$A:$A,0))/1000000</f>
        <v>0</v>
      </c>
      <c r="V12" s="19">
        <f>Mitigation_Industry!V$60*INDEX(Data_EF!$G:$G,MATCH($G12,Data_EF!$A:$A,0))/1000000</f>
        <v>0</v>
      </c>
      <c r="W12" s="19">
        <f>Mitigation_Industry!W$60*INDEX(Data_EF!$G:$G,MATCH($G12,Data_EF!$A:$A,0))/1000000</f>
        <v>0</v>
      </c>
      <c r="X12" s="19">
        <f>Mitigation_Industry!X$60*INDEX(Data_EF!$G:$G,MATCH($G12,Data_EF!$A:$A,0))/1000000</f>
        <v>0</v>
      </c>
      <c r="Y12" s="19">
        <f>Mitigation_Industry!Y$60*INDEX(Data_EF!$G:$G,MATCH($G12,Data_EF!$A:$A,0))/1000000</f>
        <v>0</v>
      </c>
      <c r="Z12" s="19">
        <f>Mitigation_Industry!Z$60*INDEX(Data_EF!$G:$G,MATCH($G12,Data_EF!$A:$A,0))/1000000</f>
        <v>0</v>
      </c>
      <c r="AA12" s="19">
        <f>Mitigation_Industry!AA$60*INDEX(Data_EF!$G:$G,MATCH($G12,Data_EF!$A:$A,0))/1000000</f>
        <v>0</v>
      </c>
      <c r="AB12" s="19">
        <f>Mitigation_Industry!AB$60*INDEX(Data_EF!$G:$G,MATCH($G12,Data_EF!$A:$A,0))/1000000</f>
        <v>0</v>
      </c>
      <c r="AC12" s="19">
        <f>Mitigation_Industry!AC$60*INDEX(Data_EF!$G:$G,MATCH($G12,Data_EF!$A:$A,0))/1000000</f>
        <v>0</v>
      </c>
      <c r="AD12" s="19">
        <f>Mitigation_Industry!AD$60*INDEX(Data_EF!$G:$G,MATCH($G12,Data_EF!$A:$A,0))/1000000</f>
        <v>0</v>
      </c>
      <c r="AE12" s="19">
        <f>Mitigation_Industry!AE$60*INDEX(Data_EF!$G:$G,MATCH($G12,Data_EF!$A:$A,0))/1000000</f>
        <v>0</v>
      </c>
    </row>
    <row r="13" spans="1:35" customFormat="1" ht="14.25" x14ac:dyDescent="0.45">
      <c r="B13" s="14" t="s">
        <v>67</v>
      </c>
      <c r="C13" s="14" t="str">
        <f t="shared" si="0"/>
        <v>irn</v>
      </c>
      <c r="D13" s="15" t="s">
        <v>68</v>
      </c>
      <c r="E13" s="16" t="s">
        <v>2068</v>
      </c>
      <c r="F13" s="14" t="s">
        <v>2069</v>
      </c>
      <c r="G13" s="128" t="str">
        <f>Settings!$B$3&amp;".mit.efc."&amp;$B13</f>
        <v>egy.mit.efc.bio</v>
      </c>
      <c r="H13" s="45" t="str">
        <f>Settings!$B$3&amp;".mit.eco2."&amp;$C$5&amp;"."&amp;$B13&amp;".e."&amp;$J$5</f>
        <v>egy.mit.eco2.irn.bio.e.1</v>
      </c>
      <c r="I13" t="s">
        <v>2077</v>
      </c>
      <c r="L13" s="129">
        <f>Mitigation_Industry!L$61*INDEX(Data_EF!$G:$G,MATCH($G13,Data_EF!$A:$A,0))/1000000</f>
        <v>0</v>
      </c>
      <c r="M13" s="19">
        <f>Mitigation_Industry!M$61*INDEX(Data_EF!$G:$G,MATCH($G13,Data_EF!$A:$A,0))/1000000</f>
        <v>0</v>
      </c>
      <c r="N13" s="19">
        <f>Mitigation_Industry!N$61*INDEX(Data_EF!$G:$G,MATCH($G13,Data_EF!$A:$A,0))/1000000</f>
        <v>0</v>
      </c>
      <c r="O13" s="19">
        <f>Mitigation_Industry!O$61*INDEX(Data_EF!$G:$G,MATCH($G13,Data_EF!$A:$A,0))/1000000</f>
        <v>0</v>
      </c>
      <c r="P13" s="19">
        <f>Mitigation_Industry!P$61*INDEX(Data_EF!$G:$G,MATCH($G13,Data_EF!$A:$A,0))/1000000</f>
        <v>0</v>
      </c>
      <c r="Q13" s="19">
        <f>Mitigation_Industry!Q$61*INDEX(Data_EF!$G:$G,MATCH($G13,Data_EF!$A:$A,0))/1000000</f>
        <v>0</v>
      </c>
      <c r="R13" s="19">
        <f>Mitigation_Industry!R$61*INDEX(Data_EF!$G:$G,MATCH($G13,Data_EF!$A:$A,0))/1000000</f>
        <v>0</v>
      </c>
      <c r="S13" s="19">
        <f>Mitigation_Industry!S$61*INDEX(Data_EF!$G:$G,MATCH($G13,Data_EF!$A:$A,0))/1000000</f>
        <v>0</v>
      </c>
      <c r="T13" s="19">
        <f>Mitigation_Industry!T$61*INDEX(Data_EF!$G:$G,MATCH($G13,Data_EF!$A:$A,0))/1000000</f>
        <v>0</v>
      </c>
      <c r="U13" s="19">
        <f>Mitigation_Industry!U$61*INDEX(Data_EF!$G:$G,MATCH($G13,Data_EF!$A:$A,0))/1000000</f>
        <v>0</v>
      </c>
      <c r="V13" s="19">
        <f>Mitigation_Industry!V$61*INDEX(Data_EF!$G:$G,MATCH($G13,Data_EF!$A:$A,0))/1000000</f>
        <v>0</v>
      </c>
      <c r="W13" s="19">
        <f>Mitigation_Industry!W$61*INDEX(Data_EF!$G:$G,MATCH($G13,Data_EF!$A:$A,0))/1000000</f>
        <v>0</v>
      </c>
      <c r="X13" s="19">
        <f>Mitigation_Industry!X$61*INDEX(Data_EF!$G:$G,MATCH($G13,Data_EF!$A:$A,0))/1000000</f>
        <v>0</v>
      </c>
      <c r="Y13" s="19">
        <f>Mitigation_Industry!Y$61*INDEX(Data_EF!$G:$G,MATCH($G13,Data_EF!$A:$A,0))/1000000</f>
        <v>0</v>
      </c>
      <c r="Z13" s="19">
        <f>Mitigation_Industry!Z$61*INDEX(Data_EF!$G:$G,MATCH($G13,Data_EF!$A:$A,0))/1000000</f>
        <v>0</v>
      </c>
      <c r="AA13" s="19">
        <f>Mitigation_Industry!AA$61*INDEX(Data_EF!$G:$G,MATCH($G13,Data_EF!$A:$A,0))/1000000</f>
        <v>0</v>
      </c>
      <c r="AB13" s="19">
        <f>Mitigation_Industry!AB$61*INDEX(Data_EF!$G:$G,MATCH($G13,Data_EF!$A:$A,0))/1000000</f>
        <v>0</v>
      </c>
      <c r="AC13" s="19">
        <f>Mitigation_Industry!AC$61*INDEX(Data_EF!$G:$G,MATCH($G13,Data_EF!$A:$A,0))/1000000</f>
        <v>0</v>
      </c>
      <c r="AD13" s="19">
        <f>Mitigation_Industry!AD$61*INDEX(Data_EF!$G:$G,MATCH($G13,Data_EF!$A:$A,0))/1000000</f>
        <v>0</v>
      </c>
      <c r="AE13" s="19">
        <f>Mitigation_Industry!AE$61*INDEX(Data_EF!$G:$G,MATCH($G13,Data_EF!$A:$A,0))/1000000</f>
        <v>0</v>
      </c>
    </row>
    <row r="14" spans="1:35" customFormat="1" ht="14.25" x14ac:dyDescent="0.45">
      <c r="B14" s="14" t="s">
        <v>69</v>
      </c>
      <c r="C14" s="14" t="str">
        <f t="shared" si="0"/>
        <v>irn</v>
      </c>
      <c r="D14" s="15" t="s">
        <v>70</v>
      </c>
      <c r="E14" s="16" t="s">
        <v>2068</v>
      </c>
      <c r="F14" s="14" t="s">
        <v>2069</v>
      </c>
      <c r="G14" s="128" t="str">
        <f>Settings!$B$3&amp;".mit.efc."&amp;$B14</f>
        <v>egy.mit.efc.ren</v>
      </c>
      <c r="H14" s="45" t="str">
        <f>Settings!$B$3&amp;".mit.eco2."&amp;$C$5&amp;"."&amp;$B14&amp;".e."&amp;$J$5</f>
        <v>egy.mit.eco2.irn.ren.e.1</v>
      </c>
      <c r="I14" t="s">
        <v>2078</v>
      </c>
      <c r="L14" s="129">
        <f>Mitigation_Industry!L$62*INDEX(Data_EF!$G:$G,MATCH($G14,Data_EF!$A:$A,0))/1000000</f>
        <v>0</v>
      </c>
      <c r="M14" s="19">
        <f>Mitigation_Industry!M$62*INDEX(Data_EF!$G:$G,MATCH($G14,Data_EF!$A:$A,0))/1000000</f>
        <v>0</v>
      </c>
      <c r="N14" s="19">
        <f>Mitigation_Industry!N$62*INDEX(Data_EF!$G:$G,MATCH($G14,Data_EF!$A:$A,0))/1000000</f>
        <v>0</v>
      </c>
      <c r="O14" s="19">
        <f>Mitigation_Industry!O$62*INDEX(Data_EF!$G:$G,MATCH($G14,Data_EF!$A:$A,0))/1000000</f>
        <v>0</v>
      </c>
      <c r="P14" s="19">
        <f>Mitigation_Industry!P$62*INDEX(Data_EF!$G:$G,MATCH($G14,Data_EF!$A:$A,0))/1000000</f>
        <v>0</v>
      </c>
      <c r="Q14" s="19">
        <f>Mitigation_Industry!Q$62*INDEX(Data_EF!$G:$G,MATCH($G14,Data_EF!$A:$A,0))/1000000</f>
        <v>0</v>
      </c>
      <c r="R14" s="19">
        <f>Mitigation_Industry!R$62*INDEX(Data_EF!$G:$G,MATCH($G14,Data_EF!$A:$A,0))/1000000</f>
        <v>0</v>
      </c>
      <c r="S14" s="19">
        <f>Mitigation_Industry!S$62*INDEX(Data_EF!$G:$G,MATCH($G14,Data_EF!$A:$A,0))/1000000</f>
        <v>0</v>
      </c>
      <c r="T14" s="19">
        <f>Mitigation_Industry!T$62*INDEX(Data_EF!$G:$G,MATCH($G14,Data_EF!$A:$A,0))/1000000</f>
        <v>0</v>
      </c>
      <c r="U14" s="19">
        <f>Mitigation_Industry!U$62*INDEX(Data_EF!$G:$G,MATCH($G14,Data_EF!$A:$A,0))/1000000</f>
        <v>0</v>
      </c>
      <c r="V14" s="19">
        <f>Mitigation_Industry!V$62*INDEX(Data_EF!$G:$G,MATCH($G14,Data_EF!$A:$A,0))/1000000</f>
        <v>0</v>
      </c>
      <c r="W14" s="19">
        <f>Mitigation_Industry!W$62*INDEX(Data_EF!$G:$G,MATCH($G14,Data_EF!$A:$A,0))/1000000</f>
        <v>0</v>
      </c>
      <c r="X14" s="19">
        <f>Mitigation_Industry!X$62*INDEX(Data_EF!$G:$G,MATCH($G14,Data_EF!$A:$A,0))/1000000</f>
        <v>0</v>
      </c>
      <c r="Y14" s="19">
        <f>Mitigation_Industry!Y$62*INDEX(Data_EF!$G:$G,MATCH($G14,Data_EF!$A:$A,0))/1000000</f>
        <v>0</v>
      </c>
      <c r="Z14" s="19">
        <f>Mitigation_Industry!Z$62*INDEX(Data_EF!$G:$G,MATCH($G14,Data_EF!$A:$A,0))/1000000</f>
        <v>0</v>
      </c>
      <c r="AA14" s="19">
        <f>Mitigation_Industry!AA$62*INDEX(Data_EF!$G:$G,MATCH($G14,Data_EF!$A:$A,0))/1000000</f>
        <v>0</v>
      </c>
      <c r="AB14" s="19">
        <f>Mitigation_Industry!AB$62*INDEX(Data_EF!$G:$G,MATCH($G14,Data_EF!$A:$A,0))/1000000</f>
        <v>0</v>
      </c>
      <c r="AC14" s="19">
        <f>Mitigation_Industry!AC$62*INDEX(Data_EF!$G:$G,MATCH($G14,Data_EF!$A:$A,0))/1000000</f>
        <v>0</v>
      </c>
      <c r="AD14" s="19">
        <f>Mitigation_Industry!AD$62*INDEX(Data_EF!$G:$G,MATCH($G14,Data_EF!$A:$A,0))/1000000</f>
        <v>0</v>
      </c>
      <c r="AE14" s="19">
        <f>Mitigation_Industry!AE$62*INDEX(Data_EF!$G:$G,MATCH($G14,Data_EF!$A:$A,0))/1000000</f>
        <v>0</v>
      </c>
    </row>
    <row r="15" spans="1:35" customFormat="1" ht="14.25" x14ac:dyDescent="0.45">
      <c r="B15" s="14" t="s">
        <v>110</v>
      </c>
      <c r="C15" s="14" t="str">
        <f t="shared" si="0"/>
        <v>irn</v>
      </c>
      <c r="D15" s="25" t="s">
        <v>111</v>
      </c>
      <c r="E15" s="16" t="s">
        <v>2068</v>
      </c>
      <c r="F15" s="14" t="s">
        <v>2069</v>
      </c>
      <c r="H15" s="45" t="str">
        <f>Settings!$B$3&amp;".mit.eco2."&amp;$C$5&amp;".tot.e."&amp;$J$5</f>
        <v>egy.mit.eco2.irn.tot.e.1</v>
      </c>
      <c r="L15" s="130">
        <f t="shared" ref="L15:AE15" si="1">SUM(L6:L14)</f>
        <v>4.5303835184019645</v>
      </c>
      <c r="M15" s="130">
        <f t="shared" si="1"/>
        <v>3.8469033618625206</v>
      </c>
      <c r="N15" s="130">
        <f t="shared" si="1"/>
        <v>4.3290746208215198</v>
      </c>
      <c r="O15" s="130">
        <f t="shared" si="1"/>
        <v>4.5451606543512009</v>
      </c>
      <c r="P15" s="130">
        <f t="shared" si="1"/>
        <v>4.6606527233890995</v>
      </c>
      <c r="Q15" s="130">
        <f t="shared" si="1"/>
        <v>4.8330795942744347</v>
      </c>
      <c r="R15" s="130">
        <f t="shared" si="1"/>
        <v>5.0529306123252606</v>
      </c>
      <c r="S15" s="130">
        <f t="shared" si="1"/>
        <v>5.2667916999615381</v>
      </c>
      <c r="T15" s="130">
        <f t="shared" si="1"/>
        <v>5.4699790897750464</v>
      </c>
      <c r="U15" s="130">
        <f t="shared" si="1"/>
        <v>5.6771103604276671</v>
      </c>
      <c r="V15" s="130">
        <f t="shared" si="1"/>
        <v>5.8842858461533165</v>
      </c>
      <c r="W15" s="130">
        <f t="shared" si="1"/>
        <v>6.0960674143926461</v>
      </c>
      <c r="X15" s="130">
        <f t="shared" si="1"/>
        <v>6.3124466882788575</v>
      </c>
      <c r="Y15" s="130">
        <f t="shared" si="1"/>
        <v>6.5334118787127196</v>
      </c>
      <c r="Z15" s="130">
        <f t="shared" si="1"/>
        <v>6.7589477212745512</v>
      </c>
      <c r="AA15" s="130">
        <f t="shared" si="1"/>
        <v>6.9890354050403589</v>
      </c>
      <c r="AB15" s="130">
        <f t="shared" si="1"/>
        <v>7.2236524927720804</v>
      </c>
      <c r="AC15" s="130">
        <f t="shared" si="1"/>
        <v>7.4627728319721847</v>
      </c>
      <c r="AD15" s="130">
        <f t="shared" si="1"/>
        <v>7.7063664563130869</v>
      </c>
      <c r="AE15" s="130">
        <f t="shared" si="1"/>
        <v>7.9543994769708668</v>
      </c>
    </row>
    <row r="17" spans="1:35" customFormat="1" ht="14.25" x14ac:dyDescent="0.45">
      <c r="A17" s="11"/>
      <c r="B17" s="6" t="s">
        <v>112</v>
      </c>
      <c r="C17" s="7" t="s">
        <v>113</v>
      </c>
      <c r="D17" s="6" t="s">
        <v>44</v>
      </c>
      <c r="E17" s="7" t="s">
        <v>35</v>
      </c>
      <c r="F17" s="7" t="s">
        <v>45</v>
      </c>
      <c r="G17" s="7" t="s">
        <v>2067</v>
      </c>
      <c r="H17" s="12" t="s">
        <v>38</v>
      </c>
      <c r="I17" s="6" t="s">
        <v>47</v>
      </c>
      <c r="J17" s="48">
        <v>1</v>
      </c>
      <c r="K17" s="6">
        <v>2021</v>
      </c>
      <c r="L17" s="46">
        <v>2022</v>
      </c>
      <c r="M17" s="6">
        <v>2023</v>
      </c>
      <c r="N17" s="6">
        <v>2024</v>
      </c>
      <c r="O17" s="6">
        <v>2025</v>
      </c>
      <c r="P17" s="6">
        <v>2026</v>
      </c>
      <c r="Q17" s="6">
        <v>2027</v>
      </c>
      <c r="R17" s="6">
        <v>2028</v>
      </c>
      <c r="S17" s="6">
        <v>2029</v>
      </c>
      <c r="T17" s="6">
        <v>2030</v>
      </c>
      <c r="U17" s="6">
        <v>2031</v>
      </c>
      <c r="V17" s="6">
        <v>2032</v>
      </c>
      <c r="W17" s="6">
        <v>2033</v>
      </c>
      <c r="X17" s="6">
        <v>2034</v>
      </c>
      <c r="Y17" s="6">
        <v>2035</v>
      </c>
      <c r="Z17" s="6">
        <v>2036</v>
      </c>
      <c r="AA17" s="6">
        <v>2037</v>
      </c>
      <c r="AB17" s="6">
        <v>2038</v>
      </c>
      <c r="AC17" s="6">
        <v>2039</v>
      </c>
      <c r="AD17" s="6">
        <v>2040</v>
      </c>
      <c r="AE17" s="6">
        <v>2041</v>
      </c>
      <c r="AF17" s="6">
        <v>2042</v>
      </c>
      <c r="AG17" s="6">
        <v>2043</v>
      </c>
      <c r="AH17" s="6">
        <v>2044</v>
      </c>
      <c r="AI17" s="6">
        <v>2045</v>
      </c>
    </row>
    <row r="18" spans="1:35" customFormat="1" ht="14.25" x14ac:dyDescent="0.45">
      <c r="B18" s="14" t="s">
        <v>49</v>
      </c>
      <c r="C18" s="14" t="str">
        <f t="shared" ref="C18:C27" si="2">$C$17</f>
        <v>cem</v>
      </c>
      <c r="D18" s="15" t="s">
        <v>50</v>
      </c>
      <c r="E18" s="16" t="s">
        <v>2068</v>
      </c>
      <c r="F18" s="14" t="s">
        <v>2069</v>
      </c>
      <c r="G18" s="128" t="str">
        <f>Settings!$B$3&amp;".mit.efc."&amp;$B18</f>
        <v>egy.mit.efc.coa</v>
      </c>
      <c r="H18" s="45" t="str">
        <f>Settings!$B$3&amp;".mit.eco2."&amp;$C$17&amp;"."&amp;$B18&amp;".e."&amp;$J$17</f>
        <v>egy.mit.eco2.cem.coa.e.1</v>
      </c>
      <c r="I18" t="s">
        <v>2079</v>
      </c>
      <c r="L18" s="129">
        <f>Mitigation_Industry!L$114*INDEX(Data_EF!$G:$G,MATCH($G18,Data_EF!$A:$A,0))/1000000</f>
        <v>5.6943750017529693</v>
      </c>
      <c r="M18" s="19">
        <f>Mitigation_Industry!M$114*INDEX(Data_EF!$G:$G,MATCH($G18,Data_EF!$A:$A,0))/1000000</f>
        <v>4.6369239864204763</v>
      </c>
      <c r="N18" s="19">
        <f>Mitigation_Industry!N$114*INDEX(Data_EF!$G:$G,MATCH($G18,Data_EF!$A:$A,0))/1000000</f>
        <v>5.3289940373086706</v>
      </c>
      <c r="O18" s="19">
        <f>Mitigation_Industry!O$114*INDEX(Data_EF!$G:$G,MATCH($G18,Data_EF!$A:$A,0))/1000000</f>
        <v>5.8226400268160949</v>
      </c>
      <c r="P18" s="19">
        <f>Mitigation_Industry!P$114*INDEX(Data_EF!$G:$G,MATCH($G18,Data_EF!$A:$A,0))/1000000</f>
        <v>5.694196680592964</v>
      </c>
      <c r="Q18" s="19">
        <f>Mitigation_Industry!Q$114*INDEX(Data_EF!$G:$G,MATCH($G18,Data_EF!$A:$A,0))/1000000</f>
        <v>5.7601057009142922</v>
      </c>
      <c r="R18" s="19">
        <f>Mitigation_Industry!R$114*INDEX(Data_EF!$G:$G,MATCH($G18,Data_EF!$A:$A,0))/1000000</f>
        <v>5.9194599508679602</v>
      </c>
      <c r="S18" s="19">
        <f>Mitigation_Industry!S$114*INDEX(Data_EF!$G:$G,MATCH($G18,Data_EF!$A:$A,0))/1000000</f>
        <v>6.0746324504320475</v>
      </c>
      <c r="T18" s="19">
        <f>Mitigation_Industry!T$114*INDEX(Data_EF!$G:$G,MATCH($G18,Data_EF!$A:$A,0))/1000000</f>
        <v>6.2232985797435489</v>
      </c>
      <c r="U18" s="19">
        <f>Mitigation_Industry!U$114*INDEX(Data_EF!$G:$G,MATCH($G18,Data_EF!$A:$A,0))/1000000</f>
        <v>6.3723191532628016</v>
      </c>
      <c r="V18" s="19">
        <f>Mitigation_Industry!V$114*INDEX(Data_EF!$G:$G,MATCH($G18,Data_EF!$A:$A,0))/1000000</f>
        <v>6.492960286993287</v>
      </c>
      <c r="W18" s="19">
        <f>Mitigation_Industry!W$114*INDEX(Data_EF!$G:$G,MATCH($G18,Data_EF!$A:$A,0))/1000000</f>
        <v>6.613905843853602</v>
      </c>
      <c r="X18" s="19">
        <f>Mitigation_Industry!X$114*INDEX(Data_EF!$G:$G,MATCH($G18,Data_EF!$A:$A,0))/1000000</f>
        <v>6.7351213505468737</v>
      </c>
      <c r="Y18" s="19">
        <f>Mitigation_Industry!Y$114*INDEX(Data_EF!$G:$G,MATCH($G18,Data_EF!$A:$A,0))/1000000</f>
        <v>6.8565726375814</v>
      </c>
      <c r="Z18" s="19">
        <f>Mitigation_Industry!Z$114*INDEX(Data_EF!$G:$G,MATCH($G18,Data_EF!$A:$A,0))/1000000</f>
        <v>6.9782258103334902</v>
      </c>
      <c r="AA18" s="19">
        <f>Mitigation_Industry!AA$114*INDEX(Data_EF!$G:$G,MATCH($G18,Data_EF!$A:$A,0))/1000000</f>
        <v>7.1000472170038744</v>
      </c>
      <c r="AB18" s="19">
        <f>Mitigation_Industry!AB$114*INDEX(Data_EF!$G:$G,MATCH($G18,Data_EF!$A:$A,0))/1000000</f>
        <v>7.2220034136272044</v>
      </c>
      <c r="AC18" s="19">
        <f>Mitigation_Industry!AC$114*INDEX(Data_EF!$G:$G,MATCH($G18,Data_EF!$A:$A,0))/1000000</f>
        <v>7.3440611262838669</v>
      </c>
      <c r="AD18" s="19">
        <f>Mitigation_Industry!AD$114*INDEX(Data_EF!$G:$G,MATCH($G18,Data_EF!$A:$A,0))/1000000</f>
        <v>7.4661872106532003</v>
      </c>
      <c r="AE18" s="19">
        <f>Mitigation_Industry!AE$114*INDEX(Data_EF!$G:$G,MATCH($G18,Data_EF!$A:$A,0))/1000000</f>
        <v>7.5883486090366583</v>
      </c>
    </row>
    <row r="19" spans="1:35" customFormat="1" ht="14.25" x14ac:dyDescent="0.45">
      <c r="B19" s="14" t="s">
        <v>53</v>
      </c>
      <c r="C19" s="14" t="str">
        <f t="shared" si="2"/>
        <v>cem</v>
      </c>
      <c r="D19" s="15" t="s">
        <v>54</v>
      </c>
      <c r="E19" s="16" t="s">
        <v>2068</v>
      </c>
      <c r="F19" s="14" t="s">
        <v>2069</v>
      </c>
      <c r="G19" s="128" t="str">
        <f>Settings!$B$3&amp;".mit.efc."&amp;$B19</f>
        <v>egy.mit.efc.nga</v>
      </c>
      <c r="H19" s="45" t="str">
        <f>Settings!$B$3&amp;".mit.eco2."&amp;$C$17&amp;"."&amp;$B19&amp;".e."&amp;$J$17</f>
        <v>egy.mit.eco2.cem.nga.e.1</v>
      </c>
      <c r="I19" t="s">
        <v>2080</v>
      </c>
      <c r="L19" s="129">
        <f>Mitigation_Industry!L$115*INDEX(Data_EF!$G:$G,MATCH($G19,Data_EF!$A:$A,0))/1000000</f>
        <v>3.7949824443793374</v>
      </c>
      <c r="M19" s="19">
        <f>Mitigation_Industry!M$115*INDEX(Data_EF!$G:$G,MATCH($G19,Data_EF!$A:$A,0))/1000000</f>
        <v>3.2554738817530007</v>
      </c>
      <c r="N19" s="19">
        <f>Mitigation_Industry!N$115*INDEX(Data_EF!$G:$G,MATCH($G19,Data_EF!$A:$A,0))/1000000</f>
        <v>3.645055860732914</v>
      </c>
      <c r="O19" s="19">
        <f>Mitigation_Industry!O$115*INDEX(Data_EF!$G:$G,MATCH($G19,Data_EF!$A:$A,0))/1000000</f>
        <v>3.7890989172597216</v>
      </c>
      <c r="P19" s="19">
        <f>Mitigation_Industry!P$115*INDEX(Data_EF!$G:$G,MATCH($G19,Data_EF!$A:$A,0))/1000000</f>
        <v>3.9313953380014977</v>
      </c>
      <c r="Q19" s="19">
        <f>Mitigation_Industry!Q$115*INDEX(Data_EF!$G:$G,MATCH($G19,Data_EF!$A:$A,0))/1000000</f>
        <v>4.1009419546431589</v>
      </c>
      <c r="R19" s="19">
        <f>Mitigation_Industry!R$115*INDEX(Data_EF!$G:$G,MATCH($G19,Data_EF!$A:$A,0))/1000000</f>
        <v>4.3045812714842988</v>
      </c>
      <c r="S19" s="19">
        <f>Mitigation_Industry!S$115*INDEX(Data_EF!$G:$G,MATCH($G19,Data_EF!$A:$A,0))/1000000</f>
        <v>4.5026457278565717</v>
      </c>
      <c r="T19" s="19">
        <f>Mitigation_Industry!T$115*INDEX(Data_EF!$G:$G,MATCH($G19,Data_EF!$A:$A,0))/1000000</f>
        <v>4.6906187447716201</v>
      </c>
      <c r="U19" s="19">
        <f>Mitigation_Industry!U$115*INDEX(Data_EF!$G:$G,MATCH($G19,Data_EF!$A:$A,0))/1000000</f>
        <v>4.8826617333372262</v>
      </c>
      <c r="V19" s="19">
        <f>Mitigation_Industry!V$115*INDEX(Data_EF!$G:$G,MATCH($G19,Data_EF!$A:$A,0))/1000000</f>
        <v>5.0794757641412973</v>
      </c>
      <c r="W19" s="19">
        <f>Mitigation_Industry!W$115*INDEX(Data_EF!$G:$G,MATCH($G19,Data_EF!$A:$A,0))/1000000</f>
        <v>5.2810613755300508</v>
      </c>
      <c r="X19" s="19">
        <f>Mitigation_Industry!X$115*INDEX(Data_EF!$G:$G,MATCH($G19,Data_EF!$A:$A,0))/1000000</f>
        <v>5.4874155367682969</v>
      </c>
      <c r="Y19" s="19">
        <f>Mitigation_Industry!Y$115*INDEX(Data_EF!$G:$G,MATCH($G19,Data_EF!$A:$A,0))/1000000</f>
        <v>5.6985315941610892</v>
      </c>
      <c r="Z19" s="19">
        <f>Mitigation_Industry!Z$115*INDEX(Data_EF!$G:$G,MATCH($G19,Data_EF!$A:$A,0))/1000000</f>
        <v>5.9143992098223839</v>
      </c>
      <c r="AA19" s="19">
        <f>Mitigation_Industry!AA$115*INDEX(Data_EF!$G:$G,MATCH($G19,Data_EF!$A:$A,0))/1000000</f>
        <v>6.1350042924850161</v>
      </c>
      <c r="AB19" s="19">
        <f>Mitigation_Industry!AB$115*INDEX(Data_EF!$G:$G,MATCH($G19,Data_EF!$A:$A,0))/1000000</f>
        <v>6.3603289197706081</v>
      </c>
      <c r="AC19" s="19">
        <f>Mitigation_Industry!AC$115*INDEX(Data_EF!$G:$G,MATCH($G19,Data_EF!$A:$A,0))/1000000</f>
        <v>6.5903512513607865</v>
      </c>
      <c r="AD19" s="19">
        <f>Mitigation_Industry!AD$115*INDEX(Data_EF!$G:$G,MATCH($G19,Data_EF!$A:$A,0))/1000000</f>
        <v>6.8250454325341288</v>
      </c>
      <c r="AE19" s="19">
        <f>Mitigation_Industry!AE$115*INDEX(Data_EF!$G:$G,MATCH($G19,Data_EF!$A:$A,0))/1000000</f>
        <v>7.0643814875547699</v>
      </c>
    </row>
    <row r="20" spans="1:35" customFormat="1" ht="14.25" x14ac:dyDescent="0.45">
      <c r="B20" s="14" t="s">
        <v>55</v>
      </c>
      <c r="C20" s="14" t="str">
        <f t="shared" si="2"/>
        <v>cem</v>
      </c>
      <c r="D20" s="15" t="s">
        <v>56</v>
      </c>
      <c r="E20" s="16" t="s">
        <v>2068</v>
      </c>
      <c r="F20" s="14" t="s">
        <v>2069</v>
      </c>
      <c r="G20" s="128" t="str">
        <f>Settings!$B$3&amp;".mit.efc."&amp;$B20</f>
        <v>egy.mit.efc.gso</v>
      </c>
      <c r="H20" s="45" t="str">
        <f>Settings!$B$3&amp;".mit.eco2."&amp;$C$17&amp;"."&amp;$B20&amp;".e."&amp;$J$17</f>
        <v>egy.mit.eco2.cem.gso.e.1</v>
      </c>
      <c r="I20" t="s">
        <v>2081</v>
      </c>
      <c r="L20" s="129">
        <f>Mitigation_Industry!L$116*INDEX(Data_EF!$G:$G,MATCH($G20,Data_EF!$A:$A,0))/1000000</f>
        <v>0</v>
      </c>
      <c r="M20" s="19">
        <f>Mitigation_Industry!M$116*INDEX(Data_EF!$G:$G,MATCH($G20,Data_EF!$A:$A,0))/1000000</f>
        <v>0</v>
      </c>
      <c r="N20" s="19">
        <f>Mitigation_Industry!N$116*INDEX(Data_EF!$G:$G,MATCH($G20,Data_EF!$A:$A,0))/1000000</f>
        <v>0</v>
      </c>
      <c r="O20" s="19">
        <f>Mitigation_Industry!O$116*INDEX(Data_EF!$G:$G,MATCH($G20,Data_EF!$A:$A,0))/1000000</f>
        <v>0</v>
      </c>
      <c r="P20" s="19">
        <f>Mitigation_Industry!P$116*INDEX(Data_EF!$G:$G,MATCH($G20,Data_EF!$A:$A,0))/1000000</f>
        <v>0</v>
      </c>
      <c r="Q20" s="19">
        <f>Mitigation_Industry!Q$116*INDEX(Data_EF!$G:$G,MATCH($G20,Data_EF!$A:$A,0))/1000000</f>
        <v>0</v>
      </c>
      <c r="R20" s="19">
        <f>Mitigation_Industry!R$116*INDEX(Data_EF!$G:$G,MATCH($G20,Data_EF!$A:$A,0))/1000000</f>
        <v>0</v>
      </c>
      <c r="S20" s="19">
        <f>Mitigation_Industry!S$116*INDEX(Data_EF!$G:$G,MATCH($G20,Data_EF!$A:$A,0))/1000000</f>
        <v>0</v>
      </c>
      <c r="T20" s="19">
        <f>Mitigation_Industry!T$116*INDEX(Data_EF!$G:$G,MATCH($G20,Data_EF!$A:$A,0))/1000000</f>
        <v>0</v>
      </c>
      <c r="U20" s="19">
        <f>Mitigation_Industry!U$116*INDEX(Data_EF!$G:$G,MATCH($G20,Data_EF!$A:$A,0))/1000000</f>
        <v>0</v>
      </c>
      <c r="V20" s="19">
        <f>Mitigation_Industry!V$116*INDEX(Data_EF!$G:$G,MATCH($G20,Data_EF!$A:$A,0))/1000000</f>
        <v>0</v>
      </c>
      <c r="W20" s="19">
        <f>Mitigation_Industry!W$116*INDEX(Data_EF!$G:$G,MATCH($G20,Data_EF!$A:$A,0))/1000000</f>
        <v>0</v>
      </c>
      <c r="X20" s="19">
        <f>Mitigation_Industry!X$116*INDEX(Data_EF!$G:$G,MATCH($G20,Data_EF!$A:$A,0))/1000000</f>
        <v>0</v>
      </c>
      <c r="Y20" s="19">
        <f>Mitigation_Industry!Y$116*INDEX(Data_EF!$G:$G,MATCH($G20,Data_EF!$A:$A,0))/1000000</f>
        <v>0</v>
      </c>
      <c r="Z20" s="19">
        <f>Mitigation_Industry!Z$116*INDEX(Data_EF!$G:$G,MATCH($G20,Data_EF!$A:$A,0))/1000000</f>
        <v>0</v>
      </c>
      <c r="AA20" s="19">
        <f>Mitigation_Industry!AA$116*INDEX(Data_EF!$G:$G,MATCH($G20,Data_EF!$A:$A,0))/1000000</f>
        <v>0</v>
      </c>
      <c r="AB20" s="19">
        <f>Mitigation_Industry!AB$116*INDEX(Data_EF!$G:$G,MATCH($G20,Data_EF!$A:$A,0))/1000000</f>
        <v>0</v>
      </c>
      <c r="AC20" s="19">
        <f>Mitigation_Industry!AC$116*INDEX(Data_EF!$G:$G,MATCH($G20,Data_EF!$A:$A,0))/1000000</f>
        <v>0</v>
      </c>
      <c r="AD20" s="19">
        <f>Mitigation_Industry!AD$116*INDEX(Data_EF!$G:$G,MATCH($G20,Data_EF!$A:$A,0))/1000000</f>
        <v>0</v>
      </c>
      <c r="AE20" s="19">
        <f>Mitigation_Industry!AE$116*INDEX(Data_EF!$G:$G,MATCH($G20,Data_EF!$A:$A,0))/1000000</f>
        <v>0</v>
      </c>
    </row>
    <row r="21" spans="1:35" customFormat="1" ht="14.25" x14ac:dyDescent="0.45">
      <c r="B21" s="14" t="s">
        <v>58</v>
      </c>
      <c r="C21" s="14" t="str">
        <f t="shared" si="2"/>
        <v>cem</v>
      </c>
      <c r="D21" s="15" t="s">
        <v>59</v>
      </c>
      <c r="E21" s="16" t="s">
        <v>2068</v>
      </c>
      <c r="F21" s="14" t="s">
        <v>2069</v>
      </c>
      <c r="G21" s="128" t="str">
        <f>Settings!$B$3&amp;".mit.efc."&amp;$B21</f>
        <v>egy.mit.efc.die</v>
      </c>
      <c r="H21" s="45" t="str">
        <f>Settings!$B$3&amp;".mit.eco2."&amp;$C$17&amp;"."&amp;$B21&amp;".e."&amp;$J$17</f>
        <v>egy.mit.eco2.cem.die.e.1</v>
      </c>
      <c r="I21" t="s">
        <v>2082</v>
      </c>
      <c r="L21" s="129">
        <f>Mitigation_Industry!L$117*INDEX(Data_EF!$G:$G,MATCH($G21,Data_EF!$A:$A,0))/1000000</f>
        <v>0</v>
      </c>
      <c r="M21" s="19">
        <f>Mitigation_Industry!M$117*INDEX(Data_EF!$G:$G,MATCH($G21,Data_EF!$A:$A,0))/1000000</f>
        <v>0</v>
      </c>
      <c r="N21" s="19">
        <f>Mitigation_Industry!N$117*INDEX(Data_EF!$G:$G,MATCH($G21,Data_EF!$A:$A,0))/1000000</f>
        <v>0</v>
      </c>
      <c r="O21" s="19">
        <f>Mitigation_Industry!O$117*INDEX(Data_EF!$G:$G,MATCH($G21,Data_EF!$A:$A,0))/1000000</f>
        <v>0</v>
      </c>
      <c r="P21" s="19">
        <f>Mitigation_Industry!P$117*INDEX(Data_EF!$G:$G,MATCH($G21,Data_EF!$A:$A,0))/1000000</f>
        <v>0</v>
      </c>
      <c r="Q21" s="19">
        <f>Mitigation_Industry!Q$117*INDEX(Data_EF!$G:$G,MATCH($G21,Data_EF!$A:$A,0))/1000000</f>
        <v>0</v>
      </c>
      <c r="R21" s="19">
        <f>Mitigation_Industry!R$117*INDEX(Data_EF!$G:$G,MATCH($G21,Data_EF!$A:$A,0))/1000000</f>
        <v>0</v>
      </c>
      <c r="S21" s="19">
        <f>Mitigation_Industry!S$117*INDEX(Data_EF!$G:$G,MATCH($G21,Data_EF!$A:$A,0))/1000000</f>
        <v>0</v>
      </c>
      <c r="T21" s="19">
        <f>Mitigation_Industry!T$117*INDEX(Data_EF!$G:$G,MATCH($G21,Data_EF!$A:$A,0))/1000000</f>
        <v>0</v>
      </c>
      <c r="U21" s="19">
        <f>Mitigation_Industry!U$117*INDEX(Data_EF!$G:$G,MATCH($G21,Data_EF!$A:$A,0))/1000000</f>
        <v>0</v>
      </c>
      <c r="V21" s="19">
        <f>Mitigation_Industry!V$117*INDEX(Data_EF!$G:$G,MATCH($G21,Data_EF!$A:$A,0))/1000000</f>
        <v>0</v>
      </c>
      <c r="W21" s="19">
        <f>Mitigation_Industry!W$117*INDEX(Data_EF!$G:$G,MATCH($G21,Data_EF!$A:$A,0))/1000000</f>
        <v>0</v>
      </c>
      <c r="X21" s="19">
        <f>Mitigation_Industry!X$117*INDEX(Data_EF!$G:$G,MATCH($G21,Data_EF!$A:$A,0))/1000000</f>
        <v>0</v>
      </c>
      <c r="Y21" s="19">
        <f>Mitigation_Industry!Y$117*INDEX(Data_EF!$G:$G,MATCH($G21,Data_EF!$A:$A,0))/1000000</f>
        <v>0</v>
      </c>
      <c r="Z21" s="19">
        <f>Mitigation_Industry!Z$117*INDEX(Data_EF!$G:$G,MATCH($G21,Data_EF!$A:$A,0))/1000000</f>
        <v>0</v>
      </c>
      <c r="AA21" s="19">
        <f>Mitigation_Industry!AA$117*INDEX(Data_EF!$G:$G,MATCH($G21,Data_EF!$A:$A,0))/1000000</f>
        <v>0</v>
      </c>
      <c r="AB21" s="19">
        <f>Mitigation_Industry!AB$117*INDEX(Data_EF!$G:$G,MATCH($G21,Data_EF!$A:$A,0))/1000000</f>
        <v>0</v>
      </c>
      <c r="AC21" s="19">
        <f>Mitigation_Industry!AC$117*INDEX(Data_EF!$G:$G,MATCH($G21,Data_EF!$A:$A,0))/1000000</f>
        <v>0</v>
      </c>
      <c r="AD21" s="19">
        <f>Mitigation_Industry!AD$117*INDEX(Data_EF!$G:$G,MATCH($G21,Data_EF!$A:$A,0))/1000000</f>
        <v>0</v>
      </c>
      <c r="AE21" s="19">
        <f>Mitigation_Industry!AE$117*INDEX(Data_EF!$G:$G,MATCH($G21,Data_EF!$A:$A,0))/1000000</f>
        <v>0</v>
      </c>
    </row>
    <row r="22" spans="1:35" customFormat="1" ht="14.25" x14ac:dyDescent="0.45">
      <c r="B22" s="14" t="s">
        <v>60</v>
      </c>
      <c r="C22" s="14" t="str">
        <f t="shared" si="2"/>
        <v>cem</v>
      </c>
      <c r="D22" s="15" t="s">
        <v>61</v>
      </c>
      <c r="E22" s="16" t="s">
        <v>2068</v>
      </c>
      <c r="F22" s="14" t="s">
        <v>2069</v>
      </c>
      <c r="G22" s="128" t="str">
        <f>Settings!$B$3&amp;".mit.efc."&amp;$B22</f>
        <v>egy.mit.efc.lpg</v>
      </c>
      <c r="H22" s="45" t="str">
        <f>Settings!$B$3&amp;".mit.eco2."&amp;$C$17&amp;"."&amp;$B22&amp;".e."&amp;$J$17</f>
        <v>egy.mit.eco2.cem.lpg.e.1</v>
      </c>
      <c r="I22" t="s">
        <v>2083</v>
      </c>
      <c r="L22" s="129">
        <f>Mitigation_Industry!L$118*INDEX(Data_EF!$G:$G,MATCH($G22,Data_EF!$A:$A,0))/1000000</f>
        <v>0</v>
      </c>
      <c r="M22" s="19">
        <f>Mitigation_Industry!M$118*INDEX(Data_EF!$G:$G,MATCH($G22,Data_EF!$A:$A,0))/1000000</f>
        <v>0</v>
      </c>
      <c r="N22" s="19">
        <f>Mitigation_Industry!N$118*INDEX(Data_EF!$G:$G,MATCH($G22,Data_EF!$A:$A,0))/1000000</f>
        <v>0</v>
      </c>
      <c r="O22" s="19">
        <f>Mitigation_Industry!O$118*INDEX(Data_EF!$G:$G,MATCH($G22,Data_EF!$A:$A,0))/1000000</f>
        <v>0</v>
      </c>
      <c r="P22" s="19">
        <f>Mitigation_Industry!P$118*INDEX(Data_EF!$G:$G,MATCH($G22,Data_EF!$A:$A,0))/1000000</f>
        <v>0</v>
      </c>
      <c r="Q22" s="19">
        <f>Mitigation_Industry!Q$118*INDEX(Data_EF!$G:$G,MATCH($G22,Data_EF!$A:$A,0))/1000000</f>
        <v>0</v>
      </c>
      <c r="R22" s="19">
        <f>Mitigation_Industry!R$118*INDEX(Data_EF!$G:$G,MATCH($G22,Data_EF!$A:$A,0))/1000000</f>
        <v>0</v>
      </c>
      <c r="S22" s="19">
        <f>Mitigation_Industry!S$118*INDEX(Data_EF!$G:$G,MATCH($G22,Data_EF!$A:$A,0))/1000000</f>
        <v>0</v>
      </c>
      <c r="T22" s="19">
        <f>Mitigation_Industry!T$118*INDEX(Data_EF!$G:$G,MATCH($G22,Data_EF!$A:$A,0))/1000000</f>
        <v>0</v>
      </c>
      <c r="U22" s="19">
        <f>Mitigation_Industry!U$118*INDEX(Data_EF!$G:$G,MATCH($G22,Data_EF!$A:$A,0))/1000000</f>
        <v>0</v>
      </c>
      <c r="V22" s="19">
        <f>Mitigation_Industry!V$118*INDEX(Data_EF!$G:$G,MATCH($G22,Data_EF!$A:$A,0))/1000000</f>
        <v>0</v>
      </c>
      <c r="W22" s="19">
        <f>Mitigation_Industry!W$118*INDEX(Data_EF!$G:$G,MATCH($G22,Data_EF!$A:$A,0))/1000000</f>
        <v>0</v>
      </c>
      <c r="X22" s="19">
        <f>Mitigation_Industry!X$118*INDEX(Data_EF!$G:$G,MATCH($G22,Data_EF!$A:$A,0))/1000000</f>
        <v>0</v>
      </c>
      <c r="Y22" s="19">
        <f>Mitigation_Industry!Y$118*INDEX(Data_EF!$G:$G,MATCH($G22,Data_EF!$A:$A,0))/1000000</f>
        <v>0</v>
      </c>
      <c r="Z22" s="19">
        <f>Mitigation_Industry!Z$118*INDEX(Data_EF!$G:$G,MATCH($G22,Data_EF!$A:$A,0))/1000000</f>
        <v>0</v>
      </c>
      <c r="AA22" s="19">
        <f>Mitigation_Industry!AA$118*INDEX(Data_EF!$G:$G,MATCH($G22,Data_EF!$A:$A,0))/1000000</f>
        <v>0</v>
      </c>
      <c r="AB22" s="19">
        <f>Mitigation_Industry!AB$118*INDEX(Data_EF!$G:$G,MATCH($G22,Data_EF!$A:$A,0))/1000000</f>
        <v>0</v>
      </c>
      <c r="AC22" s="19">
        <f>Mitigation_Industry!AC$118*INDEX(Data_EF!$G:$G,MATCH($G22,Data_EF!$A:$A,0))/1000000</f>
        <v>0</v>
      </c>
      <c r="AD22" s="19">
        <f>Mitigation_Industry!AD$118*INDEX(Data_EF!$G:$G,MATCH($G22,Data_EF!$A:$A,0))/1000000</f>
        <v>0</v>
      </c>
      <c r="AE22" s="19">
        <f>Mitigation_Industry!AE$118*INDEX(Data_EF!$G:$G,MATCH($G22,Data_EF!$A:$A,0))/1000000</f>
        <v>0</v>
      </c>
    </row>
    <row r="23" spans="1:35" customFormat="1" ht="14.25" x14ac:dyDescent="0.45">
      <c r="B23" s="14" t="s">
        <v>62</v>
      </c>
      <c r="C23" s="14" t="str">
        <f t="shared" si="2"/>
        <v>cem</v>
      </c>
      <c r="D23" s="15" t="s">
        <v>63</v>
      </c>
      <c r="E23" s="16" t="s">
        <v>2068</v>
      </c>
      <c r="F23" s="14" t="s">
        <v>2069</v>
      </c>
      <c r="G23" s="128" t="str">
        <f>Settings!$B$3&amp;".mit.efc."&amp;$B23</f>
        <v>egy.mit.efc.ker</v>
      </c>
      <c r="H23" s="45" t="str">
        <f>Settings!$B$3&amp;".mit.eco2."&amp;$C$17&amp;"."&amp;$B23&amp;".e."&amp;$J$17</f>
        <v>egy.mit.eco2.cem.ker.e.1</v>
      </c>
      <c r="I23" t="s">
        <v>2084</v>
      </c>
      <c r="L23" s="129">
        <f>Mitigation_Industry!L$119*INDEX(Data_EF!$G:$G,MATCH($G23,Data_EF!$A:$A,0))/1000000</f>
        <v>0</v>
      </c>
      <c r="M23" s="19">
        <f>Mitigation_Industry!M$119*INDEX(Data_EF!$G:$G,MATCH($G23,Data_EF!$A:$A,0))/1000000</f>
        <v>0</v>
      </c>
      <c r="N23" s="19">
        <f>Mitigation_Industry!N$119*INDEX(Data_EF!$G:$G,MATCH($G23,Data_EF!$A:$A,0))/1000000</f>
        <v>0</v>
      </c>
      <c r="O23" s="19">
        <f>Mitigation_Industry!O$119*INDEX(Data_EF!$G:$G,MATCH($G23,Data_EF!$A:$A,0))/1000000</f>
        <v>0</v>
      </c>
      <c r="P23" s="19">
        <f>Mitigation_Industry!P$119*INDEX(Data_EF!$G:$G,MATCH($G23,Data_EF!$A:$A,0))/1000000</f>
        <v>0</v>
      </c>
      <c r="Q23" s="19">
        <f>Mitigation_Industry!Q$119*INDEX(Data_EF!$G:$G,MATCH($G23,Data_EF!$A:$A,0))/1000000</f>
        <v>0</v>
      </c>
      <c r="R23" s="19">
        <f>Mitigation_Industry!R$119*INDEX(Data_EF!$G:$G,MATCH($G23,Data_EF!$A:$A,0))/1000000</f>
        <v>0</v>
      </c>
      <c r="S23" s="19">
        <f>Mitigation_Industry!S$119*INDEX(Data_EF!$G:$G,MATCH($G23,Data_EF!$A:$A,0))/1000000</f>
        <v>0</v>
      </c>
      <c r="T23" s="19">
        <f>Mitigation_Industry!T$119*INDEX(Data_EF!$G:$G,MATCH($G23,Data_EF!$A:$A,0))/1000000</f>
        <v>0</v>
      </c>
      <c r="U23" s="19">
        <f>Mitigation_Industry!U$119*INDEX(Data_EF!$G:$G,MATCH($G23,Data_EF!$A:$A,0))/1000000</f>
        <v>0</v>
      </c>
      <c r="V23" s="19">
        <f>Mitigation_Industry!V$119*INDEX(Data_EF!$G:$G,MATCH($G23,Data_EF!$A:$A,0))/1000000</f>
        <v>0</v>
      </c>
      <c r="W23" s="19">
        <f>Mitigation_Industry!W$119*INDEX(Data_EF!$G:$G,MATCH($G23,Data_EF!$A:$A,0))/1000000</f>
        <v>0</v>
      </c>
      <c r="X23" s="19">
        <f>Mitigation_Industry!X$119*INDEX(Data_EF!$G:$G,MATCH($G23,Data_EF!$A:$A,0))/1000000</f>
        <v>0</v>
      </c>
      <c r="Y23" s="19">
        <f>Mitigation_Industry!Y$119*INDEX(Data_EF!$G:$G,MATCH($G23,Data_EF!$A:$A,0))/1000000</f>
        <v>0</v>
      </c>
      <c r="Z23" s="19">
        <f>Mitigation_Industry!Z$119*INDEX(Data_EF!$G:$G,MATCH($G23,Data_EF!$A:$A,0))/1000000</f>
        <v>0</v>
      </c>
      <c r="AA23" s="19">
        <f>Mitigation_Industry!AA$119*INDEX(Data_EF!$G:$G,MATCH($G23,Data_EF!$A:$A,0))/1000000</f>
        <v>0</v>
      </c>
      <c r="AB23" s="19">
        <f>Mitigation_Industry!AB$119*INDEX(Data_EF!$G:$G,MATCH($G23,Data_EF!$A:$A,0))/1000000</f>
        <v>0</v>
      </c>
      <c r="AC23" s="19">
        <f>Mitigation_Industry!AC$119*INDEX(Data_EF!$G:$G,MATCH($G23,Data_EF!$A:$A,0))/1000000</f>
        <v>0</v>
      </c>
      <c r="AD23" s="19">
        <f>Mitigation_Industry!AD$119*INDEX(Data_EF!$G:$G,MATCH($G23,Data_EF!$A:$A,0))/1000000</f>
        <v>0</v>
      </c>
      <c r="AE23" s="19">
        <f>Mitigation_Industry!AE$119*INDEX(Data_EF!$G:$G,MATCH($G23,Data_EF!$A:$A,0))/1000000</f>
        <v>0</v>
      </c>
    </row>
    <row r="24" spans="1:35" customFormat="1" ht="14.25" x14ac:dyDescent="0.45">
      <c r="B24" s="14" t="s">
        <v>64</v>
      </c>
      <c r="C24" s="14" t="str">
        <f t="shared" si="2"/>
        <v>cem</v>
      </c>
      <c r="D24" s="15" t="s">
        <v>65</v>
      </c>
      <c r="E24" s="16" t="s">
        <v>2068</v>
      </c>
      <c r="F24" s="14" t="s">
        <v>2069</v>
      </c>
      <c r="G24" s="128" t="str">
        <f>Settings!$B$3&amp;".mit.efc."&amp;$B24</f>
        <v>egy.mit.efc.oop</v>
      </c>
      <c r="H24" s="45" t="str">
        <f>Settings!$B$3&amp;".mit.eco2."&amp;$C$17&amp;"."&amp;$B24&amp;".e."&amp;$J$17</f>
        <v>egy.mit.eco2.cem.oop.e.1</v>
      </c>
      <c r="I24" t="s">
        <v>2085</v>
      </c>
      <c r="L24" s="129">
        <f>Mitigation_Industry!L$120*INDEX(Data_EF!$G:$G,MATCH($G24,Data_EF!$A:$A,0))/1000000</f>
        <v>0</v>
      </c>
      <c r="M24" s="19">
        <f>Mitigation_Industry!M$120*INDEX(Data_EF!$G:$G,MATCH($G24,Data_EF!$A:$A,0))/1000000</f>
        <v>0</v>
      </c>
      <c r="N24" s="19">
        <f>Mitigation_Industry!N$120*INDEX(Data_EF!$G:$G,MATCH($G24,Data_EF!$A:$A,0))/1000000</f>
        <v>0</v>
      </c>
      <c r="O24" s="19">
        <f>Mitigation_Industry!O$120*INDEX(Data_EF!$G:$G,MATCH($G24,Data_EF!$A:$A,0))/1000000</f>
        <v>0</v>
      </c>
      <c r="P24" s="19">
        <f>Mitigation_Industry!P$120*INDEX(Data_EF!$G:$G,MATCH($G24,Data_EF!$A:$A,0))/1000000</f>
        <v>0</v>
      </c>
      <c r="Q24" s="19">
        <f>Mitigation_Industry!Q$120*INDEX(Data_EF!$G:$G,MATCH($G24,Data_EF!$A:$A,0))/1000000</f>
        <v>0</v>
      </c>
      <c r="R24" s="19">
        <f>Mitigation_Industry!R$120*INDEX(Data_EF!$G:$G,MATCH($G24,Data_EF!$A:$A,0))/1000000</f>
        <v>0</v>
      </c>
      <c r="S24" s="19">
        <f>Mitigation_Industry!S$120*INDEX(Data_EF!$G:$G,MATCH($G24,Data_EF!$A:$A,0))/1000000</f>
        <v>0</v>
      </c>
      <c r="T24" s="19">
        <f>Mitigation_Industry!T$120*INDEX(Data_EF!$G:$G,MATCH($G24,Data_EF!$A:$A,0))/1000000</f>
        <v>0</v>
      </c>
      <c r="U24" s="19">
        <f>Mitigation_Industry!U$120*INDEX(Data_EF!$G:$G,MATCH($G24,Data_EF!$A:$A,0))/1000000</f>
        <v>0</v>
      </c>
      <c r="V24" s="19">
        <f>Mitigation_Industry!V$120*INDEX(Data_EF!$G:$G,MATCH($G24,Data_EF!$A:$A,0))/1000000</f>
        <v>0</v>
      </c>
      <c r="W24" s="19">
        <f>Mitigation_Industry!W$120*INDEX(Data_EF!$G:$G,MATCH($G24,Data_EF!$A:$A,0))/1000000</f>
        <v>0</v>
      </c>
      <c r="X24" s="19">
        <f>Mitigation_Industry!X$120*INDEX(Data_EF!$G:$G,MATCH($G24,Data_EF!$A:$A,0))/1000000</f>
        <v>0</v>
      </c>
      <c r="Y24" s="19">
        <f>Mitigation_Industry!Y$120*INDEX(Data_EF!$G:$G,MATCH($G24,Data_EF!$A:$A,0))/1000000</f>
        <v>0</v>
      </c>
      <c r="Z24" s="19">
        <f>Mitigation_Industry!Z$120*INDEX(Data_EF!$G:$G,MATCH($G24,Data_EF!$A:$A,0))/1000000</f>
        <v>0</v>
      </c>
      <c r="AA24" s="19">
        <f>Mitigation_Industry!AA$120*INDEX(Data_EF!$G:$G,MATCH($G24,Data_EF!$A:$A,0))/1000000</f>
        <v>0</v>
      </c>
      <c r="AB24" s="19">
        <f>Mitigation_Industry!AB$120*INDEX(Data_EF!$G:$G,MATCH($G24,Data_EF!$A:$A,0))/1000000</f>
        <v>0</v>
      </c>
      <c r="AC24" s="19">
        <f>Mitigation_Industry!AC$120*INDEX(Data_EF!$G:$G,MATCH($G24,Data_EF!$A:$A,0))/1000000</f>
        <v>0</v>
      </c>
      <c r="AD24" s="19">
        <f>Mitigation_Industry!AD$120*INDEX(Data_EF!$G:$G,MATCH($G24,Data_EF!$A:$A,0))/1000000</f>
        <v>0</v>
      </c>
      <c r="AE24" s="19">
        <f>Mitigation_Industry!AE$120*INDEX(Data_EF!$G:$G,MATCH($G24,Data_EF!$A:$A,0))/1000000</f>
        <v>0</v>
      </c>
    </row>
    <row r="25" spans="1:35" customFormat="1" ht="14.25" x14ac:dyDescent="0.45">
      <c r="B25" s="14" t="s">
        <v>67</v>
      </c>
      <c r="C25" s="14" t="str">
        <f t="shared" si="2"/>
        <v>cem</v>
      </c>
      <c r="D25" s="15" t="s">
        <v>68</v>
      </c>
      <c r="E25" s="16" t="s">
        <v>2068</v>
      </c>
      <c r="F25" s="14" t="s">
        <v>2069</v>
      </c>
      <c r="G25" s="128" t="str">
        <f>Settings!$B$3&amp;".mit.efc."&amp;$B25</f>
        <v>egy.mit.efc.bio</v>
      </c>
      <c r="H25" s="45" t="str">
        <f>Settings!$B$3&amp;".mit.eco2."&amp;$C$17&amp;"."&amp;$B25&amp;".e."&amp;$J$17</f>
        <v>egy.mit.eco2.cem.bio.e.1</v>
      </c>
      <c r="I25" t="s">
        <v>2086</v>
      </c>
      <c r="L25" s="129">
        <f>Mitigation_Industry!L$121*INDEX(Data_EF!$G:$G,MATCH($G25,Data_EF!$A:$A,0))/1000000</f>
        <v>0</v>
      </c>
      <c r="M25" s="19">
        <f>Mitigation_Industry!M$121*INDEX(Data_EF!$G:$G,MATCH($G25,Data_EF!$A:$A,0))/1000000</f>
        <v>0</v>
      </c>
      <c r="N25" s="19">
        <f>Mitigation_Industry!N$121*INDEX(Data_EF!$G:$G,MATCH($G25,Data_EF!$A:$A,0))/1000000</f>
        <v>0</v>
      </c>
      <c r="O25" s="19">
        <f>Mitigation_Industry!O$121*INDEX(Data_EF!$G:$G,MATCH($G25,Data_EF!$A:$A,0))/1000000</f>
        <v>0</v>
      </c>
      <c r="P25" s="19">
        <f>Mitigation_Industry!P$121*INDEX(Data_EF!$G:$G,MATCH($G25,Data_EF!$A:$A,0))/1000000</f>
        <v>0</v>
      </c>
      <c r="Q25" s="19">
        <f>Mitigation_Industry!Q$121*INDEX(Data_EF!$G:$G,MATCH($G25,Data_EF!$A:$A,0))/1000000</f>
        <v>0</v>
      </c>
      <c r="R25" s="19">
        <f>Mitigation_Industry!R$121*INDEX(Data_EF!$G:$G,MATCH($G25,Data_EF!$A:$A,0))/1000000</f>
        <v>0</v>
      </c>
      <c r="S25" s="19">
        <f>Mitigation_Industry!S$121*INDEX(Data_EF!$G:$G,MATCH($G25,Data_EF!$A:$A,0))/1000000</f>
        <v>0</v>
      </c>
      <c r="T25" s="19">
        <f>Mitigation_Industry!T$121*INDEX(Data_EF!$G:$G,MATCH($G25,Data_EF!$A:$A,0))/1000000</f>
        <v>0</v>
      </c>
      <c r="U25" s="19">
        <f>Mitigation_Industry!U$121*INDEX(Data_EF!$G:$G,MATCH($G25,Data_EF!$A:$A,0))/1000000</f>
        <v>0</v>
      </c>
      <c r="V25" s="19">
        <f>Mitigation_Industry!V$121*INDEX(Data_EF!$G:$G,MATCH($G25,Data_EF!$A:$A,0))/1000000</f>
        <v>0</v>
      </c>
      <c r="W25" s="19">
        <f>Mitigation_Industry!W$121*INDEX(Data_EF!$G:$G,MATCH($G25,Data_EF!$A:$A,0))/1000000</f>
        <v>0</v>
      </c>
      <c r="X25" s="19">
        <f>Mitigation_Industry!X$121*INDEX(Data_EF!$G:$G,MATCH($G25,Data_EF!$A:$A,0))/1000000</f>
        <v>0</v>
      </c>
      <c r="Y25" s="19">
        <f>Mitigation_Industry!Y$121*INDEX(Data_EF!$G:$G,MATCH($G25,Data_EF!$A:$A,0))/1000000</f>
        <v>0</v>
      </c>
      <c r="Z25" s="19">
        <f>Mitigation_Industry!Z$121*INDEX(Data_EF!$G:$G,MATCH($G25,Data_EF!$A:$A,0))/1000000</f>
        <v>0</v>
      </c>
      <c r="AA25" s="19">
        <f>Mitigation_Industry!AA$121*INDEX(Data_EF!$G:$G,MATCH($G25,Data_EF!$A:$A,0))/1000000</f>
        <v>0</v>
      </c>
      <c r="AB25" s="19">
        <f>Mitigation_Industry!AB$121*INDEX(Data_EF!$G:$G,MATCH($G25,Data_EF!$A:$A,0))/1000000</f>
        <v>0</v>
      </c>
      <c r="AC25" s="19">
        <f>Mitigation_Industry!AC$121*INDEX(Data_EF!$G:$G,MATCH($G25,Data_EF!$A:$A,0))/1000000</f>
        <v>0</v>
      </c>
      <c r="AD25" s="19">
        <f>Mitigation_Industry!AD$121*INDEX(Data_EF!$G:$G,MATCH($G25,Data_EF!$A:$A,0))/1000000</f>
        <v>0</v>
      </c>
      <c r="AE25" s="19">
        <f>Mitigation_Industry!AE$121*INDEX(Data_EF!$G:$G,MATCH($G25,Data_EF!$A:$A,0))/1000000</f>
        <v>0</v>
      </c>
    </row>
    <row r="26" spans="1:35" customFormat="1" ht="14.25" x14ac:dyDescent="0.45">
      <c r="B26" s="14" t="s">
        <v>69</v>
      </c>
      <c r="C26" s="14" t="str">
        <f t="shared" si="2"/>
        <v>cem</v>
      </c>
      <c r="D26" s="15" t="s">
        <v>70</v>
      </c>
      <c r="E26" s="16" t="s">
        <v>2068</v>
      </c>
      <c r="F26" s="14" t="s">
        <v>2069</v>
      </c>
      <c r="G26" s="128" t="str">
        <f>Settings!$B$3&amp;".mit.efc."&amp;$B26</f>
        <v>egy.mit.efc.ren</v>
      </c>
      <c r="H26" s="45" t="str">
        <f>Settings!$B$3&amp;".mit.eco2."&amp;$C$17&amp;"."&amp;$B26&amp;".e."&amp;$J$17</f>
        <v>egy.mit.eco2.cem.ren.e.1</v>
      </c>
      <c r="I26" t="s">
        <v>2087</v>
      </c>
      <c r="L26" s="129">
        <f>Mitigation_Industry!L$122*INDEX(Data_EF!$G:$G,MATCH($G26,Data_EF!$A:$A,0))/1000000</f>
        <v>0</v>
      </c>
      <c r="M26" s="19">
        <f>Mitigation_Industry!M$122*INDEX(Data_EF!$G:$G,MATCH($G26,Data_EF!$A:$A,0))/1000000</f>
        <v>0</v>
      </c>
      <c r="N26" s="19">
        <f>Mitigation_Industry!N$122*INDEX(Data_EF!$G:$G,MATCH($G26,Data_EF!$A:$A,0))/1000000</f>
        <v>0</v>
      </c>
      <c r="O26" s="19">
        <f>Mitigation_Industry!O$122*INDEX(Data_EF!$G:$G,MATCH($G26,Data_EF!$A:$A,0))/1000000</f>
        <v>0</v>
      </c>
      <c r="P26" s="19">
        <f>Mitigation_Industry!P$122*INDEX(Data_EF!$G:$G,MATCH($G26,Data_EF!$A:$A,0))/1000000</f>
        <v>0</v>
      </c>
      <c r="Q26" s="19">
        <f>Mitigation_Industry!Q$122*INDEX(Data_EF!$G:$G,MATCH($G26,Data_EF!$A:$A,0))/1000000</f>
        <v>0</v>
      </c>
      <c r="R26" s="19">
        <f>Mitigation_Industry!R$122*INDEX(Data_EF!$G:$G,MATCH($G26,Data_EF!$A:$A,0))/1000000</f>
        <v>0</v>
      </c>
      <c r="S26" s="19">
        <f>Mitigation_Industry!S$122*INDEX(Data_EF!$G:$G,MATCH($G26,Data_EF!$A:$A,0))/1000000</f>
        <v>0</v>
      </c>
      <c r="T26" s="19">
        <f>Mitigation_Industry!T$122*INDEX(Data_EF!$G:$G,MATCH($G26,Data_EF!$A:$A,0))/1000000</f>
        <v>0</v>
      </c>
      <c r="U26" s="19">
        <f>Mitigation_Industry!U$122*INDEX(Data_EF!$G:$G,MATCH($G26,Data_EF!$A:$A,0))/1000000</f>
        <v>0</v>
      </c>
      <c r="V26" s="19">
        <f>Mitigation_Industry!V$122*INDEX(Data_EF!$G:$G,MATCH($G26,Data_EF!$A:$A,0))/1000000</f>
        <v>0</v>
      </c>
      <c r="W26" s="19">
        <f>Mitigation_Industry!W$122*INDEX(Data_EF!$G:$G,MATCH($G26,Data_EF!$A:$A,0))/1000000</f>
        <v>0</v>
      </c>
      <c r="X26" s="19">
        <f>Mitigation_Industry!X$122*INDEX(Data_EF!$G:$G,MATCH($G26,Data_EF!$A:$A,0))/1000000</f>
        <v>0</v>
      </c>
      <c r="Y26" s="19">
        <f>Mitigation_Industry!Y$122*INDEX(Data_EF!$G:$G,MATCH($G26,Data_EF!$A:$A,0))/1000000</f>
        <v>0</v>
      </c>
      <c r="Z26" s="19">
        <f>Mitigation_Industry!Z$122*INDEX(Data_EF!$G:$G,MATCH($G26,Data_EF!$A:$A,0))/1000000</f>
        <v>0</v>
      </c>
      <c r="AA26" s="19">
        <f>Mitigation_Industry!AA$122*INDEX(Data_EF!$G:$G,MATCH($G26,Data_EF!$A:$A,0))/1000000</f>
        <v>0</v>
      </c>
      <c r="AB26" s="19">
        <f>Mitigation_Industry!AB$122*INDEX(Data_EF!$G:$G,MATCH($G26,Data_EF!$A:$A,0))/1000000</f>
        <v>0</v>
      </c>
      <c r="AC26" s="19">
        <f>Mitigation_Industry!AC$122*INDEX(Data_EF!$G:$G,MATCH($G26,Data_EF!$A:$A,0))/1000000</f>
        <v>0</v>
      </c>
      <c r="AD26" s="19">
        <f>Mitigation_Industry!AD$122*INDEX(Data_EF!$G:$G,MATCH($G26,Data_EF!$A:$A,0))/1000000</f>
        <v>0</v>
      </c>
      <c r="AE26" s="19">
        <f>Mitigation_Industry!AE$122*INDEX(Data_EF!$G:$G,MATCH($G26,Data_EF!$A:$A,0))/1000000</f>
        <v>0</v>
      </c>
    </row>
    <row r="27" spans="1:35" customFormat="1" ht="14.25" x14ac:dyDescent="0.45">
      <c r="B27" s="14" t="s">
        <v>110</v>
      </c>
      <c r="C27" s="14" t="str">
        <f t="shared" si="2"/>
        <v>cem</v>
      </c>
      <c r="D27" s="25" t="s">
        <v>111</v>
      </c>
      <c r="E27" s="16" t="s">
        <v>2068</v>
      </c>
      <c r="F27" s="14" t="s">
        <v>2069</v>
      </c>
      <c r="H27" s="45" t="str">
        <f>Settings!$B$3&amp;".mit.eco2."&amp;$C$17&amp;".tot.e."&amp;$J$17</f>
        <v>egy.mit.eco2.cem.tot.e.1</v>
      </c>
      <c r="L27" s="130">
        <f t="shared" ref="L27:AE27" si="3">SUM(L18:L26)</f>
        <v>9.4893574461323063</v>
      </c>
      <c r="M27" s="130">
        <f t="shared" si="3"/>
        <v>7.892397868173477</v>
      </c>
      <c r="N27" s="130">
        <f t="shared" si="3"/>
        <v>8.974049898041585</v>
      </c>
      <c r="O27" s="130">
        <f t="shared" si="3"/>
        <v>9.6117389440758174</v>
      </c>
      <c r="P27" s="130">
        <f t="shared" si="3"/>
        <v>9.6255920185944621</v>
      </c>
      <c r="Q27" s="130">
        <f t="shared" si="3"/>
        <v>9.8610476555574511</v>
      </c>
      <c r="R27" s="130">
        <f t="shared" si="3"/>
        <v>10.224041222352259</v>
      </c>
      <c r="S27" s="130">
        <f t="shared" si="3"/>
        <v>10.577278178288619</v>
      </c>
      <c r="T27" s="130">
        <f t="shared" si="3"/>
        <v>10.913917324515168</v>
      </c>
      <c r="U27" s="130">
        <f t="shared" si="3"/>
        <v>11.254980886600027</v>
      </c>
      <c r="V27" s="130">
        <f t="shared" si="3"/>
        <v>11.572436051134584</v>
      </c>
      <c r="W27" s="130">
        <f t="shared" si="3"/>
        <v>11.894967219383652</v>
      </c>
      <c r="X27" s="130">
        <f t="shared" si="3"/>
        <v>12.222536887315171</v>
      </c>
      <c r="Y27" s="130">
        <f t="shared" si="3"/>
        <v>12.55510423174249</v>
      </c>
      <c r="Z27" s="130">
        <f t="shared" si="3"/>
        <v>12.892625020155874</v>
      </c>
      <c r="AA27" s="130">
        <f t="shared" si="3"/>
        <v>13.235051509488891</v>
      </c>
      <c r="AB27" s="130">
        <f t="shared" si="3"/>
        <v>13.582332333397812</v>
      </c>
      <c r="AC27" s="130">
        <f t="shared" si="3"/>
        <v>13.934412377644653</v>
      </c>
      <c r="AD27" s="130">
        <f t="shared" si="3"/>
        <v>14.291232643187328</v>
      </c>
      <c r="AE27" s="130">
        <f t="shared" si="3"/>
        <v>14.652730096591428</v>
      </c>
    </row>
    <row r="29" spans="1:35" customFormat="1" ht="14.25" x14ac:dyDescent="0.45">
      <c r="A29" s="11"/>
      <c r="B29" s="6" t="s">
        <v>114</v>
      </c>
      <c r="C29" s="7" t="s">
        <v>115</v>
      </c>
      <c r="D29" s="6" t="s">
        <v>44</v>
      </c>
      <c r="E29" s="7" t="s">
        <v>35</v>
      </c>
      <c r="F29" s="7" t="s">
        <v>45</v>
      </c>
      <c r="G29" s="7" t="s">
        <v>2067</v>
      </c>
      <c r="H29" s="12" t="s">
        <v>38</v>
      </c>
      <c r="I29" s="6" t="s">
        <v>47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49</v>
      </c>
      <c r="C30" s="14" t="str">
        <f t="shared" ref="C30:C39" si="4">$C$29</f>
        <v>nfm</v>
      </c>
      <c r="D30" s="15" t="s">
        <v>50</v>
      </c>
      <c r="E30" s="16" t="s">
        <v>2068</v>
      </c>
      <c r="F30" s="14" t="s">
        <v>2069</v>
      </c>
      <c r="G30" s="128" t="str">
        <f>Settings!$B$3&amp;".mit.efc."&amp;$B30</f>
        <v>egy.mit.efc.coa</v>
      </c>
      <c r="H30" s="45" t="str">
        <f>Settings!$B$3&amp;".mit.eco2."&amp;$C$29&amp;"."&amp;$B30&amp;".e."&amp;$J$29</f>
        <v>egy.mit.eco2.nfm.coa.e.1</v>
      </c>
      <c r="I30" t="s">
        <v>2088</v>
      </c>
      <c r="L30" s="129">
        <f>Mitigation_Industry!L$174*INDEX(Data_EF!$G:$G,MATCH($G30,Data_EF!$A:$A,0))/1000000</f>
        <v>0</v>
      </c>
      <c r="M30" s="19">
        <f>Mitigation_Industry!M$174*INDEX(Data_EF!$G:$G,MATCH($G30,Data_EF!$A:$A,0))/1000000</f>
        <v>0</v>
      </c>
      <c r="N30" s="19">
        <f>Mitigation_Industry!N$174*INDEX(Data_EF!$G:$G,MATCH($G30,Data_EF!$A:$A,0))/1000000</f>
        <v>0</v>
      </c>
      <c r="O30" s="19">
        <f>Mitigation_Industry!O$174*INDEX(Data_EF!$G:$G,MATCH($G30,Data_EF!$A:$A,0))/1000000</f>
        <v>0</v>
      </c>
      <c r="P30" s="19">
        <f>Mitigation_Industry!P$174*INDEX(Data_EF!$G:$G,MATCH($G30,Data_EF!$A:$A,0))/1000000</f>
        <v>0</v>
      </c>
      <c r="Q30" s="19">
        <f>Mitigation_Industry!Q$174*INDEX(Data_EF!$G:$G,MATCH($G30,Data_EF!$A:$A,0))/1000000</f>
        <v>0</v>
      </c>
      <c r="R30" s="19">
        <f>Mitigation_Industry!R$174*INDEX(Data_EF!$G:$G,MATCH($G30,Data_EF!$A:$A,0))/1000000</f>
        <v>0</v>
      </c>
      <c r="S30" s="19">
        <f>Mitigation_Industry!S$174*INDEX(Data_EF!$G:$G,MATCH($G30,Data_EF!$A:$A,0))/1000000</f>
        <v>0</v>
      </c>
      <c r="T30" s="19">
        <f>Mitigation_Industry!T$174*INDEX(Data_EF!$G:$G,MATCH($G30,Data_EF!$A:$A,0))/1000000</f>
        <v>0</v>
      </c>
      <c r="U30" s="19">
        <f>Mitigation_Industry!U$174*INDEX(Data_EF!$G:$G,MATCH($G30,Data_EF!$A:$A,0))/1000000</f>
        <v>0</v>
      </c>
      <c r="V30" s="19">
        <f>Mitigation_Industry!V$174*INDEX(Data_EF!$G:$G,MATCH($G30,Data_EF!$A:$A,0))/1000000</f>
        <v>0</v>
      </c>
      <c r="W30" s="19">
        <f>Mitigation_Industry!W$174*INDEX(Data_EF!$G:$G,MATCH($G30,Data_EF!$A:$A,0))/1000000</f>
        <v>0</v>
      </c>
      <c r="X30" s="19">
        <f>Mitigation_Industry!X$174*INDEX(Data_EF!$G:$G,MATCH($G30,Data_EF!$A:$A,0))/1000000</f>
        <v>0</v>
      </c>
      <c r="Y30" s="19">
        <f>Mitigation_Industry!Y$174*INDEX(Data_EF!$G:$G,MATCH($G30,Data_EF!$A:$A,0))/1000000</f>
        <v>0</v>
      </c>
      <c r="Z30" s="19">
        <f>Mitigation_Industry!Z$174*INDEX(Data_EF!$G:$G,MATCH($G30,Data_EF!$A:$A,0))/1000000</f>
        <v>0</v>
      </c>
      <c r="AA30" s="19">
        <f>Mitigation_Industry!AA$174*INDEX(Data_EF!$G:$G,MATCH($G30,Data_EF!$A:$A,0))/1000000</f>
        <v>0</v>
      </c>
      <c r="AB30" s="19">
        <f>Mitigation_Industry!AB$174*INDEX(Data_EF!$G:$G,MATCH($G30,Data_EF!$A:$A,0))/1000000</f>
        <v>0</v>
      </c>
      <c r="AC30" s="19">
        <f>Mitigation_Industry!AC$174*INDEX(Data_EF!$G:$G,MATCH($G30,Data_EF!$A:$A,0))/1000000</f>
        <v>0</v>
      </c>
      <c r="AD30" s="19">
        <f>Mitigation_Industry!AD$174*INDEX(Data_EF!$G:$G,MATCH($G30,Data_EF!$A:$A,0))/1000000</f>
        <v>0</v>
      </c>
      <c r="AE30" s="19">
        <f>Mitigation_Industry!AE$174*INDEX(Data_EF!$G:$G,MATCH($G30,Data_EF!$A:$A,0))/1000000</f>
        <v>0</v>
      </c>
    </row>
    <row r="31" spans="1:35" customFormat="1" ht="14.25" x14ac:dyDescent="0.45">
      <c r="B31" s="14" t="s">
        <v>53</v>
      </c>
      <c r="C31" s="14" t="str">
        <f t="shared" si="4"/>
        <v>nfm</v>
      </c>
      <c r="D31" s="15" t="s">
        <v>54</v>
      </c>
      <c r="E31" s="16" t="s">
        <v>2068</v>
      </c>
      <c r="F31" s="14" t="s">
        <v>2069</v>
      </c>
      <c r="G31" s="128" t="str">
        <f>Settings!$B$3&amp;".mit.efc."&amp;$B31</f>
        <v>egy.mit.efc.nga</v>
      </c>
      <c r="H31" s="45" t="str">
        <f>Settings!$B$3&amp;".mit.eco2."&amp;$C$29&amp;"."&amp;$B31&amp;".e."&amp;$J$29</f>
        <v>egy.mit.eco2.nfm.nga.e.1</v>
      </c>
      <c r="I31" t="s">
        <v>2089</v>
      </c>
      <c r="L31" s="129">
        <f>Mitigation_Industry!L$175*INDEX(Data_EF!$G:$G,MATCH($G31,Data_EF!$A:$A,0))/1000000</f>
        <v>0</v>
      </c>
      <c r="M31" s="19">
        <f>Mitigation_Industry!M$175*INDEX(Data_EF!$G:$G,MATCH($G31,Data_EF!$A:$A,0))/1000000</f>
        <v>0</v>
      </c>
      <c r="N31" s="19">
        <f>Mitigation_Industry!N$175*INDEX(Data_EF!$G:$G,MATCH($G31,Data_EF!$A:$A,0))/1000000</f>
        <v>0</v>
      </c>
      <c r="O31" s="19">
        <f>Mitigation_Industry!O$175*INDEX(Data_EF!$G:$G,MATCH($G31,Data_EF!$A:$A,0))/1000000</f>
        <v>0</v>
      </c>
      <c r="P31" s="19">
        <f>Mitigation_Industry!P$175*INDEX(Data_EF!$G:$G,MATCH($G31,Data_EF!$A:$A,0))/1000000</f>
        <v>0</v>
      </c>
      <c r="Q31" s="19">
        <f>Mitigation_Industry!Q$175*INDEX(Data_EF!$G:$G,MATCH($G31,Data_EF!$A:$A,0))/1000000</f>
        <v>0</v>
      </c>
      <c r="R31" s="19">
        <f>Mitigation_Industry!R$175*INDEX(Data_EF!$G:$G,MATCH($G31,Data_EF!$A:$A,0))/1000000</f>
        <v>0</v>
      </c>
      <c r="S31" s="19">
        <f>Mitigation_Industry!S$175*INDEX(Data_EF!$G:$G,MATCH($G31,Data_EF!$A:$A,0))/1000000</f>
        <v>0</v>
      </c>
      <c r="T31" s="19">
        <f>Mitigation_Industry!T$175*INDEX(Data_EF!$G:$G,MATCH($G31,Data_EF!$A:$A,0))/1000000</f>
        <v>0</v>
      </c>
      <c r="U31" s="19">
        <f>Mitigation_Industry!U$175*INDEX(Data_EF!$G:$G,MATCH($G31,Data_EF!$A:$A,0))/1000000</f>
        <v>0</v>
      </c>
      <c r="V31" s="19">
        <f>Mitigation_Industry!V$175*INDEX(Data_EF!$G:$G,MATCH($G31,Data_EF!$A:$A,0))/1000000</f>
        <v>0</v>
      </c>
      <c r="W31" s="19">
        <f>Mitigation_Industry!W$175*INDEX(Data_EF!$G:$G,MATCH($G31,Data_EF!$A:$A,0))/1000000</f>
        <v>0</v>
      </c>
      <c r="X31" s="19">
        <f>Mitigation_Industry!X$175*INDEX(Data_EF!$G:$G,MATCH($G31,Data_EF!$A:$A,0))/1000000</f>
        <v>0</v>
      </c>
      <c r="Y31" s="19">
        <f>Mitigation_Industry!Y$175*INDEX(Data_EF!$G:$G,MATCH($G31,Data_EF!$A:$A,0))/1000000</f>
        <v>0</v>
      </c>
      <c r="Z31" s="19">
        <f>Mitigation_Industry!Z$175*INDEX(Data_EF!$G:$G,MATCH($G31,Data_EF!$A:$A,0))/1000000</f>
        <v>0</v>
      </c>
      <c r="AA31" s="19">
        <f>Mitigation_Industry!AA$175*INDEX(Data_EF!$G:$G,MATCH($G31,Data_EF!$A:$A,0))/1000000</f>
        <v>0</v>
      </c>
      <c r="AB31" s="19">
        <f>Mitigation_Industry!AB$175*INDEX(Data_EF!$G:$G,MATCH($G31,Data_EF!$A:$A,0))/1000000</f>
        <v>0</v>
      </c>
      <c r="AC31" s="19">
        <f>Mitigation_Industry!AC$175*INDEX(Data_EF!$G:$G,MATCH($G31,Data_EF!$A:$A,0))/1000000</f>
        <v>0</v>
      </c>
      <c r="AD31" s="19">
        <f>Mitigation_Industry!AD$175*INDEX(Data_EF!$G:$G,MATCH($G31,Data_EF!$A:$A,0))/1000000</f>
        <v>0</v>
      </c>
      <c r="AE31" s="19">
        <f>Mitigation_Industry!AE$175*INDEX(Data_EF!$G:$G,MATCH($G31,Data_EF!$A:$A,0))/1000000</f>
        <v>0</v>
      </c>
    </row>
    <row r="32" spans="1:35" customFormat="1" ht="14.25" x14ac:dyDescent="0.45">
      <c r="B32" s="14" t="s">
        <v>55</v>
      </c>
      <c r="C32" s="14" t="str">
        <f t="shared" si="4"/>
        <v>nfm</v>
      </c>
      <c r="D32" s="15" t="s">
        <v>56</v>
      </c>
      <c r="E32" s="16" t="s">
        <v>2068</v>
      </c>
      <c r="F32" s="14" t="s">
        <v>2069</v>
      </c>
      <c r="G32" s="128" t="str">
        <f>Settings!$B$3&amp;".mit.efc."&amp;$B32</f>
        <v>egy.mit.efc.gso</v>
      </c>
      <c r="H32" s="45" t="str">
        <f>Settings!$B$3&amp;".mit.eco2."&amp;$C$29&amp;"."&amp;$B32&amp;".e."&amp;$J$29</f>
        <v>egy.mit.eco2.nfm.gso.e.1</v>
      </c>
      <c r="I32" t="s">
        <v>2090</v>
      </c>
      <c r="L32" s="129">
        <f>Mitigation_Industry!L$176*INDEX(Data_EF!$G:$G,MATCH($G32,Data_EF!$A:$A,0))/1000000</f>
        <v>0</v>
      </c>
      <c r="M32" s="19">
        <f>Mitigation_Industry!M$176*INDEX(Data_EF!$G:$G,MATCH($G32,Data_EF!$A:$A,0))/1000000</f>
        <v>0</v>
      </c>
      <c r="N32" s="19">
        <f>Mitigation_Industry!N$176*INDEX(Data_EF!$G:$G,MATCH($G32,Data_EF!$A:$A,0))/1000000</f>
        <v>0</v>
      </c>
      <c r="O32" s="19">
        <f>Mitigation_Industry!O$176*INDEX(Data_EF!$G:$G,MATCH($G32,Data_EF!$A:$A,0))/1000000</f>
        <v>0</v>
      </c>
      <c r="P32" s="19">
        <f>Mitigation_Industry!P$176*INDEX(Data_EF!$G:$G,MATCH($G32,Data_EF!$A:$A,0))/1000000</f>
        <v>0</v>
      </c>
      <c r="Q32" s="19">
        <f>Mitigation_Industry!Q$176*INDEX(Data_EF!$G:$G,MATCH($G32,Data_EF!$A:$A,0))/1000000</f>
        <v>0</v>
      </c>
      <c r="R32" s="19">
        <f>Mitigation_Industry!R$176*INDEX(Data_EF!$G:$G,MATCH($G32,Data_EF!$A:$A,0))/1000000</f>
        <v>0</v>
      </c>
      <c r="S32" s="19">
        <f>Mitigation_Industry!S$176*INDEX(Data_EF!$G:$G,MATCH($G32,Data_EF!$A:$A,0))/1000000</f>
        <v>0</v>
      </c>
      <c r="T32" s="19">
        <f>Mitigation_Industry!T$176*INDEX(Data_EF!$G:$G,MATCH($G32,Data_EF!$A:$A,0))/1000000</f>
        <v>0</v>
      </c>
      <c r="U32" s="19">
        <f>Mitigation_Industry!U$176*INDEX(Data_EF!$G:$G,MATCH($G32,Data_EF!$A:$A,0))/1000000</f>
        <v>0</v>
      </c>
      <c r="V32" s="19">
        <f>Mitigation_Industry!V$176*INDEX(Data_EF!$G:$G,MATCH($G32,Data_EF!$A:$A,0))/1000000</f>
        <v>0</v>
      </c>
      <c r="W32" s="19">
        <f>Mitigation_Industry!W$176*INDEX(Data_EF!$G:$G,MATCH($G32,Data_EF!$A:$A,0))/1000000</f>
        <v>0</v>
      </c>
      <c r="X32" s="19">
        <f>Mitigation_Industry!X$176*INDEX(Data_EF!$G:$G,MATCH($G32,Data_EF!$A:$A,0))/1000000</f>
        <v>0</v>
      </c>
      <c r="Y32" s="19">
        <f>Mitigation_Industry!Y$176*INDEX(Data_EF!$G:$G,MATCH($G32,Data_EF!$A:$A,0))/1000000</f>
        <v>0</v>
      </c>
      <c r="Z32" s="19">
        <f>Mitigation_Industry!Z$176*INDEX(Data_EF!$G:$G,MATCH($G32,Data_EF!$A:$A,0))/1000000</f>
        <v>0</v>
      </c>
      <c r="AA32" s="19">
        <f>Mitigation_Industry!AA$176*INDEX(Data_EF!$G:$G,MATCH($G32,Data_EF!$A:$A,0))/1000000</f>
        <v>0</v>
      </c>
      <c r="AB32" s="19">
        <f>Mitigation_Industry!AB$176*INDEX(Data_EF!$G:$G,MATCH($G32,Data_EF!$A:$A,0))/1000000</f>
        <v>0</v>
      </c>
      <c r="AC32" s="19">
        <f>Mitigation_Industry!AC$176*INDEX(Data_EF!$G:$G,MATCH($G32,Data_EF!$A:$A,0))/1000000</f>
        <v>0</v>
      </c>
      <c r="AD32" s="19">
        <f>Mitigation_Industry!AD$176*INDEX(Data_EF!$G:$G,MATCH($G32,Data_EF!$A:$A,0))/1000000</f>
        <v>0</v>
      </c>
      <c r="AE32" s="19">
        <f>Mitigation_Industry!AE$176*INDEX(Data_EF!$G:$G,MATCH($G32,Data_EF!$A:$A,0))/1000000</f>
        <v>0</v>
      </c>
    </row>
    <row r="33" spans="1:35" customFormat="1" ht="14.25" x14ac:dyDescent="0.45">
      <c r="B33" s="14" t="s">
        <v>58</v>
      </c>
      <c r="C33" s="14" t="str">
        <f t="shared" si="4"/>
        <v>nfm</v>
      </c>
      <c r="D33" s="15" t="s">
        <v>59</v>
      </c>
      <c r="E33" s="16" t="s">
        <v>2068</v>
      </c>
      <c r="F33" s="14" t="s">
        <v>2069</v>
      </c>
      <c r="G33" s="128" t="str">
        <f>Settings!$B$3&amp;".mit.efc."&amp;$B33</f>
        <v>egy.mit.efc.die</v>
      </c>
      <c r="H33" s="45" t="str">
        <f>Settings!$B$3&amp;".mit.eco2."&amp;$C$29&amp;"."&amp;$B33&amp;".e."&amp;$J$29</f>
        <v>egy.mit.eco2.nfm.die.e.1</v>
      </c>
      <c r="I33" t="s">
        <v>2091</v>
      </c>
      <c r="L33" s="129">
        <f>Mitigation_Industry!L$177*INDEX(Data_EF!$G:$G,MATCH($G33,Data_EF!$A:$A,0))/1000000</f>
        <v>0</v>
      </c>
      <c r="M33" s="19">
        <f>Mitigation_Industry!M$177*INDEX(Data_EF!$G:$G,MATCH($G33,Data_EF!$A:$A,0))/1000000</f>
        <v>0</v>
      </c>
      <c r="N33" s="19">
        <f>Mitigation_Industry!N$177*INDEX(Data_EF!$G:$G,MATCH($G33,Data_EF!$A:$A,0))/1000000</f>
        <v>0</v>
      </c>
      <c r="O33" s="19">
        <f>Mitigation_Industry!O$177*INDEX(Data_EF!$G:$G,MATCH($G33,Data_EF!$A:$A,0))/1000000</f>
        <v>0</v>
      </c>
      <c r="P33" s="19">
        <f>Mitigation_Industry!P$177*INDEX(Data_EF!$G:$G,MATCH($G33,Data_EF!$A:$A,0))/1000000</f>
        <v>0</v>
      </c>
      <c r="Q33" s="19">
        <f>Mitigation_Industry!Q$177*INDEX(Data_EF!$G:$G,MATCH($G33,Data_EF!$A:$A,0))/1000000</f>
        <v>0</v>
      </c>
      <c r="R33" s="19">
        <f>Mitigation_Industry!R$177*INDEX(Data_EF!$G:$G,MATCH($G33,Data_EF!$A:$A,0))/1000000</f>
        <v>0</v>
      </c>
      <c r="S33" s="19">
        <f>Mitigation_Industry!S$177*INDEX(Data_EF!$G:$G,MATCH($G33,Data_EF!$A:$A,0))/1000000</f>
        <v>0</v>
      </c>
      <c r="T33" s="19">
        <f>Mitigation_Industry!T$177*INDEX(Data_EF!$G:$G,MATCH($G33,Data_EF!$A:$A,0))/1000000</f>
        <v>0</v>
      </c>
      <c r="U33" s="19">
        <f>Mitigation_Industry!U$177*INDEX(Data_EF!$G:$G,MATCH($G33,Data_EF!$A:$A,0))/1000000</f>
        <v>0</v>
      </c>
      <c r="V33" s="19">
        <f>Mitigation_Industry!V$177*INDEX(Data_EF!$G:$G,MATCH($G33,Data_EF!$A:$A,0))/1000000</f>
        <v>0</v>
      </c>
      <c r="W33" s="19">
        <f>Mitigation_Industry!W$177*INDEX(Data_EF!$G:$G,MATCH($G33,Data_EF!$A:$A,0))/1000000</f>
        <v>0</v>
      </c>
      <c r="X33" s="19">
        <f>Mitigation_Industry!X$177*INDEX(Data_EF!$G:$G,MATCH($G33,Data_EF!$A:$A,0))/1000000</f>
        <v>0</v>
      </c>
      <c r="Y33" s="19">
        <f>Mitigation_Industry!Y$177*INDEX(Data_EF!$G:$G,MATCH($G33,Data_EF!$A:$A,0))/1000000</f>
        <v>0</v>
      </c>
      <c r="Z33" s="19">
        <f>Mitigation_Industry!Z$177*INDEX(Data_EF!$G:$G,MATCH($G33,Data_EF!$A:$A,0))/1000000</f>
        <v>0</v>
      </c>
      <c r="AA33" s="19">
        <f>Mitigation_Industry!AA$177*INDEX(Data_EF!$G:$G,MATCH($G33,Data_EF!$A:$A,0))/1000000</f>
        <v>0</v>
      </c>
      <c r="AB33" s="19">
        <f>Mitigation_Industry!AB$177*INDEX(Data_EF!$G:$G,MATCH($G33,Data_EF!$A:$A,0))/1000000</f>
        <v>0</v>
      </c>
      <c r="AC33" s="19">
        <f>Mitigation_Industry!AC$177*INDEX(Data_EF!$G:$G,MATCH($G33,Data_EF!$A:$A,0))/1000000</f>
        <v>0</v>
      </c>
      <c r="AD33" s="19">
        <f>Mitigation_Industry!AD$177*INDEX(Data_EF!$G:$G,MATCH($G33,Data_EF!$A:$A,0))/1000000</f>
        <v>0</v>
      </c>
      <c r="AE33" s="19">
        <f>Mitigation_Industry!AE$177*INDEX(Data_EF!$G:$G,MATCH($G33,Data_EF!$A:$A,0))/1000000</f>
        <v>0</v>
      </c>
    </row>
    <row r="34" spans="1:35" customFormat="1" ht="14.25" x14ac:dyDescent="0.45">
      <c r="B34" s="14" t="s">
        <v>60</v>
      </c>
      <c r="C34" s="14" t="str">
        <f t="shared" si="4"/>
        <v>nfm</v>
      </c>
      <c r="D34" s="15" t="s">
        <v>61</v>
      </c>
      <c r="E34" s="16" t="s">
        <v>2068</v>
      </c>
      <c r="F34" s="14" t="s">
        <v>2069</v>
      </c>
      <c r="G34" s="128" t="str">
        <f>Settings!$B$3&amp;".mit.efc."&amp;$B34</f>
        <v>egy.mit.efc.lpg</v>
      </c>
      <c r="H34" s="45" t="str">
        <f>Settings!$B$3&amp;".mit.eco2."&amp;$C$29&amp;"."&amp;$B34&amp;".e."&amp;$J$29</f>
        <v>egy.mit.eco2.nfm.lpg.e.1</v>
      </c>
      <c r="I34" t="s">
        <v>2092</v>
      </c>
      <c r="L34" s="129">
        <f>Mitigation_Industry!L$178*INDEX(Data_EF!$G:$G,MATCH($G34,Data_EF!$A:$A,0))/1000000</f>
        <v>0</v>
      </c>
      <c r="M34" s="19">
        <f>Mitigation_Industry!M$178*INDEX(Data_EF!$G:$G,MATCH($G34,Data_EF!$A:$A,0))/1000000</f>
        <v>0</v>
      </c>
      <c r="N34" s="19">
        <f>Mitigation_Industry!N$178*INDEX(Data_EF!$G:$G,MATCH($G34,Data_EF!$A:$A,0))/1000000</f>
        <v>0</v>
      </c>
      <c r="O34" s="19">
        <f>Mitigation_Industry!O$178*INDEX(Data_EF!$G:$G,MATCH($G34,Data_EF!$A:$A,0))/1000000</f>
        <v>0</v>
      </c>
      <c r="P34" s="19">
        <f>Mitigation_Industry!P$178*INDEX(Data_EF!$G:$G,MATCH($G34,Data_EF!$A:$A,0))/1000000</f>
        <v>0</v>
      </c>
      <c r="Q34" s="19">
        <f>Mitigation_Industry!Q$178*INDEX(Data_EF!$G:$G,MATCH($G34,Data_EF!$A:$A,0))/1000000</f>
        <v>0</v>
      </c>
      <c r="R34" s="19">
        <f>Mitigation_Industry!R$178*INDEX(Data_EF!$G:$G,MATCH($G34,Data_EF!$A:$A,0))/1000000</f>
        <v>0</v>
      </c>
      <c r="S34" s="19">
        <f>Mitigation_Industry!S$178*INDEX(Data_EF!$G:$G,MATCH($G34,Data_EF!$A:$A,0))/1000000</f>
        <v>0</v>
      </c>
      <c r="T34" s="19">
        <f>Mitigation_Industry!T$178*INDEX(Data_EF!$G:$G,MATCH($G34,Data_EF!$A:$A,0))/1000000</f>
        <v>0</v>
      </c>
      <c r="U34" s="19">
        <f>Mitigation_Industry!U$178*INDEX(Data_EF!$G:$G,MATCH($G34,Data_EF!$A:$A,0))/1000000</f>
        <v>0</v>
      </c>
      <c r="V34" s="19">
        <f>Mitigation_Industry!V$178*INDEX(Data_EF!$G:$G,MATCH($G34,Data_EF!$A:$A,0))/1000000</f>
        <v>0</v>
      </c>
      <c r="W34" s="19">
        <f>Mitigation_Industry!W$178*INDEX(Data_EF!$G:$G,MATCH($G34,Data_EF!$A:$A,0))/1000000</f>
        <v>0</v>
      </c>
      <c r="X34" s="19">
        <f>Mitigation_Industry!X$178*INDEX(Data_EF!$G:$G,MATCH($G34,Data_EF!$A:$A,0))/1000000</f>
        <v>0</v>
      </c>
      <c r="Y34" s="19">
        <f>Mitigation_Industry!Y$178*INDEX(Data_EF!$G:$G,MATCH($G34,Data_EF!$A:$A,0))/1000000</f>
        <v>0</v>
      </c>
      <c r="Z34" s="19">
        <f>Mitigation_Industry!Z$178*INDEX(Data_EF!$G:$G,MATCH($G34,Data_EF!$A:$A,0))/1000000</f>
        <v>0</v>
      </c>
      <c r="AA34" s="19">
        <f>Mitigation_Industry!AA$178*INDEX(Data_EF!$G:$G,MATCH($G34,Data_EF!$A:$A,0))/1000000</f>
        <v>0</v>
      </c>
      <c r="AB34" s="19">
        <f>Mitigation_Industry!AB$178*INDEX(Data_EF!$G:$G,MATCH($G34,Data_EF!$A:$A,0))/1000000</f>
        <v>0</v>
      </c>
      <c r="AC34" s="19">
        <f>Mitigation_Industry!AC$178*INDEX(Data_EF!$G:$G,MATCH($G34,Data_EF!$A:$A,0))/1000000</f>
        <v>0</v>
      </c>
      <c r="AD34" s="19">
        <f>Mitigation_Industry!AD$178*INDEX(Data_EF!$G:$G,MATCH($G34,Data_EF!$A:$A,0))/1000000</f>
        <v>0</v>
      </c>
      <c r="AE34" s="19">
        <f>Mitigation_Industry!AE$178*INDEX(Data_EF!$G:$G,MATCH($G34,Data_EF!$A:$A,0))/1000000</f>
        <v>0</v>
      </c>
    </row>
    <row r="35" spans="1:35" customFormat="1" ht="14.25" x14ac:dyDescent="0.45">
      <c r="B35" s="14" t="s">
        <v>62</v>
      </c>
      <c r="C35" s="14" t="str">
        <f t="shared" si="4"/>
        <v>nfm</v>
      </c>
      <c r="D35" s="15" t="s">
        <v>63</v>
      </c>
      <c r="E35" s="16" t="s">
        <v>2068</v>
      </c>
      <c r="F35" s="14" t="s">
        <v>2069</v>
      </c>
      <c r="G35" s="128" t="str">
        <f>Settings!$B$3&amp;".mit.efc."&amp;$B35</f>
        <v>egy.mit.efc.ker</v>
      </c>
      <c r="H35" s="45" t="str">
        <f>Settings!$B$3&amp;".mit.eco2."&amp;$C$29&amp;"."&amp;$B35&amp;".e."&amp;$J$29</f>
        <v>egy.mit.eco2.nfm.ker.e.1</v>
      </c>
      <c r="I35" t="s">
        <v>2093</v>
      </c>
      <c r="L35" s="129">
        <f>Mitigation_Industry!L$179*INDEX(Data_EF!$G:$G,MATCH($G35,Data_EF!$A:$A,0))/1000000</f>
        <v>0</v>
      </c>
      <c r="M35" s="19">
        <f>Mitigation_Industry!M$179*INDEX(Data_EF!$G:$G,MATCH($G35,Data_EF!$A:$A,0))/1000000</f>
        <v>0</v>
      </c>
      <c r="N35" s="19">
        <f>Mitigation_Industry!N$179*INDEX(Data_EF!$G:$G,MATCH($G35,Data_EF!$A:$A,0))/1000000</f>
        <v>0</v>
      </c>
      <c r="O35" s="19">
        <f>Mitigation_Industry!O$179*INDEX(Data_EF!$G:$G,MATCH($G35,Data_EF!$A:$A,0))/1000000</f>
        <v>0</v>
      </c>
      <c r="P35" s="19">
        <f>Mitigation_Industry!P$179*INDEX(Data_EF!$G:$G,MATCH($G35,Data_EF!$A:$A,0))/1000000</f>
        <v>0</v>
      </c>
      <c r="Q35" s="19">
        <f>Mitigation_Industry!Q$179*INDEX(Data_EF!$G:$G,MATCH($G35,Data_EF!$A:$A,0))/1000000</f>
        <v>0</v>
      </c>
      <c r="R35" s="19">
        <f>Mitigation_Industry!R$179*INDEX(Data_EF!$G:$G,MATCH($G35,Data_EF!$A:$A,0))/1000000</f>
        <v>0</v>
      </c>
      <c r="S35" s="19">
        <f>Mitigation_Industry!S$179*INDEX(Data_EF!$G:$G,MATCH($G35,Data_EF!$A:$A,0))/1000000</f>
        <v>0</v>
      </c>
      <c r="T35" s="19">
        <f>Mitigation_Industry!T$179*INDEX(Data_EF!$G:$G,MATCH($G35,Data_EF!$A:$A,0))/1000000</f>
        <v>0</v>
      </c>
      <c r="U35" s="19">
        <f>Mitigation_Industry!U$179*INDEX(Data_EF!$G:$G,MATCH($G35,Data_EF!$A:$A,0))/1000000</f>
        <v>0</v>
      </c>
      <c r="V35" s="19">
        <f>Mitigation_Industry!V$179*INDEX(Data_EF!$G:$G,MATCH($G35,Data_EF!$A:$A,0))/1000000</f>
        <v>0</v>
      </c>
      <c r="W35" s="19">
        <f>Mitigation_Industry!W$179*INDEX(Data_EF!$G:$G,MATCH($G35,Data_EF!$A:$A,0))/1000000</f>
        <v>0</v>
      </c>
      <c r="X35" s="19">
        <f>Mitigation_Industry!X$179*INDEX(Data_EF!$G:$G,MATCH($G35,Data_EF!$A:$A,0))/1000000</f>
        <v>0</v>
      </c>
      <c r="Y35" s="19">
        <f>Mitigation_Industry!Y$179*INDEX(Data_EF!$G:$G,MATCH($G35,Data_EF!$A:$A,0))/1000000</f>
        <v>0</v>
      </c>
      <c r="Z35" s="19">
        <f>Mitigation_Industry!Z$179*INDEX(Data_EF!$G:$G,MATCH($G35,Data_EF!$A:$A,0))/1000000</f>
        <v>0</v>
      </c>
      <c r="AA35" s="19">
        <f>Mitigation_Industry!AA$179*INDEX(Data_EF!$G:$G,MATCH($G35,Data_EF!$A:$A,0))/1000000</f>
        <v>0</v>
      </c>
      <c r="AB35" s="19">
        <f>Mitigation_Industry!AB$179*INDEX(Data_EF!$G:$G,MATCH($G35,Data_EF!$A:$A,0))/1000000</f>
        <v>0</v>
      </c>
      <c r="AC35" s="19">
        <f>Mitigation_Industry!AC$179*INDEX(Data_EF!$G:$G,MATCH($G35,Data_EF!$A:$A,0))/1000000</f>
        <v>0</v>
      </c>
      <c r="AD35" s="19">
        <f>Mitigation_Industry!AD$179*INDEX(Data_EF!$G:$G,MATCH($G35,Data_EF!$A:$A,0))/1000000</f>
        <v>0</v>
      </c>
      <c r="AE35" s="19">
        <f>Mitigation_Industry!AE$179*INDEX(Data_EF!$G:$G,MATCH($G35,Data_EF!$A:$A,0))/1000000</f>
        <v>0</v>
      </c>
    </row>
    <row r="36" spans="1:35" customFormat="1" ht="14.25" x14ac:dyDescent="0.45">
      <c r="B36" s="14" t="s">
        <v>64</v>
      </c>
      <c r="C36" s="14" t="str">
        <f t="shared" si="4"/>
        <v>nfm</v>
      </c>
      <c r="D36" s="15" t="s">
        <v>65</v>
      </c>
      <c r="E36" s="16" t="s">
        <v>2068</v>
      </c>
      <c r="F36" s="14" t="s">
        <v>2069</v>
      </c>
      <c r="G36" s="128" t="str">
        <f>Settings!$B$3&amp;".mit.efc."&amp;$B36</f>
        <v>egy.mit.efc.oop</v>
      </c>
      <c r="H36" s="45" t="str">
        <f>Settings!$B$3&amp;".mit.eco2."&amp;$C$29&amp;"."&amp;$B36&amp;".e."&amp;$J$29</f>
        <v>egy.mit.eco2.nfm.oop.e.1</v>
      </c>
      <c r="I36" t="s">
        <v>2094</v>
      </c>
      <c r="L36" s="129">
        <f>Mitigation_Industry!L$180*INDEX(Data_EF!$G:$G,MATCH($G36,Data_EF!$A:$A,0))/1000000</f>
        <v>0</v>
      </c>
      <c r="M36" s="19">
        <f>Mitigation_Industry!M$180*INDEX(Data_EF!$G:$G,MATCH($G36,Data_EF!$A:$A,0))/1000000</f>
        <v>0</v>
      </c>
      <c r="N36" s="19">
        <f>Mitigation_Industry!N$180*INDEX(Data_EF!$G:$G,MATCH($G36,Data_EF!$A:$A,0))/1000000</f>
        <v>0</v>
      </c>
      <c r="O36" s="19">
        <f>Mitigation_Industry!O$180*INDEX(Data_EF!$G:$G,MATCH($G36,Data_EF!$A:$A,0))/1000000</f>
        <v>0</v>
      </c>
      <c r="P36" s="19">
        <f>Mitigation_Industry!P$180*INDEX(Data_EF!$G:$G,MATCH($G36,Data_EF!$A:$A,0))/1000000</f>
        <v>0</v>
      </c>
      <c r="Q36" s="19">
        <f>Mitigation_Industry!Q$180*INDEX(Data_EF!$G:$G,MATCH($G36,Data_EF!$A:$A,0))/1000000</f>
        <v>0</v>
      </c>
      <c r="R36" s="19">
        <f>Mitigation_Industry!R$180*INDEX(Data_EF!$G:$G,MATCH($G36,Data_EF!$A:$A,0))/1000000</f>
        <v>0</v>
      </c>
      <c r="S36" s="19">
        <f>Mitigation_Industry!S$180*INDEX(Data_EF!$G:$G,MATCH($G36,Data_EF!$A:$A,0))/1000000</f>
        <v>0</v>
      </c>
      <c r="T36" s="19">
        <f>Mitigation_Industry!T$180*INDEX(Data_EF!$G:$G,MATCH($G36,Data_EF!$A:$A,0))/1000000</f>
        <v>0</v>
      </c>
      <c r="U36" s="19">
        <f>Mitigation_Industry!U$180*INDEX(Data_EF!$G:$G,MATCH($G36,Data_EF!$A:$A,0))/1000000</f>
        <v>0</v>
      </c>
      <c r="V36" s="19">
        <f>Mitigation_Industry!V$180*INDEX(Data_EF!$G:$G,MATCH($G36,Data_EF!$A:$A,0))/1000000</f>
        <v>0</v>
      </c>
      <c r="W36" s="19">
        <f>Mitigation_Industry!W$180*INDEX(Data_EF!$G:$G,MATCH($G36,Data_EF!$A:$A,0))/1000000</f>
        <v>0</v>
      </c>
      <c r="X36" s="19">
        <f>Mitigation_Industry!X$180*INDEX(Data_EF!$G:$G,MATCH($G36,Data_EF!$A:$A,0))/1000000</f>
        <v>0</v>
      </c>
      <c r="Y36" s="19">
        <f>Mitigation_Industry!Y$180*INDEX(Data_EF!$G:$G,MATCH($G36,Data_EF!$A:$A,0))/1000000</f>
        <v>0</v>
      </c>
      <c r="Z36" s="19">
        <f>Mitigation_Industry!Z$180*INDEX(Data_EF!$G:$G,MATCH($G36,Data_EF!$A:$A,0))/1000000</f>
        <v>0</v>
      </c>
      <c r="AA36" s="19">
        <f>Mitigation_Industry!AA$180*INDEX(Data_EF!$G:$G,MATCH($G36,Data_EF!$A:$A,0))/1000000</f>
        <v>0</v>
      </c>
      <c r="AB36" s="19">
        <f>Mitigation_Industry!AB$180*INDEX(Data_EF!$G:$G,MATCH($G36,Data_EF!$A:$A,0))/1000000</f>
        <v>0</v>
      </c>
      <c r="AC36" s="19">
        <f>Mitigation_Industry!AC$180*INDEX(Data_EF!$G:$G,MATCH($G36,Data_EF!$A:$A,0))/1000000</f>
        <v>0</v>
      </c>
      <c r="AD36" s="19">
        <f>Mitigation_Industry!AD$180*INDEX(Data_EF!$G:$G,MATCH($G36,Data_EF!$A:$A,0))/1000000</f>
        <v>0</v>
      </c>
      <c r="AE36" s="19">
        <f>Mitigation_Industry!AE$180*INDEX(Data_EF!$G:$G,MATCH($G36,Data_EF!$A:$A,0))/1000000</f>
        <v>0</v>
      </c>
    </row>
    <row r="37" spans="1:35" customFormat="1" ht="14.25" x14ac:dyDescent="0.45">
      <c r="B37" s="14" t="s">
        <v>67</v>
      </c>
      <c r="C37" s="14" t="str">
        <f t="shared" si="4"/>
        <v>nfm</v>
      </c>
      <c r="D37" s="15" t="s">
        <v>68</v>
      </c>
      <c r="E37" s="16" t="s">
        <v>2068</v>
      </c>
      <c r="F37" s="14" t="s">
        <v>2069</v>
      </c>
      <c r="G37" s="128" t="str">
        <f>Settings!$B$3&amp;".mit.efc."&amp;$B37</f>
        <v>egy.mit.efc.bio</v>
      </c>
      <c r="H37" s="45" t="str">
        <f>Settings!$B$3&amp;".mit.eco2."&amp;$C$29&amp;"."&amp;$B37&amp;".e."&amp;$J$29</f>
        <v>egy.mit.eco2.nfm.bio.e.1</v>
      </c>
      <c r="I37" t="s">
        <v>2095</v>
      </c>
      <c r="L37" s="129">
        <f>Mitigation_Industry!L$181*INDEX(Data_EF!$G:$G,MATCH($G37,Data_EF!$A:$A,0))/1000000</f>
        <v>0</v>
      </c>
      <c r="M37" s="19">
        <f>Mitigation_Industry!M$181*INDEX(Data_EF!$G:$G,MATCH($G37,Data_EF!$A:$A,0))/1000000</f>
        <v>0</v>
      </c>
      <c r="N37" s="19">
        <f>Mitigation_Industry!N$181*INDEX(Data_EF!$G:$G,MATCH($G37,Data_EF!$A:$A,0))/1000000</f>
        <v>0</v>
      </c>
      <c r="O37" s="19">
        <f>Mitigation_Industry!O$181*INDEX(Data_EF!$G:$G,MATCH($G37,Data_EF!$A:$A,0))/1000000</f>
        <v>0</v>
      </c>
      <c r="P37" s="19">
        <f>Mitigation_Industry!P$181*INDEX(Data_EF!$G:$G,MATCH($G37,Data_EF!$A:$A,0))/1000000</f>
        <v>0</v>
      </c>
      <c r="Q37" s="19">
        <f>Mitigation_Industry!Q$181*INDEX(Data_EF!$G:$G,MATCH($G37,Data_EF!$A:$A,0))/1000000</f>
        <v>0</v>
      </c>
      <c r="R37" s="19">
        <f>Mitigation_Industry!R$181*INDEX(Data_EF!$G:$G,MATCH($G37,Data_EF!$A:$A,0))/1000000</f>
        <v>0</v>
      </c>
      <c r="S37" s="19">
        <f>Mitigation_Industry!S$181*INDEX(Data_EF!$G:$G,MATCH($G37,Data_EF!$A:$A,0))/1000000</f>
        <v>0</v>
      </c>
      <c r="T37" s="19">
        <f>Mitigation_Industry!T$181*INDEX(Data_EF!$G:$G,MATCH($G37,Data_EF!$A:$A,0))/1000000</f>
        <v>0</v>
      </c>
      <c r="U37" s="19">
        <f>Mitigation_Industry!U$181*INDEX(Data_EF!$G:$G,MATCH($G37,Data_EF!$A:$A,0))/1000000</f>
        <v>0</v>
      </c>
      <c r="V37" s="19">
        <f>Mitigation_Industry!V$181*INDEX(Data_EF!$G:$G,MATCH($G37,Data_EF!$A:$A,0))/1000000</f>
        <v>0</v>
      </c>
      <c r="W37" s="19">
        <f>Mitigation_Industry!W$181*INDEX(Data_EF!$G:$G,MATCH($G37,Data_EF!$A:$A,0))/1000000</f>
        <v>0</v>
      </c>
      <c r="X37" s="19">
        <f>Mitigation_Industry!X$181*INDEX(Data_EF!$G:$G,MATCH($G37,Data_EF!$A:$A,0))/1000000</f>
        <v>0</v>
      </c>
      <c r="Y37" s="19">
        <f>Mitigation_Industry!Y$181*INDEX(Data_EF!$G:$G,MATCH($G37,Data_EF!$A:$A,0))/1000000</f>
        <v>0</v>
      </c>
      <c r="Z37" s="19">
        <f>Mitigation_Industry!Z$181*INDEX(Data_EF!$G:$G,MATCH($G37,Data_EF!$A:$A,0))/1000000</f>
        <v>0</v>
      </c>
      <c r="AA37" s="19">
        <f>Mitigation_Industry!AA$181*INDEX(Data_EF!$G:$G,MATCH($G37,Data_EF!$A:$A,0))/1000000</f>
        <v>0</v>
      </c>
      <c r="AB37" s="19">
        <f>Mitigation_Industry!AB$181*INDEX(Data_EF!$G:$G,MATCH($G37,Data_EF!$A:$A,0))/1000000</f>
        <v>0</v>
      </c>
      <c r="AC37" s="19">
        <f>Mitigation_Industry!AC$181*INDEX(Data_EF!$G:$G,MATCH($G37,Data_EF!$A:$A,0))/1000000</f>
        <v>0</v>
      </c>
      <c r="AD37" s="19">
        <f>Mitigation_Industry!AD$181*INDEX(Data_EF!$G:$G,MATCH($G37,Data_EF!$A:$A,0))/1000000</f>
        <v>0</v>
      </c>
      <c r="AE37" s="19">
        <f>Mitigation_Industry!AE$181*INDEX(Data_EF!$G:$G,MATCH($G37,Data_EF!$A:$A,0))/1000000</f>
        <v>0</v>
      </c>
    </row>
    <row r="38" spans="1:35" customFormat="1" ht="14.25" x14ac:dyDescent="0.45">
      <c r="B38" s="14" t="s">
        <v>69</v>
      </c>
      <c r="C38" s="14" t="str">
        <f t="shared" si="4"/>
        <v>nfm</v>
      </c>
      <c r="D38" s="15" t="s">
        <v>70</v>
      </c>
      <c r="E38" s="16" t="s">
        <v>2068</v>
      </c>
      <c r="F38" s="14" t="s">
        <v>2069</v>
      </c>
      <c r="G38" s="128" t="str">
        <f>Settings!$B$3&amp;".mit.efc."&amp;$B38</f>
        <v>egy.mit.efc.ren</v>
      </c>
      <c r="H38" s="45" t="str">
        <f>Settings!$B$3&amp;".mit.eco2."&amp;$C$29&amp;"."&amp;$B38&amp;".e."&amp;$J$29</f>
        <v>egy.mit.eco2.nfm.ren.e.1</v>
      </c>
      <c r="I38" t="s">
        <v>2096</v>
      </c>
      <c r="L38" s="129">
        <f>Mitigation_Industry!L$182*INDEX(Data_EF!$G:$G,MATCH($G38,Data_EF!$A:$A,0))/1000000</f>
        <v>0</v>
      </c>
      <c r="M38" s="19">
        <f>Mitigation_Industry!M$182*INDEX(Data_EF!$G:$G,MATCH($G38,Data_EF!$A:$A,0))/1000000</f>
        <v>0</v>
      </c>
      <c r="N38" s="19">
        <f>Mitigation_Industry!N$182*INDEX(Data_EF!$G:$G,MATCH($G38,Data_EF!$A:$A,0))/1000000</f>
        <v>0</v>
      </c>
      <c r="O38" s="19">
        <f>Mitigation_Industry!O$182*INDEX(Data_EF!$G:$G,MATCH($G38,Data_EF!$A:$A,0))/1000000</f>
        <v>0</v>
      </c>
      <c r="P38" s="19">
        <f>Mitigation_Industry!P$182*INDEX(Data_EF!$G:$G,MATCH($G38,Data_EF!$A:$A,0))/1000000</f>
        <v>0</v>
      </c>
      <c r="Q38" s="19">
        <f>Mitigation_Industry!Q$182*INDEX(Data_EF!$G:$G,MATCH($G38,Data_EF!$A:$A,0))/1000000</f>
        <v>0</v>
      </c>
      <c r="R38" s="19">
        <f>Mitigation_Industry!R$182*INDEX(Data_EF!$G:$G,MATCH($G38,Data_EF!$A:$A,0))/1000000</f>
        <v>0</v>
      </c>
      <c r="S38" s="19">
        <f>Mitigation_Industry!S$182*INDEX(Data_EF!$G:$G,MATCH($G38,Data_EF!$A:$A,0))/1000000</f>
        <v>0</v>
      </c>
      <c r="T38" s="19">
        <f>Mitigation_Industry!T$182*INDEX(Data_EF!$G:$G,MATCH($G38,Data_EF!$A:$A,0))/1000000</f>
        <v>0</v>
      </c>
      <c r="U38" s="19">
        <f>Mitigation_Industry!U$182*INDEX(Data_EF!$G:$G,MATCH($G38,Data_EF!$A:$A,0))/1000000</f>
        <v>0</v>
      </c>
      <c r="V38" s="19">
        <f>Mitigation_Industry!V$182*INDEX(Data_EF!$G:$G,MATCH($G38,Data_EF!$A:$A,0))/1000000</f>
        <v>0</v>
      </c>
      <c r="W38" s="19">
        <f>Mitigation_Industry!W$182*INDEX(Data_EF!$G:$G,MATCH($G38,Data_EF!$A:$A,0))/1000000</f>
        <v>0</v>
      </c>
      <c r="X38" s="19">
        <f>Mitigation_Industry!X$182*INDEX(Data_EF!$G:$G,MATCH($G38,Data_EF!$A:$A,0))/1000000</f>
        <v>0</v>
      </c>
      <c r="Y38" s="19">
        <f>Mitigation_Industry!Y$182*INDEX(Data_EF!$G:$G,MATCH($G38,Data_EF!$A:$A,0))/1000000</f>
        <v>0</v>
      </c>
      <c r="Z38" s="19">
        <f>Mitigation_Industry!Z$182*INDEX(Data_EF!$G:$G,MATCH($G38,Data_EF!$A:$A,0))/1000000</f>
        <v>0</v>
      </c>
      <c r="AA38" s="19">
        <f>Mitigation_Industry!AA$182*INDEX(Data_EF!$G:$G,MATCH($G38,Data_EF!$A:$A,0))/1000000</f>
        <v>0</v>
      </c>
      <c r="AB38" s="19">
        <f>Mitigation_Industry!AB$182*INDEX(Data_EF!$G:$G,MATCH($G38,Data_EF!$A:$A,0))/1000000</f>
        <v>0</v>
      </c>
      <c r="AC38" s="19">
        <f>Mitigation_Industry!AC$182*INDEX(Data_EF!$G:$G,MATCH($G38,Data_EF!$A:$A,0))/1000000</f>
        <v>0</v>
      </c>
      <c r="AD38" s="19">
        <f>Mitigation_Industry!AD$182*INDEX(Data_EF!$G:$G,MATCH($G38,Data_EF!$A:$A,0))/1000000</f>
        <v>0</v>
      </c>
      <c r="AE38" s="19">
        <f>Mitigation_Industry!AE$182*INDEX(Data_EF!$G:$G,MATCH($G38,Data_EF!$A:$A,0))/1000000</f>
        <v>0</v>
      </c>
    </row>
    <row r="39" spans="1:35" customFormat="1" ht="14.25" x14ac:dyDescent="0.45">
      <c r="B39" s="14" t="s">
        <v>110</v>
      </c>
      <c r="C39" s="14" t="str">
        <f t="shared" si="4"/>
        <v>nfm</v>
      </c>
      <c r="D39" s="25" t="s">
        <v>111</v>
      </c>
      <c r="E39" s="16" t="s">
        <v>2068</v>
      </c>
      <c r="F39" s="14" t="s">
        <v>2069</v>
      </c>
      <c r="H39" s="45" t="str">
        <f>Settings!$B$3&amp;".mit.eco2."&amp;$C$29&amp;".tot.e."&amp;$J$29</f>
        <v>egy.mit.eco2.nfm.tot.e.1</v>
      </c>
      <c r="L39" s="130">
        <f t="shared" ref="L39:AE39" si="5">SUM(L30:L38)</f>
        <v>0</v>
      </c>
      <c r="M39" s="130">
        <f t="shared" si="5"/>
        <v>0</v>
      </c>
      <c r="N39" s="130">
        <f t="shared" si="5"/>
        <v>0</v>
      </c>
      <c r="O39" s="130">
        <f t="shared" si="5"/>
        <v>0</v>
      </c>
      <c r="P39" s="130">
        <f t="shared" si="5"/>
        <v>0</v>
      </c>
      <c r="Q39" s="130">
        <f t="shared" si="5"/>
        <v>0</v>
      </c>
      <c r="R39" s="130">
        <f t="shared" si="5"/>
        <v>0</v>
      </c>
      <c r="S39" s="130">
        <f t="shared" si="5"/>
        <v>0</v>
      </c>
      <c r="T39" s="130">
        <f t="shared" si="5"/>
        <v>0</v>
      </c>
      <c r="U39" s="130">
        <f t="shared" si="5"/>
        <v>0</v>
      </c>
      <c r="V39" s="130">
        <f t="shared" si="5"/>
        <v>0</v>
      </c>
      <c r="W39" s="130">
        <f t="shared" si="5"/>
        <v>0</v>
      </c>
      <c r="X39" s="130">
        <f t="shared" si="5"/>
        <v>0</v>
      </c>
      <c r="Y39" s="130">
        <f t="shared" si="5"/>
        <v>0</v>
      </c>
      <c r="Z39" s="130">
        <f t="shared" si="5"/>
        <v>0</v>
      </c>
      <c r="AA39" s="130">
        <f t="shared" si="5"/>
        <v>0</v>
      </c>
      <c r="AB39" s="130">
        <f t="shared" si="5"/>
        <v>0</v>
      </c>
      <c r="AC39" s="130">
        <f t="shared" si="5"/>
        <v>0</v>
      </c>
      <c r="AD39" s="130">
        <f t="shared" si="5"/>
        <v>0</v>
      </c>
      <c r="AE39" s="130">
        <f t="shared" si="5"/>
        <v>0</v>
      </c>
    </row>
    <row r="41" spans="1:35" customFormat="1" ht="14.25" x14ac:dyDescent="0.45">
      <c r="A41" s="11"/>
      <c r="B41" s="6" t="s">
        <v>116</v>
      </c>
      <c r="C41" s="7" t="s">
        <v>117</v>
      </c>
      <c r="D41" s="6" t="s">
        <v>44</v>
      </c>
      <c r="E41" s="7" t="s">
        <v>35</v>
      </c>
      <c r="F41" s="7" t="s">
        <v>45</v>
      </c>
      <c r="G41" s="7" t="s">
        <v>2067</v>
      </c>
      <c r="H41" s="12" t="s">
        <v>38</v>
      </c>
      <c r="I41" s="6" t="s">
        <v>47</v>
      </c>
      <c r="J41" s="48">
        <v>1</v>
      </c>
      <c r="K41" s="6">
        <v>2021</v>
      </c>
      <c r="L41" s="46">
        <v>2022</v>
      </c>
      <c r="M41" s="6">
        <v>2023</v>
      </c>
      <c r="N41" s="6">
        <v>2024</v>
      </c>
      <c r="O41" s="6">
        <v>2025</v>
      </c>
      <c r="P41" s="6">
        <v>2026</v>
      </c>
      <c r="Q41" s="6">
        <v>2027</v>
      </c>
      <c r="R41" s="6">
        <v>2028</v>
      </c>
      <c r="S41" s="6">
        <v>2029</v>
      </c>
      <c r="T41" s="6">
        <v>2030</v>
      </c>
      <c r="U41" s="6">
        <v>2031</v>
      </c>
      <c r="V41" s="6">
        <v>2032</v>
      </c>
      <c r="W41" s="6">
        <v>2033</v>
      </c>
      <c r="X41" s="6">
        <v>2034</v>
      </c>
      <c r="Y41" s="6">
        <v>2035</v>
      </c>
      <c r="Z41" s="6">
        <v>2036</v>
      </c>
      <c r="AA41" s="6">
        <v>2037</v>
      </c>
      <c r="AB41" s="6">
        <v>2038</v>
      </c>
      <c r="AC41" s="6">
        <v>2039</v>
      </c>
      <c r="AD41" s="6">
        <v>2040</v>
      </c>
      <c r="AE41" s="6">
        <v>2041</v>
      </c>
      <c r="AF41" s="6">
        <v>2042</v>
      </c>
      <c r="AG41" s="6">
        <v>2043</v>
      </c>
      <c r="AH41" s="6">
        <v>2044</v>
      </c>
      <c r="AI41" s="6">
        <v>2045</v>
      </c>
    </row>
    <row r="42" spans="1:35" customFormat="1" ht="14.25" x14ac:dyDescent="0.45">
      <c r="B42" s="14" t="s">
        <v>49</v>
      </c>
      <c r="C42" s="14" t="str">
        <f t="shared" ref="C42:C51" si="6">$C$41</f>
        <v>mch</v>
      </c>
      <c r="D42" s="15" t="s">
        <v>50</v>
      </c>
      <c r="E42" s="16" t="s">
        <v>2068</v>
      </c>
      <c r="F42" s="14" t="s">
        <v>2069</v>
      </c>
      <c r="G42" s="128" t="str">
        <f>Settings!$B$3&amp;".mit.efc."&amp;$B42</f>
        <v>egy.mit.efc.coa</v>
      </c>
      <c r="H42" s="45" t="str">
        <f>Settings!$B$3&amp;".mit.eco2."&amp;$C$41&amp;"."&amp;$B42&amp;".e."&amp;$J$41</f>
        <v>egy.mit.eco2.mch.coa.e.1</v>
      </c>
      <c r="I42" t="s">
        <v>2097</v>
      </c>
      <c r="L42" s="129">
        <f>Mitigation_Industry!L$234*INDEX(Data_EF!$G:$G,MATCH($G42,Data_EF!$A:$A,0))/1000000</f>
        <v>0</v>
      </c>
      <c r="M42" s="19">
        <f>Mitigation_Industry!M$234*INDEX(Data_EF!$G:$G,MATCH($G42,Data_EF!$A:$A,0))/1000000</f>
        <v>0</v>
      </c>
      <c r="N42" s="19">
        <f>Mitigation_Industry!N$234*INDEX(Data_EF!$G:$G,MATCH($G42,Data_EF!$A:$A,0))/1000000</f>
        <v>0</v>
      </c>
      <c r="O42" s="19">
        <f>Mitigation_Industry!O$234*INDEX(Data_EF!$G:$G,MATCH($G42,Data_EF!$A:$A,0))/1000000</f>
        <v>0</v>
      </c>
      <c r="P42" s="19">
        <f>Mitigation_Industry!P$234*INDEX(Data_EF!$G:$G,MATCH($G42,Data_EF!$A:$A,0))/1000000</f>
        <v>0</v>
      </c>
      <c r="Q42" s="19">
        <f>Mitigation_Industry!Q$234*INDEX(Data_EF!$G:$G,MATCH($G42,Data_EF!$A:$A,0))/1000000</f>
        <v>0</v>
      </c>
      <c r="R42" s="19">
        <f>Mitigation_Industry!R$234*INDEX(Data_EF!$G:$G,MATCH($G42,Data_EF!$A:$A,0))/1000000</f>
        <v>0</v>
      </c>
      <c r="S42" s="19">
        <f>Mitigation_Industry!S$234*INDEX(Data_EF!$G:$G,MATCH($G42,Data_EF!$A:$A,0))/1000000</f>
        <v>0</v>
      </c>
      <c r="T42" s="19">
        <f>Mitigation_Industry!T$234*INDEX(Data_EF!$G:$G,MATCH($G42,Data_EF!$A:$A,0))/1000000</f>
        <v>0</v>
      </c>
      <c r="U42" s="19">
        <f>Mitigation_Industry!U$234*INDEX(Data_EF!$G:$G,MATCH($G42,Data_EF!$A:$A,0))/1000000</f>
        <v>0</v>
      </c>
      <c r="V42" s="19">
        <f>Mitigation_Industry!V$234*INDEX(Data_EF!$G:$G,MATCH($G42,Data_EF!$A:$A,0))/1000000</f>
        <v>0</v>
      </c>
      <c r="W42" s="19">
        <f>Mitigation_Industry!W$234*INDEX(Data_EF!$G:$G,MATCH($G42,Data_EF!$A:$A,0))/1000000</f>
        <v>0</v>
      </c>
      <c r="X42" s="19">
        <f>Mitigation_Industry!X$234*INDEX(Data_EF!$G:$G,MATCH($G42,Data_EF!$A:$A,0))/1000000</f>
        <v>0</v>
      </c>
      <c r="Y42" s="19">
        <f>Mitigation_Industry!Y$234*INDEX(Data_EF!$G:$G,MATCH($G42,Data_EF!$A:$A,0))/1000000</f>
        <v>0</v>
      </c>
      <c r="Z42" s="19">
        <f>Mitigation_Industry!Z$234*INDEX(Data_EF!$G:$G,MATCH($G42,Data_EF!$A:$A,0))/1000000</f>
        <v>0</v>
      </c>
      <c r="AA42" s="19">
        <f>Mitigation_Industry!AA$234*INDEX(Data_EF!$G:$G,MATCH($G42,Data_EF!$A:$A,0))/1000000</f>
        <v>0</v>
      </c>
      <c r="AB42" s="19">
        <f>Mitigation_Industry!AB$234*INDEX(Data_EF!$G:$G,MATCH($G42,Data_EF!$A:$A,0))/1000000</f>
        <v>0</v>
      </c>
      <c r="AC42" s="19">
        <f>Mitigation_Industry!AC$234*INDEX(Data_EF!$G:$G,MATCH($G42,Data_EF!$A:$A,0))/1000000</f>
        <v>0</v>
      </c>
      <c r="AD42" s="19">
        <f>Mitigation_Industry!AD$234*INDEX(Data_EF!$G:$G,MATCH($G42,Data_EF!$A:$A,0))/1000000</f>
        <v>0</v>
      </c>
      <c r="AE42" s="19">
        <f>Mitigation_Industry!AE$234*INDEX(Data_EF!$G:$G,MATCH($G42,Data_EF!$A:$A,0))/1000000</f>
        <v>0</v>
      </c>
    </row>
    <row r="43" spans="1:35" customFormat="1" ht="14.25" x14ac:dyDescent="0.45">
      <c r="B43" s="14" t="s">
        <v>53</v>
      </c>
      <c r="C43" s="14" t="str">
        <f t="shared" si="6"/>
        <v>mch</v>
      </c>
      <c r="D43" s="15" t="s">
        <v>54</v>
      </c>
      <c r="E43" s="16" t="s">
        <v>2068</v>
      </c>
      <c r="F43" s="14" t="s">
        <v>2069</v>
      </c>
      <c r="G43" s="128" t="str">
        <f>Settings!$B$3&amp;".mit.efc."&amp;$B43</f>
        <v>egy.mit.efc.nga</v>
      </c>
      <c r="H43" s="45" t="str">
        <f>Settings!$B$3&amp;".mit.eco2."&amp;$C$41&amp;"."&amp;$B43&amp;".e."&amp;$J$41</f>
        <v>egy.mit.eco2.mch.nga.e.1</v>
      </c>
      <c r="I43" t="s">
        <v>2098</v>
      </c>
      <c r="L43" s="129">
        <f>Mitigation_Industry!L$235*INDEX(Data_EF!$G:$G,MATCH($G43,Data_EF!$A:$A,0))/1000000</f>
        <v>0</v>
      </c>
      <c r="M43" s="19">
        <f>Mitigation_Industry!M$235*INDEX(Data_EF!$G:$G,MATCH($G43,Data_EF!$A:$A,0))/1000000</f>
        <v>0</v>
      </c>
      <c r="N43" s="19">
        <f>Mitigation_Industry!N$235*INDEX(Data_EF!$G:$G,MATCH($G43,Data_EF!$A:$A,0))/1000000</f>
        <v>0</v>
      </c>
      <c r="O43" s="19">
        <f>Mitigation_Industry!O$235*INDEX(Data_EF!$G:$G,MATCH($G43,Data_EF!$A:$A,0))/1000000</f>
        <v>0</v>
      </c>
      <c r="P43" s="19">
        <f>Mitigation_Industry!P$235*INDEX(Data_EF!$G:$G,MATCH($G43,Data_EF!$A:$A,0))/1000000</f>
        <v>0</v>
      </c>
      <c r="Q43" s="19">
        <f>Mitigation_Industry!Q$235*INDEX(Data_EF!$G:$G,MATCH($G43,Data_EF!$A:$A,0))/1000000</f>
        <v>0</v>
      </c>
      <c r="R43" s="19">
        <f>Mitigation_Industry!R$235*INDEX(Data_EF!$G:$G,MATCH($G43,Data_EF!$A:$A,0))/1000000</f>
        <v>0</v>
      </c>
      <c r="S43" s="19">
        <f>Mitigation_Industry!S$235*INDEX(Data_EF!$G:$G,MATCH($G43,Data_EF!$A:$A,0))/1000000</f>
        <v>0</v>
      </c>
      <c r="T43" s="19">
        <f>Mitigation_Industry!T$235*INDEX(Data_EF!$G:$G,MATCH($G43,Data_EF!$A:$A,0))/1000000</f>
        <v>0</v>
      </c>
      <c r="U43" s="19">
        <f>Mitigation_Industry!U$235*INDEX(Data_EF!$G:$G,MATCH($G43,Data_EF!$A:$A,0))/1000000</f>
        <v>0</v>
      </c>
      <c r="V43" s="19">
        <f>Mitigation_Industry!V$235*INDEX(Data_EF!$G:$G,MATCH($G43,Data_EF!$A:$A,0))/1000000</f>
        <v>0</v>
      </c>
      <c r="W43" s="19">
        <f>Mitigation_Industry!W$235*INDEX(Data_EF!$G:$G,MATCH($G43,Data_EF!$A:$A,0))/1000000</f>
        <v>0</v>
      </c>
      <c r="X43" s="19">
        <f>Mitigation_Industry!X$235*INDEX(Data_EF!$G:$G,MATCH($G43,Data_EF!$A:$A,0))/1000000</f>
        <v>0</v>
      </c>
      <c r="Y43" s="19">
        <f>Mitigation_Industry!Y$235*INDEX(Data_EF!$G:$G,MATCH($G43,Data_EF!$A:$A,0))/1000000</f>
        <v>0</v>
      </c>
      <c r="Z43" s="19">
        <f>Mitigation_Industry!Z$235*INDEX(Data_EF!$G:$G,MATCH($G43,Data_EF!$A:$A,0))/1000000</f>
        <v>0</v>
      </c>
      <c r="AA43" s="19">
        <f>Mitigation_Industry!AA$235*INDEX(Data_EF!$G:$G,MATCH($G43,Data_EF!$A:$A,0))/1000000</f>
        <v>0</v>
      </c>
      <c r="AB43" s="19">
        <f>Mitigation_Industry!AB$235*INDEX(Data_EF!$G:$G,MATCH($G43,Data_EF!$A:$A,0))/1000000</f>
        <v>0</v>
      </c>
      <c r="AC43" s="19">
        <f>Mitigation_Industry!AC$235*INDEX(Data_EF!$G:$G,MATCH($G43,Data_EF!$A:$A,0))/1000000</f>
        <v>0</v>
      </c>
      <c r="AD43" s="19">
        <f>Mitigation_Industry!AD$235*INDEX(Data_EF!$G:$G,MATCH($G43,Data_EF!$A:$A,0))/1000000</f>
        <v>0</v>
      </c>
      <c r="AE43" s="19">
        <f>Mitigation_Industry!AE$235*INDEX(Data_EF!$G:$G,MATCH($G43,Data_EF!$A:$A,0))/1000000</f>
        <v>0</v>
      </c>
    </row>
    <row r="44" spans="1:35" customFormat="1" ht="14.25" x14ac:dyDescent="0.45">
      <c r="B44" s="14" t="s">
        <v>55</v>
      </c>
      <c r="C44" s="14" t="str">
        <f t="shared" si="6"/>
        <v>mch</v>
      </c>
      <c r="D44" s="15" t="s">
        <v>56</v>
      </c>
      <c r="E44" s="16" t="s">
        <v>2068</v>
      </c>
      <c r="F44" s="14" t="s">
        <v>2069</v>
      </c>
      <c r="G44" s="128" t="str">
        <f>Settings!$B$3&amp;".mit.efc."&amp;$B44</f>
        <v>egy.mit.efc.gso</v>
      </c>
      <c r="H44" s="45" t="str">
        <f>Settings!$B$3&amp;".mit.eco2."&amp;$C$41&amp;"."&amp;$B44&amp;".e."&amp;$J$41</f>
        <v>egy.mit.eco2.mch.gso.e.1</v>
      </c>
      <c r="I44" t="s">
        <v>2099</v>
      </c>
      <c r="L44" s="129">
        <f>Mitigation_Industry!L$236*INDEX(Data_EF!$G:$G,MATCH($G44,Data_EF!$A:$A,0))/1000000</f>
        <v>0</v>
      </c>
      <c r="M44" s="19">
        <f>Mitigation_Industry!M$236*INDEX(Data_EF!$G:$G,MATCH($G44,Data_EF!$A:$A,0))/1000000</f>
        <v>0</v>
      </c>
      <c r="N44" s="19">
        <f>Mitigation_Industry!N$236*INDEX(Data_EF!$G:$G,MATCH($G44,Data_EF!$A:$A,0))/1000000</f>
        <v>0</v>
      </c>
      <c r="O44" s="19">
        <f>Mitigation_Industry!O$236*INDEX(Data_EF!$G:$G,MATCH($G44,Data_EF!$A:$A,0))/1000000</f>
        <v>0</v>
      </c>
      <c r="P44" s="19">
        <f>Mitigation_Industry!P$236*INDEX(Data_EF!$G:$G,MATCH($G44,Data_EF!$A:$A,0))/1000000</f>
        <v>0</v>
      </c>
      <c r="Q44" s="19">
        <f>Mitigation_Industry!Q$236*INDEX(Data_EF!$G:$G,MATCH($G44,Data_EF!$A:$A,0))/1000000</f>
        <v>0</v>
      </c>
      <c r="R44" s="19">
        <f>Mitigation_Industry!R$236*INDEX(Data_EF!$G:$G,MATCH($G44,Data_EF!$A:$A,0))/1000000</f>
        <v>0</v>
      </c>
      <c r="S44" s="19">
        <f>Mitigation_Industry!S$236*INDEX(Data_EF!$G:$G,MATCH($G44,Data_EF!$A:$A,0))/1000000</f>
        <v>0</v>
      </c>
      <c r="T44" s="19">
        <f>Mitigation_Industry!T$236*INDEX(Data_EF!$G:$G,MATCH($G44,Data_EF!$A:$A,0))/1000000</f>
        <v>0</v>
      </c>
      <c r="U44" s="19">
        <f>Mitigation_Industry!U$236*INDEX(Data_EF!$G:$G,MATCH($G44,Data_EF!$A:$A,0))/1000000</f>
        <v>0</v>
      </c>
      <c r="V44" s="19">
        <f>Mitigation_Industry!V$236*INDEX(Data_EF!$G:$G,MATCH($G44,Data_EF!$A:$A,0))/1000000</f>
        <v>0</v>
      </c>
      <c r="W44" s="19">
        <f>Mitigation_Industry!W$236*INDEX(Data_EF!$G:$G,MATCH($G44,Data_EF!$A:$A,0))/1000000</f>
        <v>0</v>
      </c>
      <c r="X44" s="19">
        <f>Mitigation_Industry!X$236*INDEX(Data_EF!$G:$G,MATCH($G44,Data_EF!$A:$A,0))/1000000</f>
        <v>0</v>
      </c>
      <c r="Y44" s="19">
        <f>Mitigation_Industry!Y$236*INDEX(Data_EF!$G:$G,MATCH($G44,Data_EF!$A:$A,0))/1000000</f>
        <v>0</v>
      </c>
      <c r="Z44" s="19">
        <f>Mitigation_Industry!Z$236*INDEX(Data_EF!$G:$G,MATCH($G44,Data_EF!$A:$A,0))/1000000</f>
        <v>0</v>
      </c>
      <c r="AA44" s="19">
        <f>Mitigation_Industry!AA$236*INDEX(Data_EF!$G:$G,MATCH($G44,Data_EF!$A:$A,0))/1000000</f>
        <v>0</v>
      </c>
      <c r="AB44" s="19">
        <f>Mitigation_Industry!AB$236*INDEX(Data_EF!$G:$G,MATCH($G44,Data_EF!$A:$A,0))/1000000</f>
        <v>0</v>
      </c>
      <c r="AC44" s="19">
        <f>Mitigation_Industry!AC$236*INDEX(Data_EF!$G:$G,MATCH($G44,Data_EF!$A:$A,0))/1000000</f>
        <v>0</v>
      </c>
      <c r="AD44" s="19">
        <f>Mitigation_Industry!AD$236*INDEX(Data_EF!$G:$G,MATCH($G44,Data_EF!$A:$A,0))/1000000</f>
        <v>0</v>
      </c>
      <c r="AE44" s="19">
        <f>Mitigation_Industry!AE$236*INDEX(Data_EF!$G:$G,MATCH($G44,Data_EF!$A:$A,0))/1000000</f>
        <v>0</v>
      </c>
    </row>
    <row r="45" spans="1:35" customFormat="1" ht="14.25" x14ac:dyDescent="0.45">
      <c r="B45" s="14" t="s">
        <v>58</v>
      </c>
      <c r="C45" s="14" t="str">
        <f t="shared" si="6"/>
        <v>mch</v>
      </c>
      <c r="D45" s="15" t="s">
        <v>59</v>
      </c>
      <c r="E45" s="16" t="s">
        <v>2068</v>
      </c>
      <c r="F45" s="14" t="s">
        <v>2069</v>
      </c>
      <c r="G45" s="128" t="str">
        <f>Settings!$B$3&amp;".mit.efc."&amp;$B45</f>
        <v>egy.mit.efc.die</v>
      </c>
      <c r="H45" s="45" t="str">
        <f>Settings!$B$3&amp;".mit.eco2."&amp;$C$41&amp;"."&amp;$B45&amp;".e."&amp;$J$41</f>
        <v>egy.mit.eco2.mch.die.e.1</v>
      </c>
      <c r="I45" t="s">
        <v>2100</v>
      </c>
      <c r="L45" s="129">
        <f>Mitigation_Industry!L$237*INDEX(Data_EF!$G:$G,MATCH($G45,Data_EF!$A:$A,0))/1000000</f>
        <v>0</v>
      </c>
      <c r="M45" s="19">
        <f>Mitigation_Industry!M$237*INDEX(Data_EF!$G:$G,MATCH($G45,Data_EF!$A:$A,0))/1000000</f>
        <v>0</v>
      </c>
      <c r="N45" s="19">
        <f>Mitigation_Industry!N$237*INDEX(Data_EF!$G:$G,MATCH($G45,Data_EF!$A:$A,0))/1000000</f>
        <v>0</v>
      </c>
      <c r="O45" s="19">
        <f>Mitigation_Industry!O$237*INDEX(Data_EF!$G:$G,MATCH($G45,Data_EF!$A:$A,0))/1000000</f>
        <v>0</v>
      </c>
      <c r="P45" s="19">
        <f>Mitigation_Industry!P$237*INDEX(Data_EF!$G:$G,MATCH($G45,Data_EF!$A:$A,0))/1000000</f>
        <v>0</v>
      </c>
      <c r="Q45" s="19">
        <f>Mitigation_Industry!Q$237*INDEX(Data_EF!$G:$G,MATCH($G45,Data_EF!$A:$A,0))/1000000</f>
        <v>0</v>
      </c>
      <c r="R45" s="19">
        <f>Mitigation_Industry!R$237*INDEX(Data_EF!$G:$G,MATCH($G45,Data_EF!$A:$A,0))/1000000</f>
        <v>0</v>
      </c>
      <c r="S45" s="19">
        <f>Mitigation_Industry!S$237*INDEX(Data_EF!$G:$G,MATCH($G45,Data_EF!$A:$A,0))/1000000</f>
        <v>0</v>
      </c>
      <c r="T45" s="19">
        <f>Mitigation_Industry!T$237*INDEX(Data_EF!$G:$G,MATCH($G45,Data_EF!$A:$A,0))/1000000</f>
        <v>0</v>
      </c>
      <c r="U45" s="19">
        <f>Mitigation_Industry!U$237*INDEX(Data_EF!$G:$G,MATCH($G45,Data_EF!$A:$A,0))/1000000</f>
        <v>0</v>
      </c>
      <c r="V45" s="19">
        <f>Mitigation_Industry!V$237*INDEX(Data_EF!$G:$G,MATCH($G45,Data_EF!$A:$A,0))/1000000</f>
        <v>0</v>
      </c>
      <c r="W45" s="19">
        <f>Mitigation_Industry!W$237*INDEX(Data_EF!$G:$G,MATCH($G45,Data_EF!$A:$A,0))/1000000</f>
        <v>0</v>
      </c>
      <c r="X45" s="19">
        <f>Mitigation_Industry!X$237*INDEX(Data_EF!$G:$G,MATCH($G45,Data_EF!$A:$A,0))/1000000</f>
        <v>0</v>
      </c>
      <c r="Y45" s="19">
        <f>Mitigation_Industry!Y$237*INDEX(Data_EF!$G:$G,MATCH($G45,Data_EF!$A:$A,0))/1000000</f>
        <v>0</v>
      </c>
      <c r="Z45" s="19">
        <f>Mitigation_Industry!Z$237*INDEX(Data_EF!$G:$G,MATCH($G45,Data_EF!$A:$A,0))/1000000</f>
        <v>0</v>
      </c>
      <c r="AA45" s="19">
        <f>Mitigation_Industry!AA$237*INDEX(Data_EF!$G:$G,MATCH($G45,Data_EF!$A:$A,0))/1000000</f>
        <v>0</v>
      </c>
      <c r="AB45" s="19">
        <f>Mitigation_Industry!AB$237*INDEX(Data_EF!$G:$G,MATCH($G45,Data_EF!$A:$A,0))/1000000</f>
        <v>0</v>
      </c>
      <c r="AC45" s="19">
        <f>Mitigation_Industry!AC$237*INDEX(Data_EF!$G:$G,MATCH($G45,Data_EF!$A:$A,0))/1000000</f>
        <v>0</v>
      </c>
      <c r="AD45" s="19">
        <f>Mitigation_Industry!AD$237*INDEX(Data_EF!$G:$G,MATCH($G45,Data_EF!$A:$A,0))/1000000</f>
        <v>0</v>
      </c>
      <c r="AE45" s="19">
        <f>Mitigation_Industry!AE$237*INDEX(Data_EF!$G:$G,MATCH($G45,Data_EF!$A:$A,0))/1000000</f>
        <v>0</v>
      </c>
    </row>
    <row r="46" spans="1:35" customFormat="1" ht="14.25" x14ac:dyDescent="0.45">
      <c r="B46" s="14" t="s">
        <v>60</v>
      </c>
      <c r="C46" s="14" t="str">
        <f t="shared" si="6"/>
        <v>mch</v>
      </c>
      <c r="D46" s="15" t="s">
        <v>61</v>
      </c>
      <c r="E46" s="16" t="s">
        <v>2068</v>
      </c>
      <c r="F46" s="14" t="s">
        <v>2069</v>
      </c>
      <c r="G46" s="128" t="str">
        <f>Settings!$B$3&amp;".mit.efc."&amp;$B46</f>
        <v>egy.mit.efc.lpg</v>
      </c>
      <c r="H46" s="45" t="str">
        <f>Settings!$B$3&amp;".mit.eco2."&amp;$C$41&amp;"."&amp;$B46&amp;".e."&amp;$J$41</f>
        <v>egy.mit.eco2.mch.lpg.e.1</v>
      </c>
      <c r="I46" t="s">
        <v>2101</v>
      </c>
      <c r="L46" s="129">
        <f>Mitigation_Industry!L$238*INDEX(Data_EF!$G:$G,MATCH($G46,Data_EF!$A:$A,0))/1000000</f>
        <v>0</v>
      </c>
      <c r="M46" s="19">
        <f>Mitigation_Industry!M$238*INDEX(Data_EF!$G:$G,MATCH($G46,Data_EF!$A:$A,0))/1000000</f>
        <v>0</v>
      </c>
      <c r="N46" s="19">
        <f>Mitigation_Industry!N$238*INDEX(Data_EF!$G:$G,MATCH($G46,Data_EF!$A:$A,0))/1000000</f>
        <v>0</v>
      </c>
      <c r="O46" s="19">
        <f>Mitigation_Industry!O$238*INDEX(Data_EF!$G:$G,MATCH($G46,Data_EF!$A:$A,0))/1000000</f>
        <v>0</v>
      </c>
      <c r="P46" s="19">
        <f>Mitigation_Industry!P$238*INDEX(Data_EF!$G:$G,MATCH($G46,Data_EF!$A:$A,0))/1000000</f>
        <v>0</v>
      </c>
      <c r="Q46" s="19">
        <f>Mitigation_Industry!Q$238*INDEX(Data_EF!$G:$G,MATCH($G46,Data_EF!$A:$A,0))/1000000</f>
        <v>0</v>
      </c>
      <c r="R46" s="19">
        <f>Mitigation_Industry!R$238*INDEX(Data_EF!$G:$G,MATCH($G46,Data_EF!$A:$A,0))/1000000</f>
        <v>0</v>
      </c>
      <c r="S46" s="19">
        <f>Mitigation_Industry!S$238*INDEX(Data_EF!$G:$G,MATCH($G46,Data_EF!$A:$A,0))/1000000</f>
        <v>0</v>
      </c>
      <c r="T46" s="19">
        <f>Mitigation_Industry!T$238*INDEX(Data_EF!$G:$G,MATCH($G46,Data_EF!$A:$A,0))/1000000</f>
        <v>0</v>
      </c>
      <c r="U46" s="19">
        <f>Mitigation_Industry!U$238*INDEX(Data_EF!$G:$G,MATCH($G46,Data_EF!$A:$A,0))/1000000</f>
        <v>0</v>
      </c>
      <c r="V46" s="19">
        <f>Mitigation_Industry!V$238*INDEX(Data_EF!$G:$G,MATCH($G46,Data_EF!$A:$A,0))/1000000</f>
        <v>0</v>
      </c>
      <c r="W46" s="19">
        <f>Mitigation_Industry!W$238*INDEX(Data_EF!$G:$G,MATCH($G46,Data_EF!$A:$A,0))/1000000</f>
        <v>0</v>
      </c>
      <c r="X46" s="19">
        <f>Mitigation_Industry!X$238*INDEX(Data_EF!$G:$G,MATCH($G46,Data_EF!$A:$A,0))/1000000</f>
        <v>0</v>
      </c>
      <c r="Y46" s="19">
        <f>Mitigation_Industry!Y$238*INDEX(Data_EF!$G:$G,MATCH($G46,Data_EF!$A:$A,0))/1000000</f>
        <v>0</v>
      </c>
      <c r="Z46" s="19">
        <f>Mitigation_Industry!Z$238*INDEX(Data_EF!$G:$G,MATCH($G46,Data_EF!$A:$A,0))/1000000</f>
        <v>0</v>
      </c>
      <c r="AA46" s="19">
        <f>Mitigation_Industry!AA$238*INDEX(Data_EF!$G:$G,MATCH($G46,Data_EF!$A:$A,0))/1000000</f>
        <v>0</v>
      </c>
      <c r="AB46" s="19">
        <f>Mitigation_Industry!AB$238*INDEX(Data_EF!$G:$G,MATCH($G46,Data_EF!$A:$A,0))/1000000</f>
        <v>0</v>
      </c>
      <c r="AC46" s="19">
        <f>Mitigation_Industry!AC$238*INDEX(Data_EF!$G:$G,MATCH($G46,Data_EF!$A:$A,0))/1000000</f>
        <v>0</v>
      </c>
      <c r="AD46" s="19">
        <f>Mitigation_Industry!AD$238*INDEX(Data_EF!$G:$G,MATCH($G46,Data_EF!$A:$A,0))/1000000</f>
        <v>0</v>
      </c>
      <c r="AE46" s="19">
        <f>Mitigation_Industry!AE$238*INDEX(Data_EF!$G:$G,MATCH($G46,Data_EF!$A:$A,0))/1000000</f>
        <v>0</v>
      </c>
    </row>
    <row r="47" spans="1:35" customFormat="1" ht="14.25" x14ac:dyDescent="0.45">
      <c r="B47" s="14" t="s">
        <v>62</v>
      </c>
      <c r="C47" s="14" t="str">
        <f t="shared" si="6"/>
        <v>mch</v>
      </c>
      <c r="D47" s="15" t="s">
        <v>63</v>
      </c>
      <c r="E47" s="16" t="s">
        <v>2068</v>
      </c>
      <c r="F47" s="14" t="s">
        <v>2069</v>
      </c>
      <c r="G47" s="128" t="str">
        <f>Settings!$B$3&amp;".mit.efc."&amp;$B47</f>
        <v>egy.mit.efc.ker</v>
      </c>
      <c r="H47" s="45" t="str">
        <f>Settings!$B$3&amp;".mit.eco2."&amp;$C$41&amp;"."&amp;$B47&amp;".e."&amp;$J$41</f>
        <v>egy.mit.eco2.mch.ker.e.1</v>
      </c>
      <c r="I47" t="s">
        <v>2102</v>
      </c>
      <c r="L47" s="129">
        <f>Mitigation_Industry!L$239*INDEX(Data_EF!$G:$G,MATCH($G47,Data_EF!$A:$A,0))/1000000</f>
        <v>0</v>
      </c>
      <c r="M47" s="19">
        <f>Mitigation_Industry!M$239*INDEX(Data_EF!$G:$G,MATCH($G47,Data_EF!$A:$A,0))/1000000</f>
        <v>0</v>
      </c>
      <c r="N47" s="19">
        <f>Mitigation_Industry!N$239*INDEX(Data_EF!$G:$G,MATCH($G47,Data_EF!$A:$A,0))/1000000</f>
        <v>0</v>
      </c>
      <c r="O47" s="19">
        <f>Mitigation_Industry!O$239*INDEX(Data_EF!$G:$G,MATCH($G47,Data_EF!$A:$A,0))/1000000</f>
        <v>0</v>
      </c>
      <c r="P47" s="19">
        <f>Mitigation_Industry!P$239*INDEX(Data_EF!$G:$G,MATCH($G47,Data_EF!$A:$A,0))/1000000</f>
        <v>0</v>
      </c>
      <c r="Q47" s="19">
        <f>Mitigation_Industry!Q$239*INDEX(Data_EF!$G:$G,MATCH($G47,Data_EF!$A:$A,0))/1000000</f>
        <v>0</v>
      </c>
      <c r="R47" s="19">
        <f>Mitigation_Industry!R$239*INDEX(Data_EF!$G:$G,MATCH($G47,Data_EF!$A:$A,0))/1000000</f>
        <v>0</v>
      </c>
      <c r="S47" s="19">
        <f>Mitigation_Industry!S$239*INDEX(Data_EF!$G:$G,MATCH($G47,Data_EF!$A:$A,0))/1000000</f>
        <v>0</v>
      </c>
      <c r="T47" s="19">
        <f>Mitigation_Industry!T$239*INDEX(Data_EF!$G:$G,MATCH($G47,Data_EF!$A:$A,0))/1000000</f>
        <v>0</v>
      </c>
      <c r="U47" s="19">
        <f>Mitigation_Industry!U$239*INDEX(Data_EF!$G:$G,MATCH($G47,Data_EF!$A:$A,0))/1000000</f>
        <v>0</v>
      </c>
      <c r="V47" s="19">
        <f>Mitigation_Industry!V$239*INDEX(Data_EF!$G:$G,MATCH($G47,Data_EF!$A:$A,0))/1000000</f>
        <v>0</v>
      </c>
      <c r="W47" s="19">
        <f>Mitigation_Industry!W$239*INDEX(Data_EF!$G:$G,MATCH($G47,Data_EF!$A:$A,0))/1000000</f>
        <v>0</v>
      </c>
      <c r="X47" s="19">
        <f>Mitigation_Industry!X$239*INDEX(Data_EF!$G:$G,MATCH($G47,Data_EF!$A:$A,0))/1000000</f>
        <v>0</v>
      </c>
      <c r="Y47" s="19">
        <f>Mitigation_Industry!Y$239*INDEX(Data_EF!$G:$G,MATCH($G47,Data_EF!$A:$A,0))/1000000</f>
        <v>0</v>
      </c>
      <c r="Z47" s="19">
        <f>Mitigation_Industry!Z$239*INDEX(Data_EF!$G:$G,MATCH($G47,Data_EF!$A:$A,0))/1000000</f>
        <v>0</v>
      </c>
      <c r="AA47" s="19">
        <f>Mitigation_Industry!AA$239*INDEX(Data_EF!$G:$G,MATCH($G47,Data_EF!$A:$A,0))/1000000</f>
        <v>0</v>
      </c>
      <c r="AB47" s="19">
        <f>Mitigation_Industry!AB$239*INDEX(Data_EF!$G:$G,MATCH($G47,Data_EF!$A:$A,0))/1000000</f>
        <v>0</v>
      </c>
      <c r="AC47" s="19">
        <f>Mitigation_Industry!AC$239*INDEX(Data_EF!$G:$G,MATCH($G47,Data_EF!$A:$A,0))/1000000</f>
        <v>0</v>
      </c>
      <c r="AD47" s="19">
        <f>Mitigation_Industry!AD$239*INDEX(Data_EF!$G:$G,MATCH($G47,Data_EF!$A:$A,0))/1000000</f>
        <v>0</v>
      </c>
      <c r="AE47" s="19">
        <f>Mitigation_Industry!AE$239*INDEX(Data_EF!$G:$G,MATCH($G47,Data_EF!$A:$A,0))/1000000</f>
        <v>0</v>
      </c>
    </row>
    <row r="48" spans="1:35" customFormat="1" ht="14.25" x14ac:dyDescent="0.45">
      <c r="B48" s="14" t="s">
        <v>64</v>
      </c>
      <c r="C48" s="14" t="str">
        <f t="shared" si="6"/>
        <v>mch</v>
      </c>
      <c r="D48" s="15" t="s">
        <v>65</v>
      </c>
      <c r="E48" s="16" t="s">
        <v>2068</v>
      </c>
      <c r="F48" s="14" t="s">
        <v>2069</v>
      </c>
      <c r="G48" s="128" t="str">
        <f>Settings!$B$3&amp;".mit.efc."&amp;$B48</f>
        <v>egy.mit.efc.oop</v>
      </c>
      <c r="H48" s="45" t="str">
        <f>Settings!$B$3&amp;".mit.eco2."&amp;$C$41&amp;"."&amp;$B48&amp;".e."&amp;$J$41</f>
        <v>egy.mit.eco2.mch.oop.e.1</v>
      </c>
      <c r="I48" t="s">
        <v>2103</v>
      </c>
      <c r="L48" s="129">
        <f>Mitigation_Industry!L$240*INDEX(Data_EF!$G:$G,MATCH($G48,Data_EF!$A:$A,0))/1000000</f>
        <v>0</v>
      </c>
      <c r="M48" s="19">
        <f>Mitigation_Industry!M$240*INDEX(Data_EF!$G:$G,MATCH($G48,Data_EF!$A:$A,0))/1000000</f>
        <v>0</v>
      </c>
      <c r="N48" s="19">
        <f>Mitigation_Industry!N$240*INDEX(Data_EF!$G:$G,MATCH($G48,Data_EF!$A:$A,0))/1000000</f>
        <v>0</v>
      </c>
      <c r="O48" s="19">
        <f>Mitigation_Industry!O$240*INDEX(Data_EF!$G:$G,MATCH($G48,Data_EF!$A:$A,0))/1000000</f>
        <v>0</v>
      </c>
      <c r="P48" s="19">
        <f>Mitigation_Industry!P$240*INDEX(Data_EF!$G:$G,MATCH($G48,Data_EF!$A:$A,0))/1000000</f>
        <v>0</v>
      </c>
      <c r="Q48" s="19">
        <f>Mitigation_Industry!Q$240*INDEX(Data_EF!$G:$G,MATCH($G48,Data_EF!$A:$A,0))/1000000</f>
        <v>0</v>
      </c>
      <c r="R48" s="19">
        <f>Mitigation_Industry!R$240*INDEX(Data_EF!$G:$G,MATCH($G48,Data_EF!$A:$A,0))/1000000</f>
        <v>0</v>
      </c>
      <c r="S48" s="19">
        <f>Mitigation_Industry!S$240*INDEX(Data_EF!$G:$G,MATCH($G48,Data_EF!$A:$A,0))/1000000</f>
        <v>0</v>
      </c>
      <c r="T48" s="19">
        <f>Mitigation_Industry!T$240*INDEX(Data_EF!$G:$G,MATCH($G48,Data_EF!$A:$A,0))/1000000</f>
        <v>0</v>
      </c>
      <c r="U48" s="19">
        <f>Mitigation_Industry!U$240*INDEX(Data_EF!$G:$G,MATCH($G48,Data_EF!$A:$A,0))/1000000</f>
        <v>0</v>
      </c>
      <c r="V48" s="19">
        <f>Mitigation_Industry!V$240*INDEX(Data_EF!$G:$G,MATCH($G48,Data_EF!$A:$A,0))/1000000</f>
        <v>0</v>
      </c>
      <c r="W48" s="19">
        <f>Mitigation_Industry!W$240*INDEX(Data_EF!$G:$G,MATCH($G48,Data_EF!$A:$A,0))/1000000</f>
        <v>0</v>
      </c>
      <c r="X48" s="19">
        <f>Mitigation_Industry!X$240*INDEX(Data_EF!$G:$G,MATCH($G48,Data_EF!$A:$A,0))/1000000</f>
        <v>0</v>
      </c>
      <c r="Y48" s="19">
        <f>Mitigation_Industry!Y$240*INDEX(Data_EF!$G:$G,MATCH($G48,Data_EF!$A:$A,0))/1000000</f>
        <v>0</v>
      </c>
      <c r="Z48" s="19">
        <f>Mitigation_Industry!Z$240*INDEX(Data_EF!$G:$G,MATCH($G48,Data_EF!$A:$A,0))/1000000</f>
        <v>0</v>
      </c>
      <c r="AA48" s="19">
        <f>Mitigation_Industry!AA$240*INDEX(Data_EF!$G:$G,MATCH($G48,Data_EF!$A:$A,0))/1000000</f>
        <v>0</v>
      </c>
      <c r="AB48" s="19">
        <f>Mitigation_Industry!AB$240*INDEX(Data_EF!$G:$G,MATCH($G48,Data_EF!$A:$A,0))/1000000</f>
        <v>0</v>
      </c>
      <c r="AC48" s="19">
        <f>Mitigation_Industry!AC$240*INDEX(Data_EF!$G:$G,MATCH($G48,Data_EF!$A:$A,0))/1000000</f>
        <v>0</v>
      </c>
      <c r="AD48" s="19">
        <f>Mitigation_Industry!AD$240*INDEX(Data_EF!$G:$G,MATCH($G48,Data_EF!$A:$A,0))/1000000</f>
        <v>0</v>
      </c>
      <c r="AE48" s="19">
        <f>Mitigation_Industry!AE$240*INDEX(Data_EF!$G:$G,MATCH($G48,Data_EF!$A:$A,0))/1000000</f>
        <v>0</v>
      </c>
    </row>
    <row r="49" spans="1:35" customFormat="1" ht="14.25" x14ac:dyDescent="0.45">
      <c r="B49" s="14" t="s">
        <v>67</v>
      </c>
      <c r="C49" s="14" t="str">
        <f t="shared" si="6"/>
        <v>mch</v>
      </c>
      <c r="D49" s="15" t="s">
        <v>68</v>
      </c>
      <c r="E49" s="16" t="s">
        <v>2068</v>
      </c>
      <c r="F49" s="14" t="s">
        <v>2069</v>
      </c>
      <c r="G49" s="128" t="str">
        <f>Settings!$B$3&amp;".mit.efc."&amp;$B49</f>
        <v>egy.mit.efc.bio</v>
      </c>
      <c r="H49" s="45" t="str">
        <f>Settings!$B$3&amp;".mit.eco2."&amp;$C$41&amp;"."&amp;$B49&amp;".e."&amp;$J$41</f>
        <v>egy.mit.eco2.mch.bio.e.1</v>
      </c>
      <c r="I49" t="s">
        <v>2104</v>
      </c>
      <c r="L49" s="129">
        <f>Mitigation_Industry!L$241*INDEX(Data_EF!$G:$G,MATCH($G49,Data_EF!$A:$A,0))/1000000</f>
        <v>0</v>
      </c>
      <c r="M49" s="19">
        <f>Mitigation_Industry!M$241*INDEX(Data_EF!$G:$G,MATCH($G49,Data_EF!$A:$A,0))/1000000</f>
        <v>0</v>
      </c>
      <c r="N49" s="19">
        <f>Mitigation_Industry!N$241*INDEX(Data_EF!$G:$G,MATCH($G49,Data_EF!$A:$A,0))/1000000</f>
        <v>0</v>
      </c>
      <c r="O49" s="19">
        <f>Mitigation_Industry!O$241*INDEX(Data_EF!$G:$G,MATCH($G49,Data_EF!$A:$A,0))/1000000</f>
        <v>0</v>
      </c>
      <c r="P49" s="19">
        <f>Mitigation_Industry!P$241*INDEX(Data_EF!$G:$G,MATCH($G49,Data_EF!$A:$A,0))/1000000</f>
        <v>0</v>
      </c>
      <c r="Q49" s="19">
        <f>Mitigation_Industry!Q$241*INDEX(Data_EF!$G:$G,MATCH($G49,Data_EF!$A:$A,0))/1000000</f>
        <v>0</v>
      </c>
      <c r="R49" s="19">
        <f>Mitigation_Industry!R$241*INDEX(Data_EF!$G:$G,MATCH($G49,Data_EF!$A:$A,0))/1000000</f>
        <v>0</v>
      </c>
      <c r="S49" s="19">
        <f>Mitigation_Industry!S$241*INDEX(Data_EF!$G:$G,MATCH($G49,Data_EF!$A:$A,0))/1000000</f>
        <v>0</v>
      </c>
      <c r="T49" s="19">
        <f>Mitigation_Industry!T$241*INDEX(Data_EF!$G:$G,MATCH($G49,Data_EF!$A:$A,0))/1000000</f>
        <v>0</v>
      </c>
      <c r="U49" s="19">
        <f>Mitigation_Industry!U$241*INDEX(Data_EF!$G:$G,MATCH($G49,Data_EF!$A:$A,0))/1000000</f>
        <v>0</v>
      </c>
      <c r="V49" s="19">
        <f>Mitigation_Industry!V$241*INDEX(Data_EF!$G:$G,MATCH($G49,Data_EF!$A:$A,0))/1000000</f>
        <v>0</v>
      </c>
      <c r="W49" s="19">
        <f>Mitigation_Industry!W$241*INDEX(Data_EF!$G:$G,MATCH($G49,Data_EF!$A:$A,0))/1000000</f>
        <v>0</v>
      </c>
      <c r="X49" s="19">
        <f>Mitigation_Industry!X$241*INDEX(Data_EF!$G:$G,MATCH($G49,Data_EF!$A:$A,0))/1000000</f>
        <v>0</v>
      </c>
      <c r="Y49" s="19">
        <f>Mitigation_Industry!Y$241*INDEX(Data_EF!$G:$G,MATCH($G49,Data_EF!$A:$A,0))/1000000</f>
        <v>0</v>
      </c>
      <c r="Z49" s="19">
        <f>Mitigation_Industry!Z$241*INDEX(Data_EF!$G:$G,MATCH($G49,Data_EF!$A:$A,0))/1000000</f>
        <v>0</v>
      </c>
      <c r="AA49" s="19">
        <f>Mitigation_Industry!AA$241*INDEX(Data_EF!$G:$G,MATCH($G49,Data_EF!$A:$A,0))/1000000</f>
        <v>0</v>
      </c>
      <c r="AB49" s="19">
        <f>Mitigation_Industry!AB$241*INDEX(Data_EF!$G:$G,MATCH($G49,Data_EF!$A:$A,0))/1000000</f>
        <v>0</v>
      </c>
      <c r="AC49" s="19">
        <f>Mitigation_Industry!AC$241*INDEX(Data_EF!$G:$G,MATCH($G49,Data_EF!$A:$A,0))/1000000</f>
        <v>0</v>
      </c>
      <c r="AD49" s="19">
        <f>Mitigation_Industry!AD$241*INDEX(Data_EF!$G:$G,MATCH($G49,Data_EF!$A:$A,0))/1000000</f>
        <v>0</v>
      </c>
      <c r="AE49" s="19">
        <f>Mitigation_Industry!AE$241*INDEX(Data_EF!$G:$G,MATCH($G49,Data_EF!$A:$A,0))/1000000</f>
        <v>0</v>
      </c>
    </row>
    <row r="50" spans="1:35" customFormat="1" ht="14.25" x14ac:dyDescent="0.45">
      <c r="B50" s="14" t="s">
        <v>69</v>
      </c>
      <c r="C50" s="14" t="str">
        <f t="shared" si="6"/>
        <v>mch</v>
      </c>
      <c r="D50" s="15" t="s">
        <v>70</v>
      </c>
      <c r="E50" s="16" t="s">
        <v>2068</v>
      </c>
      <c r="F50" s="14" t="s">
        <v>2069</v>
      </c>
      <c r="G50" s="128" t="str">
        <f>Settings!$B$3&amp;".mit.efc."&amp;$B50</f>
        <v>egy.mit.efc.ren</v>
      </c>
      <c r="H50" s="45" t="str">
        <f>Settings!$B$3&amp;".mit.eco2."&amp;$C$41&amp;"."&amp;$B50&amp;".e."&amp;$J$41</f>
        <v>egy.mit.eco2.mch.ren.e.1</v>
      </c>
      <c r="I50" t="s">
        <v>2105</v>
      </c>
      <c r="L50" s="129">
        <f>Mitigation_Industry!L$242*INDEX(Data_EF!$G:$G,MATCH($G50,Data_EF!$A:$A,0))/1000000</f>
        <v>0</v>
      </c>
      <c r="M50" s="19">
        <f>Mitigation_Industry!M$242*INDEX(Data_EF!$G:$G,MATCH($G50,Data_EF!$A:$A,0))/1000000</f>
        <v>0</v>
      </c>
      <c r="N50" s="19">
        <f>Mitigation_Industry!N$242*INDEX(Data_EF!$G:$G,MATCH($G50,Data_EF!$A:$A,0))/1000000</f>
        <v>0</v>
      </c>
      <c r="O50" s="19">
        <f>Mitigation_Industry!O$242*INDEX(Data_EF!$G:$G,MATCH($G50,Data_EF!$A:$A,0))/1000000</f>
        <v>0</v>
      </c>
      <c r="P50" s="19">
        <f>Mitigation_Industry!P$242*INDEX(Data_EF!$G:$G,MATCH($G50,Data_EF!$A:$A,0))/1000000</f>
        <v>0</v>
      </c>
      <c r="Q50" s="19">
        <f>Mitigation_Industry!Q$242*INDEX(Data_EF!$G:$G,MATCH($G50,Data_EF!$A:$A,0))/1000000</f>
        <v>0</v>
      </c>
      <c r="R50" s="19">
        <f>Mitigation_Industry!R$242*INDEX(Data_EF!$G:$G,MATCH($G50,Data_EF!$A:$A,0))/1000000</f>
        <v>0</v>
      </c>
      <c r="S50" s="19">
        <f>Mitigation_Industry!S$242*INDEX(Data_EF!$G:$G,MATCH($G50,Data_EF!$A:$A,0))/1000000</f>
        <v>0</v>
      </c>
      <c r="T50" s="19">
        <f>Mitigation_Industry!T$242*INDEX(Data_EF!$G:$G,MATCH($G50,Data_EF!$A:$A,0))/1000000</f>
        <v>0</v>
      </c>
      <c r="U50" s="19">
        <f>Mitigation_Industry!U$242*INDEX(Data_EF!$G:$G,MATCH($G50,Data_EF!$A:$A,0))/1000000</f>
        <v>0</v>
      </c>
      <c r="V50" s="19">
        <f>Mitigation_Industry!V$242*INDEX(Data_EF!$G:$G,MATCH($G50,Data_EF!$A:$A,0))/1000000</f>
        <v>0</v>
      </c>
      <c r="W50" s="19">
        <f>Mitigation_Industry!W$242*INDEX(Data_EF!$G:$G,MATCH($G50,Data_EF!$A:$A,0))/1000000</f>
        <v>0</v>
      </c>
      <c r="X50" s="19">
        <f>Mitigation_Industry!X$242*INDEX(Data_EF!$G:$G,MATCH($G50,Data_EF!$A:$A,0))/1000000</f>
        <v>0</v>
      </c>
      <c r="Y50" s="19">
        <f>Mitigation_Industry!Y$242*INDEX(Data_EF!$G:$G,MATCH($G50,Data_EF!$A:$A,0))/1000000</f>
        <v>0</v>
      </c>
      <c r="Z50" s="19">
        <f>Mitigation_Industry!Z$242*INDEX(Data_EF!$G:$G,MATCH($G50,Data_EF!$A:$A,0))/1000000</f>
        <v>0</v>
      </c>
      <c r="AA50" s="19">
        <f>Mitigation_Industry!AA$242*INDEX(Data_EF!$G:$G,MATCH($G50,Data_EF!$A:$A,0))/1000000</f>
        <v>0</v>
      </c>
      <c r="AB50" s="19">
        <f>Mitigation_Industry!AB$242*INDEX(Data_EF!$G:$G,MATCH($G50,Data_EF!$A:$A,0))/1000000</f>
        <v>0</v>
      </c>
      <c r="AC50" s="19">
        <f>Mitigation_Industry!AC$242*INDEX(Data_EF!$G:$G,MATCH($G50,Data_EF!$A:$A,0))/1000000</f>
        <v>0</v>
      </c>
      <c r="AD50" s="19">
        <f>Mitigation_Industry!AD$242*INDEX(Data_EF!$G:$G,MATCH($G50,Data_EF!$A:$A,0))/1000000</f>
        <v>0</v>
      </c>
      <c r="AE50" s="19">
        <f>Mitigation_Industry!AE$242*INDEX(Data_EF!$G:$G,MATCH($G50,Data_EF!$A:$A,0))/1000000</f>
        <v>0</v>
      </c>
    </row>
    <row r="51" spans="1:35" customFormat="1" ht="14.25" x14ac:dyDescent="0.45">
      <c r="B51" s="14" t="s">
        <v>110</v>
      </c>
      <c r="C51" s="14" t="str">
        <f t="shared" si="6"/>
        <v>mch</v>
      </c>
      <c r="D51" s="25" t="s">
        <v>111</v>
      </c>
      <c r="E51" s="16" t="s">
        <v>2068</v>
      </c>
      <c r="F51" s="14" t="s">
        <v>2069</v>
      </c>
      <c r="H51" s="45" t="str">
        <f>Settings!$B$3&amp;".mit.eco2."&amp;$C$41&amp;".tot.e."&amp;$J$41</f>
        <v>egy.mit.eco2.mch.tot.e.1</v>
      </c>
      <c r="L51" s="130">
        <f t="shared" ref="L51:AE51" si="7">SUM(L42:L50)</f>
        <v>0</v>
      </c>
      <c r="M51" s="130">
        <f t="shared" si="7"/>
        <v>0</v>
      </c>
      <c r="N51" s="130">
        <f t="shared" si="7"/>
        <v>0</v>
      </c>
      <c r="O51" s="130">
        <f t="shared" si="7"/>
        <v>0</v>
      </c>
      <c r="P51" s="130">
        <f t="shared" si="7"/>
        <v>0</v>
      </c>
      <c r="Q51" s="130">
        <f t="shared" si="7"/>
        <v>0</v>
      </c>
      <c r="R51" s="130">
        <f t="shared" si="7"/>
        <v>0</v>
      </c>
      <c r="S51" s="130">
        <f t="shared" si="7"/>
        <v>0</v>
      </c>
      <c r="T51" s="130">
        <f t="shared" si="7"/>
        <v>0</v>
      </c>
      <c r="U51" s="130">
        <f t="shared" si="7"/>
        <v>0</v>
      </c>
      <c r="V51" s="130">
        <f t="shared" si="7"/>
        <v>0</v>
      </c>
      <c r="W51" s="130">
        <f t="shared" si="7"/>
        <v>0</v>
      </c>
      <c r="X51" s="130">
        <f t="shared" si="7"/>
        <v>0</v>
      </c>
      <c r="Y51" s="130">
        <f t="shared" si="7"/>
        <v>0</v>
      </c>
      <c r="Z51" s="130">
        <f t="shared" si="7"/>
        <v>0</v>
      </c>
      <c r="AA51" s="130">
        <f t="shared" si="7"/>
        <v>0</v>
      </c>
      <c r="AB51" s="130">
        <f t="shared" si="7"/>
        <v>0</v>
      </c>
      <c r="AC51" s="130">
        <f t="shared" si="7"/>
        <v>0</v>
      </c>
      <c r="AD51" s="130">
        <f t="shared" si="7"/>
        <v>0</v>
      </c>
      <c r="AE51" s="130">
        <f t="shared" si="7"/>
        <v>0</v>
      </c>
    </row>
    <row r="54" spans="1:35" customFormat="1" ht="18" customHeight="1" x14ac:dyDescent="0.45">
      <c r="A54" s="8"/>
      <c r="B54" s="9" t="s">
        <v>2106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6" spans="1:35" customFormat="1" ht="14.25" x14ac:dyDescent="0.45">
      <c r="A56" s="11"/>
      <c r="B56" s="6" t="s">
        <v>42</v>
      </c>
      <c r="C56" s="7" t="s">
        <v>43</v>
      </c>
      <c r="D56" s="6" t="s">
        <v>44</v>
      </c>
      <c r="E56" s="7" t="s">
        <v>35</v>
      </c>
      <c r="F56" s="7" t="s">
        <v>45</v>
      </c>
      <c r="G56" s="7" t="s">
        <v>2067</v>
      </c>
      <c r="H56" s="12" t="s">
        <v>38</v>
      </c>
      <c r="I56" s="6" t="s">
        <v>47</v>
      </c>
      <c r="J56" s="48">
        <v>2</v>
      </c>
      <c r="K56" s="6">
        <v>2021</v>
      </c>
      <c r="L56" s="46">
        <v>2022</v>
      </c>
      <c r="M56" s="6">
        <v>2023</v>
      </c>
      <c r="N56" s="6">
        <v>2024</v>
      </c>
      <c r="O56" s="6">
        <v>2025</v>
      </c>
      <c r="P56" s="6">
        <v>2026</v>
      </c>
      <c r="Q56" s="6">
        <v>2027</v>
      </c>
      <c r="R56" s="6">
        <v>2028</v>
      </c>
      <c r="S56" s="6">
        <v>2029</v>
      </c>
      <c r="T56" s="6">
        <v>2030</v>
      </c>
      <c r="U56" s="6">
        <v>2031</v>
      </c>
      <c r="V56" s="6">
        <v>2032</v>
      </c>
      <c r="W56" s="6">
        <v>2033</v>
      </c>
      <c r="X56" s="6">
        <v>2034</v>
      </c>
      <c r="Y56" s="6">
        <v>2035</v>
      </c>
      <c r="Z56" s="6">
        <v>2036</v>
      </c>
      <c r="AA56" s="6">
        <v>2037</v>
      </c>
      <c r="AB56" s="6">
        <v>2038</v>
      </c>
      <c r="AC56" s="6">
        <v>2039</v>
      </c>
      <c r="AD56" s="6">
        <v>2040</v>
      </c>
      <c r="AE56" s="6">
        <v>2041</v>
      </c>
      <c r="AF56" s="6">
        <v>2042</v>
      </c>
      <c r="AG56" s="6">
        <v>2043</v>
      </c>
      <c r="AH56" s="6">
        <v>2044</v>
      </c>
      <c r="AI56" s="6">
        <v>2045</v>
      </c>
    </row>
    <row r="57" spans="1:35" customFormat="1" ht="14.25" x14ac:dyDescent="0.45">
      <c r="B57" s="14" t="s">
        <v>49</v>
      </c>
      <c r="C57" s="14" t="str">
        <f t="shared" ref="C57:C66" si="8">$C$56</f>
        <v>irn</v>
      </c>
      <c r="D57" s="15" t="s">
        <v>50</v>
      </c>
      <c r="E57" s="16" t="s">
        <v>2068</v>
      </c>
      <c r="F57" s="14" t="s">
        <v>2069</v>
      </c>
      <c r="G57" s="128" t="str">
        <f>Settings!$B$3&amp;".mit.efc."&amp;$B57</f>
        <v>egy.mit.efc.coa</v>
      </c>
      <c r="H57" s="45" t="str">
        <f>Settings!$B$3&amp;".mit.eco2."&amp;$C$56&amp;"."&amp;$B57&amp;".e."&amp;$J$56</f>
        <v>egy.mit.eco2.irn.coa.e.2</v>
      </c>
      <c r="I57" t="s">
        <v>2107</v>
      </c>
      <c r="L57" s="129">
        <f>Mitigation_Industry!L$453*INDEX(Data_EF!$G:$G,MATCH($G57,Data_EF!$A:$A,0))/1000000</f>
        <v>0.90552851514095434</v>
      </c>
      <c r="M57" s="19">
        <f>Mitigation_Industry!M$453*INDEX(Data_EF!$G:$G,MATCH($G57,Data_EF!$A:$A,0))/1000000</f>
        <v>0.7373709829353039</v>
      </c>
      <c r="N57" s="19">
        <f>Mitigation_Industry!N$453*INDEX(Data_EF!$G:$G,MATCH($G57,Data_EF!$A:$A,0))/1000000</f>
        <v>0.84742505653625044</v>
      </c>
      <c r="O57" s="19">
        <f>Mitigation_Industry!O$453*INDEX(Data_EF!$G:$G,MATCH($G57,Data_EF!$A:$A,0))/1000000</f>
        <v>0.92592542220348095</v>
      </c>
      <c r="P57" s="19">
        <f>Mitigation_Industry!P$453*INDEX(Data_EF!$G:$G,MATCH($G57,Data_EF!$A:$A,0))/1000000</f>
        <v>0.90550015822817864</v>
      </c>
      <c r="Q57" s="19">
        <f>Mitigation_Industry!Q$453*INDEX(Data_EF!$G:$G,MATCH($G57,Data_EF!$A:$A,0))/1000000</f>
        <v>0.85088760660906992</v>
      </c>
      <c r="R57" s="19">
        <f>Mitigation_Industry!R$453*INDEX(Data_EF!$G:$G,MATCH($G57,Data_EF!$A:$A,0))/1000000</f>
        <v>0.81845275054938038</v>
      </c>
      <c r="S57" s="19">
        <f>Mitigation_Industry!S$453*INDEX(Data_EF!$G:$G,MATCH($G57,Data_EF!$A:$A,0))/1000000</f>
        <v>0.79066872407366162</v>
      </c>
      <c r="T57" s="19">
        <f>Mitigation_Industry!T$453*INDEX(Data_EF!$G:$G,MATCH($G57,Data_EF!$A:$A,0))/1000000</f>
        <v>0.76613234014431597</v>
      </c>
      <c r="U57" s="19">
        <f>Mitigation_Industry!U$453*INDEX(Data_EF!$G:$G,MATCH($G57,Data_EF!$A:$A,0))/1000000</f>
        <v>0.74491429087950589</v>
      </c>
      <c r="V57" s="19">
        <f>Mitigation_Industry!V$453*INDEX(Data_EF!$G:$G,MATCH($G57,Data_EF!$A:$A,0))/1000000</f>
        <v>0.72478087605003949</v>
      </c>
      <c r="W57" s="19">
        <f>Mitigation_Industry!W$453*INDEX(Data_EF!$G:$G,MATCH($G57,Data_EF!$A:$A,0))/1000000</f>
        <v>0.70750848743644057</v>
      </c>
      <c r="X57" s="19">
        <f>Mitigation_Industry!X$453*INDEX(Data_EF!$G:$G,MATCH($G57,Data_EF!$A:$A,0))/1000000</f>
        <v>0.6926927884511026</v>
      </c>
      <c r="Y57" s="19">
        <f>Mitigation_Industry!Y$453*INDEX(Data_EF!$G:$G,MATCH($G57,Data_EF!$A:$A,0))/1000000</f>
        <v>0.68005455812375704</v>
      </c>
      <c r="Z57" s="19">
        <f>Mitigation_Industry!Z$453*INDEX(Data_EF!$G:$G,MATCH($G57,Data_EF!$A:$A,0))/1000000</f>
        <v>0.66944051198371646</v>
      </c>
      <c r="AA57" s="19">
        <f>Mitigation_Industry!AA$453*INDEX(Data_EF!$G:$G,MATCH($G57,Data_EF!$A:$A,0))/1000000</f>
        <v>0.66066234146136316</v>
      </c>
      <c r="AB57" s="19">
        <f>Mitigation_Industry!AB$453*INDEX(Data_EF!$G:$G,MATCH($G57,Data_EF!$A:$A,0))/1000000</f>
        <v>0.65354267327474602</v>
      </c>
      <c r="AC57" s="19">
        <f>Mitigation_Industry!AC$453*INDEX(Data_EF!$G:$G,MATCH($G57,Data_EF!$A:$A,0))/1000000</f>
        <v>0.64786545605493184</v>
      </c>
      <c r="AD57" s="19">
        <f>Mitigation_Industry!AD$453*INDEX(Data_EF!$G:$G,MATCH($G57,Data_EF!$A:$A,0))/1000000</f>
        <v>0.64344878474885059</v>
      </c>
      <c r="AE57" s="19">
        <f>Mitigation_Industry!AE$453*INDEX(Data_EF!$G:$G,MATCH($G57,Data_EF!$A:$A,0))/1000000</f>
        <v>0.64014801686548495</v>
      </c>
    </row>
    <row r="58" spans="1:35" customFormat="1" ht="14.25" x14ac:dyDescent="0.45">
      <c r="B58" s="14" t="s">
        <v>53</v>
      </c>
      <c r="C58" s="14" t="str">
        <f t="shared" si="8"/>
        <v>irn</v>
      </c>
      <c r="D58" s="15" t="s">
        <v>54</v>
      </c>
      <c r="E58" s="16" t="s">
        <v>2068</v>
      </c>
      <c r="F58" s="14" t="s">
        <v>2069</v>
      </c>
      <c r="G58" s="128" t="str">
        <f>Settings!$B$3&amp;".mit.efc."&amp;$B58</f>
        <v>egy.mit.efc.nga</v>
      </c>
      <c r="H58" s="45" t="str">
        <f>Settings!$B$3&amp;".mit.eco2."&amp;$C$56&amp;"."&amp;$B58&amp;".e."&amp;$J$56</f>
        <v>egy.mit.eco2.irn.nga.e.2</v>
      </c>
      <c r="I58" t="s">
        <v>2108</v>
      </c>
      <c r="L58" s="129">
        <f>Mitigation_Industry!L$454*INDEX(Data_EF!$G:$G,MATCH($G58,Data_EF!$A:$A,0))/1000000</f>
        <v>3.6248550032610098</v>
      </c>
      <c r="M58" s="19">
        <f>Mitigation_Industry!M$454*INDEX(Data_EF!$G:$G,MATCH($G58,Data_EF!$A:$A,0))/1000000</f>
        <v>3.1095323789272165</v>
      </c>
      <c r="N58" s="19">
        <f>Mitigation_Industry!N$454*INDEX(Data_EF!$G:$G,MATCH($G58,Data_EF!$A:$A,0))/1000000</f>
        <v>3.4816495642852692</v>
      </c>
      <c r="O58" s="19">
        <f>Mitigation_Industry!O$454*INDEX(Data_EF!$G:$G,MATCH($G58,Data_EF!$A:$A,0))/1000000</f>
        <v>3.6192352321477199</v>
      </c>
      <c r="P58" s="19">
        <f>Mitigation_Industry!P$454*INDEX(Data_EF!$G:$G,MATCH($G58,Data_EF!$A:$A,0))/1000000</f>
        <v>3.755152565160921</v>
      </c>
      <c r="Q58" s="19">
        <f>Mitigation_Industry!Q$454*INDEX(Data_EF!$G:$G,MATCH($G58,Data_EF!$A:$A,0))/1000000</f>
        <v>3.5569420077929443</v>
      </c>
      <c r="R58" s="19">
        <f>Mitigation_Industry!R$454*INDEX(Data_EF!$G:$G,MATCH($G58,Data_EF!$A:$A,0))/1000000</f>
        <v>3.4285407250448214</v>
      </c>
      <c r="S58" s="19">
        <f>Mitigation_Industry!S$454*INDEX(Data_EF!$G:$G,MATCH($G58,Data_EF!$A:$A,0))/1000000</f>
        <v>3.3210849012044061</v>
      </c>
      <c r="T58" s="19">
        <f>Mitigation_Industry!T$454*INDEX(Data_EF!$G:$G,MATCH($G58,Data_EF!$A:$A,0))/1000000</f>
        <v>3.2263072155059107</v>
      </c>
      <c r="U58" s="19">
        <f>Mitigation_Industry!U$454*INDEX(Data_EF!$G:$G,MATCH($G58,Data_EF!$A:$A,0))/1000000</f>
        <v>3.149275924708157</v>
      </c>
      <c r="V58" s="19">
        <f>Mitigation_Industry!V$454*INDEX(Data_EF!$G:$G,MATCH($G58,Data_EF!$A:$A,0))/1000000</f>
        <v>3.0876219429720755</v>
      </c>
      <c r="W58" s="19">
        <f>Mitigation_Industry!W$454*INDEX(Data_EF!$G:$G,MATCH($G58,Data_EF!$A:$A,0))/1000000</f>
        <v>3.0396083636901912</v>
      </c>
      <c r="X58" s="19">
        <f>Mitigation_Industry!X$454*INDEX(Data_EF!$G:$G,MATCH($G58,Data_EF!$A:$A,0))/1000000</f>
        <v>3.0037148051557785</v>
      </c>
      <c r="Y58" s="19">
        <f>Mitigation_Industry!Y$454*INDEX(Data_EF!$G:$G,MATCH($G58,Data_EF!$A:$A,0))/1000000</f>
        <v>2.9791113473261697</v>
      </c>
      <c r="Z58" s="19">
        <f>Mitigation_Industry!Z$454*INDEX(Data_EF!$G:$G,MATCH($G58,Data_EF!$A:$A,0))/1000000</f>
        <v>2.9657975151560816</v>
      </c>
      <c r="AA58" s="19">
        <f>Mitigation_Industry!AA$454*INDEX(Data_EF!$G:$G,MATCH($G58,Data_EF!$A:$A,0))/1000000</f>
        <v>2.9632762278772899</v>
      </c>
      <c r="AB58" s="19">
        <f>Mitigation_Industry!AB$454*INDEX(Data_EF!$G:$G,MATCH($G58,Data_EF!$A:$A,0))/1000000</f>
        <v>2.9709908108099277</v>
      </c>
      <c r="AC58" s="19">
        <f>Mitigation_Industry!AC$454*INDEX(Data_EF!$G:$G,MATCH($G58,Data_EF!$A:$A,0))/1000000</f>
        <v>2.9878959765422</v>
      </c>
      <c r="AD58" s="19">
        <f>Mitigation_Industry!AD$454*INDEX(Data_EF!$G:$G,MATCH($G58,Data_EF!$A:$A,0))/1000000</f>
        <v>3.0131242055106404</v>
      </c>
      <c r="AE58" s="19">
        <f>Mitigation_Industry!AE$454*INDEX(Data_EF!$G:$G,MATCH($G58,Data_EF!$A:$A,0))/1000000</f>
        <v>3.046041960238806</v>
      </c>
    </row>
    <row r="59" spans="1:35" customFormat="1" ht="14.25" x14ac:dyDescent="0.45">
      <c r="B59" s="14" t="s">
        <v>55</v>
      </c>
      <c r="C59" s="14" t="str">
        <f t="shared" si="8"/>
        <v>irn</v>
      </c>
      <c r="D59" s="15" t="s">
        <v>56</v>
      </c>
      <c r="E59" s="16" t="s">
        <v>2068</v>
      </c>
      <c r="F59" s="14" t="s">
        <v>2069</v>
      </c>
      <c r="G59" s="128" t="str">
        <f>Settings!$B$3&amp;".mit.efc."&amp;$B59</f>
        <v>egy.mit.efc.gso</v>
      </c>
      <c r="H59" s="45" t="str">
        <f>Settings!$B$3&amp;".mit.eco2."&amp;$C$56&amp;"."&amp;$B59&amp;".e."&amp;$J$56</f>
        <v>egy.mit.eco2.irn.gso.e.2</v>
      </c>
      <c r="I59" t="s">
        <v>2109</v>
      </c>
      <c r="L59" s="129">
        <f>Mitigation_Industry!L$455*INDEX(Data_EF!$G:$G,MATCH($G59,Data_EF!$A:$A,0))/1000000</f>
        <v>0</v>
      </c>
      <c r="M59" s="19">
        <f>Mitigation_Industry!M$455*INDEX(Data_EF!$G:$G,MATCH($G59,Data_EF!$A:$A,0))/1000000</f>
        <v>0</v>
      </c>
      <c r="N59" s="19">
        <f>Mitigation_Industry!N$455*INDEX(Data_EF!$G:$G,MATCH($G59,Data_EF!$A:$A,0))/1000000</f>
        <v>0</v>
      </c>
      <c r="O59" s="19">
        <f>Mitigation_Industry!O$455*INDEX(Data_EF!$G:$G,MATCH($G59,Data_EF!$A:$A,0))/1000000</f>
        <v>0</v>
      </c>
      <c r="P59" s="19">
        <f>Mitigation_Industry!P$455*INDEX(Data_EF!$G:$G,MATCH($G59,Data_EF!$A:$A,0))/1000000</f>
        <v>0</v>
      </c>
      <c r="Q59" s="19">
        <f>Mitigation_Industry!Q$455*INDEX(Data_EF!$G:$G,MATCH($G59,Data_EF!$A:$A,0))/1000000</f>
        <v>0</v>
      </c>
      <c r="R59" s="19">
        <f>Mitigation_Industry!R$455*INDEX(Data_EF!$G:$G,MATCH($G59,Data_EF!$A:$A,0))/1000000</f>
        <v>0</v>
      </c>
      <c r="S59" s="19">
        <f>Mitigation_Industry!S$455*INDEX(Data_EF!$G:$G,MATCH($G59,Data_EF!$A:$A,0))/1000000</f>
        <v>0</v>
      </c>
      <c r="T59" s="19">
        <f>Mitigation_Industry!T$455*INDEX(Data_EF!$G:$G,MATCH($G59,Data_EF!$A:$A,0))/1000000</f>
        <v>0</v>
      </c>
      <c r="U59" s="19">
        <f>Mitigation_Industry!U$455*INDEX(Data_EF!$G:$G,MATCH($G59,Data_EF!$A:$A,0))/1000000</f>
        <v>0</v>
      </c>
      <c r="V59" s="19">
        <f>Mitigation_Industry!V$455*INDEX(Data_EF!$G:$G,MATCH($G59,Data_EF!$A:$A,0))/1000000</f>
        <v>0</v>
      </c>
      <c r="W59" s="19">
        <f>Mitigation_Industry!W$455*INDEX(Data_EF!$G:$G,MATCH($G59,Data_EF!$A:$A,0))/1000000</f>
        <v>0</v>
      </c>
      <c r="X59" s="19">
        <f>Mitigation_Industry!X$455*INDEX(Data_EF!$G:$G,MATCH($G59,Data_EF!$A:$A,0))/1000000</f>
        <v>0</v>
      </c>
      <c r="Y59" s="19">
        <f>Mitigation_Industry!Y$455*INDEX(Data_EF!$G:$G,MATCH($G59,Data_EF!$A:$A,0))/1000000</f>
        <v>0</v>
      </c>
      <c r="Z59" s="19">
        <f>Mitigation_Industry!Z$455*INDEX(Data_EF!$G:$G,MATCH($G59,Data_EF!$A:$A,0))/1000000</f>
        <v>0</v>
      </c>
      <c r="AA59" s="19">
        <f>Mitigation_Industry!AA$455*INDEX(Data_EF!$G:$G,MATCH($G59,Data_EF!$A:$A,0))/1000000</f>
        <v>0</v>
      </c>
      <c r="AB59" s="19">
        <f>Mitigation_Industry!AB$455*INDEX(Data_EF!$G:$G,MATCH($G59,Data_EF!$A:$A,0))/1000000</f>
        <v>0</v>
      </c>
      <c r="AC59" s="19">
        <f>Mitigation_Industry!AC$455*INDEX(Data_EF!$G:$G,MATCH($G59,Data_EF!$A:$A,0))/1000000</f>
        <v>0</v>
      </c>
      <c r="AD59" s="19">
        <f>Mitigation_Industry!AD$455*INDEX(Data_EF!$G:$G,MATCH($G59,Data_EF!$A:$A,0))/1000000</f>
        <v>0</v>
      </c>
      <c r="AE59" s="19">
        <f>Mitigation_Industry!AE$455*INDEX(Data_EF!$G:$G,MATCH($G59,Data_EF!$A:$A,0))/1000000</f>
        <v>0</v>
      </c>
    </row>
    <row r="60" spans="1:35" customFormat="1" ht="14.25" x14ac:dyDescent="0.45">
      <c r="B60" s="14" t="s">
        <v>58</v>
      </c>
      <c r="C60" s="14" t="str">
        <f t="shared" si="8"/>
        <v>irn</v>
      </c>
      <c r="D60" s="15" t="s">
        <v>59</v>
      </c>
      <c r="E60" s="16" t="s">
        <v>2068</v>
      </c>
      <c r="F60" s="14" t="s">
        <v>2069</v>
      </c>
      <c r="G60" s="128" t="str">
        <f>Settings!$B$3&amp;".mit.efc."&amp;$B60</f>
        <v>egy.mit.efc.die</v>
      </c>
      <c r="H60" s="45" t="str">
        <f>Settings!$B$3&amp;".mit.eco2."&amp;$C$56&amp;"."&amp;$B60&amp;".e."&amp;$J$56</f>
        <v>egy.mit.eco2.irn.die.e.2</v>
      </c>
      <c r="I60" t="s">
        <v>2110</v>
      </c>
      <c r="L60" s="129">
        <f>Mitigation_Industry!L$456*INDEX(Data_EF!$G:$G,MATCH($G60,Data_EF!$A:$A,0))/1000000</f>
        <v>0</v>
      </c>
      <c r="M60" s="19">
        <f>Mitigation_Industry!M$456*INDEX(Data_EF!$G:$G,MATCH($G60,Data_EF!$A:$A,0))/1000000</f>
        <v>0</v>
      </c>
      <c r="N60" s="19">
        <f>Mitigation_Industry!N$456*INDEX(Data_EF!$G:$G,MATCH($G60,Data_EF!$A:$A,0))/1000000</f>
        <v>0</v>
      </c>
      <c r="O60" s="19">
        <f>Mitigation_Industry!O$456*INDEX(Data_EF!$G:$G,MATCH($G60,Data_EF!$A:$A,0))/1000000</f>
        <v>0</v>
      </c>
      <c r="P60" s="19">
        <f>Mitigation_Industry!P$456*INDEX(Data_EF!$G:$G,MATCH($G60,Data_EF!$A:$A,0))/1000000</f>
        <v>0</v>
      </c>
      <c r="Q60" s="19">
        <f>Mitigation_Industry!Q$456*INDEX(Data_EF!$G:$G,MATCH($G60,Data_EF!$A:$A,0))/1000000</f>
        <v>0</v>
      </c>
      <c r="R60" s="19">
        <f>Mitigation_Industry!R$456*INDEX(Data_EF!$G:$G,MATCH($G60,Data_EF!$A:$A,0))/1000000</f>
        <v>0</v>
      </c>
      <c r="S60" s="19">
        <f>Mitigation_Industry!S$456*INDEX(Data_EF!$G:$G,MATCH($G60,Data_EF!$A:$A,0))/1000000</f>
        <v>0</v>
      </c>
      <c r="T60" s="19">
        <f>Mitigation_Industry!T$456*INDEX(Data_EF!$G:$G,MATCH($G60,Data_EF!$A:$A,0))/1000000</f>
        <v>0</v>
      </c>
      <c r="U60" s="19">
        <f>Mitigation_Industry!U$456*INDEX(Data_EF!$G:$G,MATCH($G60,Data_EF!$A:$A,0))/1000000</f>
        <v>0</v>
      </c>
      <c r="V60" s="19">
        <f>Mitigation_Industry!V$456*INDEX(Data_EF!$G:$G,MATCH($G60,Data_EF!$A:$A,0))/1000000</f>
        <v>0</v>
      </c>
      <c r="W60" s="19">
        <f>Mitigation_Industry!W$456*INDEX(Data_EF!$G:$G,MATCH($G60,Data_EF!$A:$A,0))/1000000</f>
        <v>0</v>
      </c>
      <c r="X60" s="19">
        <f>Mitigation_Industry!X$456*INDEX(Data_EF!$G:$G,MATCH($G60,Data_EF!$A:$A,0))/1000000</f>
        <v>0</v>
      </c>
      <c r="Y60" s="19">
        <f>Mitigation_Industry!Y$456*INDEX(Data_EF!$G:$G,MATCH($G60,Data_EF!$A:$A,0))/1000000</f>
        <v>0</v>
      </c>
      <c r="Z60" s="19">
        <f>Mitigation_Industry!Z$456*INDEX(Data_EF!$G:$G,MATCH($G60,Data_EF!$A:$A,0))/1000000</f>
        <v>0</v>
      </c>
      <c r="AA60" s="19">
        <f>Mitigation_Industry!AA$456*INDEX(Data_EF!$G:$G,MATCH($G60,Data_EF!$A:$A,0))/1000000</f>
        <v>0</v>
      </c>
      <c r="AB60" s="19">
        <f>Mitigation_Industry!AB$456*INDEX(Data_EF!$G:$G,MATCH($G60,Data_EF!$A:$A,0))/1000000</f>
        <v>0</v>
      </c>
      <c r="AC60" s="19">
        <f>Mitigation_Industry!AC$456*INDEX(Data_EF!$G:$G,MATCH($G60,Data_EF!$A:$A,0))/1000000</f>
        <v>0</v>
      </c>
      <c r="AD60" s="19">
        <f>Mitigation_Industry!AD$456*INDEX(Data_EF!$G:$G,MATCH($G60,Data_EF!$A:$A,0))/1000000</f>
        <v>0</v>
      </c>
      <c r="AE60" s="19">
        <f>Mitigation_Industry!AE$456*INDEX(Data_EF!$G:$G,MATCH($G60,Data_EF!$A:$A,0))/1000000</f>
        <v>0</v>
      </c>
    </row>
    <row r="61" spans="1:35" customFormat="1" ht="14.25" x14ac:dyDescent="0.45">
      <c r="B61" s="14" t="s">
        <v>60</v>
      </c>
      <c r="C61" s="14" t="str">
        <f t="shared" si="8"/>
        <v>irn</v>
      </c>
      <c r="D61" s="15" t="s">
        <v>61</v>
      </c>
      <c r="E61" s="16" t="s">
        <v>2068</v>
      </c>
      <c r="F61" s="14" t="s">
        <v>2069</v>
      </c>
      <c r="G61" s="128" t="str">
        <f>Settings!$B$3&amp;".mit.efc."&amp;$B61</f>
        <v>egy.mit.efc.lpg</v>
      </c>
      <c r="H61" s="45" t="str">
        <f>Settings!$B$3&amp;".mit.eco2."&amp;$C$56&amp;"."&amp;$B61&amp;".e."&amp;$J$56</f>
        <v>egy.mit.eco2.irn.lpg.e.2</v>
      </c>
      <c r="I61" t="s">
        <v>2111</v>
      </c>
      <c r="L61" s="129">
        <f>Mitigation_Industry!L$457*INDEX(Data_EF!$G:$G,MATCH($G61,Data_EF!$A:$A,0))/1000000</f>
        <v>0</v>
      </c>
      <c r="M61" s="19">
        <f>Mitigation_Industry!M$457*INDEX(Data_EF!$G:$G,MATCH($G61,Data_EF!$A:$A,0))/1000000</f>
        <v>0</v>
      </c>
      <c r="N61" s="19">
        <f>Mitigation_Industry!N$457*INDEX(Data_EF!$G:$G,MATCH($G61,Data_EF!$A:$A,0))/1000000</f>
        <v>0</v>
      </c>
      <c r="O61" s="19">
        <f>Mitigation_Industry!O$457*INDEX(Data_EF!$G:$G,MATCH($G61,Data_EF!$A:$A,0))/1000000</f>
        <v>0</v>
      </c>
      <c r="P61" s="19">
        <f>Mitigation_Industry!P$457*INDEX(Data_EF!$G:$G,MATCH($G61,Data_EF!$A:$A,0))/1000000</f>
        <v>0</v>
      </c>
      <c r="Q61" s="19">
        <f>Mitigation_Industry!Q$457*INDEX(Data_EF!$G:$G,MATCH($G61,Data_EF!$A:$A,0))/1000000</f>
        <v>0</v>
      </c>
      <c r="R61" s="19">
        <f>Mitigation_Industry!R$457*INDEX(Data_EF!$G:$G,MATCH($G61,Data_EF!$A:$A,0))/1000000</f>
        <v>0</v>
      </c>
      <c r="S61" s="19">
        <f>Mitigation_Industry!S$457*INDEX(Data_EF!$G:$G,MATCH($G61,Data_EF!$A:$A,0))/1000000</f>
        <v>0</v>
      </c>
      <c r="T61" s="19">
        <f>Mitigation_Industry!T$457*INDEX(Data_EF!$G:$G,MATCH($G61,Data_EF!$A:$A,0))/1000000</f>
        <v>0</v>
      </c>
      <c r="U61" s="19">
        <f>Mitigation_Industry!U$457*INDEX(Data_EF!$G:$G,MATCH($G61,Data_EF!$A:$A,0))/1000000</f>
        <v>0</v>
      </c>
      <c r="V61" s="19">
        <f>Mitigation_Industry!V$457*INDEX(Data_EF!$G:$G,MATCH($G61,Data_EF!$A:$A,0))/1000000</f>
        <v>0</v>
      </c>
      <c r="W61" s="19">
        <f>Mitigation_Industry!W$457*INDEX(Data_EF!$G:$G,MATCH($G61,Data_EF!$A:$A,0))/1000000</f>
        <v>0</v>
      </c>
      <c r="X61" s="19">
        <f>Mitigation_Industry!X$457*INDEX(Data_EF!$G:$G,MATCH($G61,Data_EF!$A:$A,0))/1000000</f>
        <v>0</v>
      </c>
      <c r="Y61" s="19">
        <f>Mitigation_Industry!Y$457*INDEX(Data_EF!$G:$G,MATCH($G61,Data_EF!$A:$A,0))/1000000</f>
        <v>0</v>
      </c>
      <c r="Z61" s="19">
        <f>Mitigation_Industry!Z$457*INDEX(Data_EF!$G:$G,MATCH($G61,Data_EF!$A:$A,0))/1000000</f>
        <v>0</v>
      </c>
      <c r="AA61" s="19">
        <f>Mitigation_Industry!AA$457*INDEX(Data_EF!$G:$G,MATCH($G61,Data_EF!$A:$A,0))/1000000</f>
        <v>0</v>
      </c>
      <c r="AB61" s="19">
        <f>Mitigation_Industry!AB$457*INDEX(Data_EF!$G:$G,MATCH($G61,Data_EF!$A:$A,0))/1000000</f>
        <v>0</v>
      </c>
      <c r="AC61" s="19">
        <f>Mitigation_Industry!AC$457*INDEX(Data_EF!$G:$G,MATCH($G61,Data_EF!$A:$A,0))/1000000</f>
        <v>0</v>
      </c>
      <c r="AD61" s="19">
        <f>Mitigation_Industry!AD$457*INDEX(Data_EF!$G:$G,MATCH($G61,Data_EF!$A:$A,0))/1000000</f>
        <v>0</v>
      </c>
      <c r="AE61" s="19">
        <f>Mitigation_Industry!AE$457*INDEX(Data_EF!$G:$G,MATCH($G61,Data_EF!$A:$A,0))/1000000</f>
        <v>0</v>
      </c>
    </row>
    <row r="62" spans="1:35" customFormat="1" ht="14.25" x14ac:dyDescent="0.45">
      <c r="B62" s="14" t="s">
        <v>62</v>
      </c>
      <c r="C62" s="14" t="str">
        <f t="shared" si="8"/>
        <v>irn</v>
      </c>
      <c r="D62" s="15" t="s">
        <v>63</v>
      </c>
      <c r="E62" s="16" t="s">
        <v>2068</v>
      </c>
      <c r="F62" s="14" t="s">
        <v>2069</v>
      </c>
      <c r="G62" s="128" t="str">
        <f>Settings!$B$3&amp;".mit.efc."&amp;$B62</f>
        <v>egy.mit.efc.ker</v>
      </c>
      <c r="H62" s="45" t="str">
        <f>Settings!$B$3&amp;".mit.eco2."&amp;$C$56&amp;"."&amp;$B62&amp;".e."&amp;$J$56</f>
        <v>egy.mit.eco2.irn.ker.e.2</v>
      </c>
      <c r="I62" t="s">
        <v>2112</v>
      </c>
      <c r="L62" s="129">
        <f>Mitigation_Industry!L$458*INDEX(Data_EF!$G:$G,MATCH($G62,Data_EF!$A:$A,0))/1000000</f>
        <v>0</v>
      </c>
      <c r="M62" s="19">
        <f>Mitigation_Industry!M$458*INDEX(Data_EF!$G:$G,MATCH($G62,Data_EF!$A:$A,0))/1000000</f>
        <v>0</v>
      </c>
      <c r="N62" s="19">
        <f>Mitigation_Industry!N$458*INDEX(Data_EF!$G:$G,MATCH($G62,Data_EF!$A:$A,0))/1000000</f>
        <v>0</v>
      </c>
      <c r="O62" s="19">
        <f>Mitigation_Industry!O$458*INDEX(Data_EF!$G:$G,MATCH($G62,Data_EF!$A:$A,0))/1000000</f>
        <v>0</v>
      </c>
      <c r="P62" s="19">
        <f>Mitigation_Industry!P$458*INDEX(Data_EF!$G:$G,MATCH($G62,Data_EF!$A:$A,0))/1000000</f>
        <v>0</v>
      </c>
      <c r="Q62" s="19">
        <f>Mitigation_Industry!Q$458*INDEX(Data_EF!$G:$G,MATCH($G62,Data_EF!$A:$A,0))/1000000</f>
        <v>0</v>
      </c>
      <c r="R62" s="19">
        <f>Mitigation_Industry!R$458*INDEX(Data_EF!$G:$G,MATCH($G62,Data_EF!$A:$A,0))/1000000</f>
        <v>0</v>
      </c>
      <c r="S62" s="19">
        <f>Mitigation_Industry!S$458*INDEX(Data_EF!$G:$G,MATCH($G62,Data_EF!$A:$A,0))/1000000</f>
        <v>0</v>
      </c>
      <c r="T62" s="19">
        <f>Mitigation_Industry!T$458*INDEX(Data_EF!$G:$G,MATCH($G62,Data_EF!$A:$A,0))/1000000</f>
        <v>0</v>
      </c>
      <c r="U62" s="19">
        <f>Mitigation_Industry!U$458*INDEX(Data_EF!$G:$G,MATCH($G62,Data_EF!$A:$A,0))/1000000</f>
        <v>0</v>
      </c>
      <c r="V62" s="19">
        <f>Mitigation_Industry!V$458*INDEX(Data_EF!$G:$G,MATCH($G62,Data_EF!$A:$A,0))/1000000</f>
        <v>0</v>
      </c>
      <c r="W62" s="19">
        <f>Mitigation_Industry!W$458*INDEX(Data_EF!$G:$G,MATCH($G62,Data_EF!$A:$A,0))/1000000</f>
        <v>0</v>
      </c>
      <c r="X62" s="19">
        <f>Mitigation_Industry!X$458*INDEX(Data_EF!$G:$G,MATCH($G62,Data_EF!$A:$A,0))/1000000</f>
        <v>0</v>
      </c>
      <c r="Y62" s="19">
        <f>Mitigation_Industry!Y$458*INDEX(Data_EF!$G:$G,MATCH($G62,Data_EF!$A:$A,0))/1000000</f>
        <v>0</v>
      </c>
      <c r="Z62" s="19">
        <f>Mitigation_Industry!Z$458*INDEX(Data_EF!$G:$G,MATCH($G62,Data_EF!$A:$A,0))/1000000</f>
        <v>0</v>
      </c>
      <c r="AA62" s="19">
        <f>Mitigation_Industry!AA$458*INDEX(Data_EF!$G:$G,MATCH($G62,Data_EF!$A:$A,0))/1000000</f>
        <v>0</v>
      </c>
      <c r="AB62" s="19">
        <f>Mitigation_Industry!AB$458*INDEX(Data_EF!$G:$G,MATCH($G62,Data_EF!$A:$A,0))/1000000</f>
        <v>0</v>
      </c>
      <c r="AC62" s="19">
        <f>Mitigation_Industry!AC$458*INDEX(Data_EF!$G:$G,MATCH($G62,Data_EF!$A:$A,0))/1000000</f>
        <v>0</v>
      </c>
      <c r="AD62" s="19">
        <f>Mitigation_Industry!AD$458*INDEX(Data_EF!$G:$G,MATCH($G62,Data_EF!$A:$A,0))/1000000</f>
        <v>0</v>
      </c>
      <c r="AE62" s="19">
        <f>Mitigation_Industry!AE$458*INDEX(Data_EF!$G:$G,MATCH($G62,Data_EF!$A:$A,0))/1000000</f>
        <v>0</v>
      </c>
    </row>
    <row r="63" spans="1:35" customFormat="1" ht="14.25" x14ac:dyDescent="0.45">
      <c r="B63" s="14" t="s">
        <v>64</v>
      </c>
      <c r="C63" s="14" t="str">
        <f t="shared" si="8"/>
        <v>irn</v>
      </c>
      <c r="D63" s="15" t="s">
        <v>65</v>
      </c>
      <c r="E63" s="16" t="s">
        <v>2068</v>
      </c>
      <c r="F63" s="14" t="s">
        <v>2069</v>
      </c>
      <c r="G63" s="128" t="str">
        <f>Settings!$B$3&amp;".mit.efc."&amp;$B63</f>
        <v>egy.mit.efc.oop</v>
      </c>
      <c r="H63" s="45" t="str">
        <f>Settings!$B$3&amp;".mit.eco2."&amp;$C$56&amp;"."&amp;$B63&amp;".e."&amp;$J$56</f>
        <v>egy.mit.eco2.irn.oop.e.2</v>
      </c>
      <c r="I63" t="s">
        <v>2113</v>
      </c>
      <c r="L63" s="129">
        <f>Mitigation_Industry!L$459*INDEX(Data_EF!$G:$G,MATCH($G63,Data_EF!$A:$A,0))/1000000</f>
        <v>0</v>
      </c>
      <c r="M63" s="19">
        <f>Mitigation_Industry!M$459*INDEX(Data_EF!$G:$G,MATCH($G63,Data_EF!$A:$A,0))/1000000</f>
        <v>0</v>
      </c>
      <c r="N63" s="19">
        <f>Mitigation_Industry!N$459*INDEX(Data_EF!$G:$G,MATCH($G63,Data_EF!$A:$A,0))/1000000</f>
        <v>0</v>
      </c>
      <c r="O63" s="19">
        <f>Mitigation_Industry!O$459*INDEX(Data_EF!$G:$G,MATCH($G63,Data_EF!$A:$A,0))/1000000</f>
        <v>0</v>
      </c>
      <c r="P63" s="19">
        <f>Mitigation_Industry!P$459*INDEX(Data_EF!$G:$G,MATCH($G63,Data_EF!$A:$A,0))/1000000</f>
        <v>0</v>
      </c>
      <c r="Q63" s="19">
        <f>Mitigation_Industry!Q$459*INDEX(Data_EF!$G:$G,MATCH($G63,Data_EF!$A:$A,0))/1000000</f>
        <v>0</v>
      </c>
      <c r="R63" s="19">
        <f>Mitigation_Industry!R$459*INDEX(Data_EF!$G:$G,MATCH($G63,Data_EF!$A:$A,0))/1000000</f>
        <v>0</v>
      </c>
      <c r="S63" s="19">
        <f>Mitigation_Industry!S$459*INDEX(Data_EF!$G:$G,MATCH($G63,Data_EF!$A:$A,0))/1000000</f>
        <v>0</v>
      </c>
      <c r="T63" s="19">
        <f>Mitigation_Industry!T$459*INDEX(Data_EF!$G:$G,MATCH($G63,Data_EF!$A:$A,0))/1000000</f>
        <v>0</v>
      </c>
      <c r="U63" s="19">
        <f>Mitigation_Industry!U$459*INDEX(Data_EF!$G:$G,MATCH($G63,Data_EF!$A:$A,0))/1000000</f>
        <v>0</v>
      </c>
      <c r="V63" s="19">
        <f>Mitigation_Industry!V$459*INDEX(Data_EF!$G:$G,MATCH($G63,Data_EF!$A:$A,0))/1000000</f>
        <v>0</v>
      </c>
      <c r="W63" s="19">
        <f>Mitigation_Industry!W$459*INDEX(Data_EF!$G:$G,MATCH($G63,Data_EF!$A:$A,0))/1000000</f>
        <v>0</v>
      </c>
      <c r="X63" s="19">
        <f>Mitigation_Industry!X$459*INDEX(Data_EF!$G:$G,MATCH($G63,Data_EF!$A:$A,0))/1000000</f>
        <v>0</v>
      </c>
      <c r="Y63" s="19">
        <f>Mitigation_Industry!Y$459*INDEX(Data_EF!$G:$G,MATCH($G63,Data_EF!$A:$A,0))/1000000</f>
        <v>0</v>
      </c>
      <c r="Z63" s="19">
        <f>Mitigation_Industry!Z$459*INDEX(Data_EF!$G:$G,MATCH($G63,Data_EF!$A:$A,0))/1000000</f>
        <v>0</v>
      </c>
      <c r="AA63" s="19">
        <f>Mitigation_Industry!AA$459*INDEX(Data_EF!$G:$G,MATCH($G63,Data_EF!$A:$A,0))/1000000</f>
        <v>0</v>
      </c>
      <c r="AB63" s="19">
        <f>Mitigation_Industry!AB$459*INDEX(Data_EF!$G:$G,MATCH($G63,Data_EF!$A:$A,0))/1000000</f>
        <v>0</v>
      </c>
      <c r="AC63" s="19">
        <f>Mitigation_Industry!AC$459*INDEX(Data_EF!$G:$G,MATCH($G63,Data_EF!$A:$A,0))/1000000</f>
        <v>0</v>
      </c>
      <c r="AD63" s="19">
        <f>Mitigation_Industry!AD$459*INDEX(Data_EF!$G:$G,MATCH($G63,Data_EF!$A:$A,0))/1000000</f>
        <v>0</v>
      </c>
      <c r="AE63" s="19">
        <f>Mitigation_Industry!AE$459*INDEX(Data_EF!$G:$G,MATCH($G63,Data_EF!$A:$A,0))/1000000</f>
        <v>0</v>
      </c>
    </row>
    <row r="64" spans="1:35" customFormat="1" ht="14.25" x14ac:dyDescent="0.45">
      <c r="B64" s="14" t="s">
        <v>67</v>
      </c>
      <c r="C64" s="14" t="str">
        <f t="shared" si="8"/>
        <v>irn</v>
      </c>
      <c r="D64" s="15" t="s">
        <v>68</v>
      </c>
      <c r="E64" s="16" t="s">
        <v>2068</v>
      </c>
      <c r="F64" s="14" t="s">
        <v>2069</v>
      </c>
      <c r="G64" s="128" t="str">
        <f>Settings!$B$3&amp;".mit.efc."&amp;$B64</f>
        <v>egy.mit.efc.bio</v>
      </c>
      <c r="H64" s="45" t="str">
        <f>Settings!$B$3&amp;".mit.eco2."&amp;$C$56&amp;"."&amp;$B64&amp;".e."&amp;$J$56</f>
        <v>egy.mit.eco2.irn.bio.e.2</v>
      </c>
      <c r="I64" t="s">
        <v>2114</v>
      </c>
      <c r="L64" s="129">
        <f>Mitigation_Industry!L$460*INDEX(Data_EF!$G:$G,MATCH($G64,Data_EF!$A:$A,0))/1000000</f>
        <v>0</v>
      </c>
      <c r="M64" s="19">
        <f>Mitigation_Industry!M$460*INDEX(Data_EF!$G:$G,MATCH($G64,Data_EF!$A:$A,0))/1000000</f>
        <v>0</v>
      </c>
      <c r="N64" s="19">
        <f>Mitigation_Industry!N$460*INDEX(Data_EF!$G:$G,MATCH($G64,Data_EF!$A:$A,0))/1000000</f>
        <v>0</v>
      </c>
      <c r="O64" s="19">
        <f>Mitigation_Industry!O$460*INDEX(Data_EF!$G:$G,MATCH($G64,Data_EF!$A:$A,0))/1000000</f>
        <v>0</v>
      </c>
      <c r="P64" s="19">
        <f>Mitigation_Industry!P$460*INDEX(Data_EF!$G:$G,MATCH($G64,Data_EF!$A:$A,0))/1000000</f>
        <v>0</v>
      </c>
      <c r="Q64" s="19">
        <f>Mitigation_Industry!Q$460*INDEX(Data_EF!$G:$G,MATCH($G64,Data_EF!$A:$A,0))/1000000</f>
        <v>0</v>
      </c>
      <c r="R64" s="19">
        <f>Mitigation_Industry!R$460*INDEX(Data_EF!$G:$G,MATCH($G64,Data_EF!$A:$A,0))/1000000</f>
        <v>0</v>
      </c>
      <c r="S64" s="19">
        <f>Mitigation_Industry!S$460*INDEX(Data_EF!$G:$G,MATCH($G64,Data_EF!$A:$A,0))/1000000</f>
        <v>0</v>
      </c>
      <c r="T64" s="19">
        <f>Mitigation_Industry!T$460*INDEX(Data_EF!$G:$G,MATCH($G64,Data_EF!$A:$A,0))/1000000</f>
        <v>0</v>
      </c>
      <c r="U64" s="19">
        <f>Mitigation_Industry!U$460*INDEX(Data_EF!$G:$G,MATCH($G64,Data_EF!$A:$A,0))/1000000</f>
        <v>0</v>
      </c>
      <c r="V64" s="19">
        <f>Mitigation_Industry!V$460*INDEX(Data_EF!$G:$G,MATCH($G64,Data_EF!$A:$A,0))/1000000</f>
        <v>0</v>
      </c>
      <c r="W64" s="19">
        <f>Mitigation_Industry!W$460*INDEX(Data_EF!$G:$G,MATCH($G64,Data_EF!$A:$A,0))/1000000</f>
        <v>0</v>
      </c>
      <c r="X64" s="19">
        <f>Mitigation_Industry!X$460*INDEX(Data_EF!$G:$G,MATCH($G64,Data_EF!$A:$A,0))/1000000</f>
        <v>0</v>
      </c>
      <c r="Y64" s="19">
        <f>Mitigation_Industry!Y$460*INDEX(Data_EF!$G:$G,MATCH($G64,Data_EF!$A:$A,0))/1000000</f>
        <v>0</v>
      </c>
      <c r="Z64" s="19">
        <f>Mitigation_Industry!Z$460*INDEX(Data_EF!$G:$G,MATCH($G64,Data_EF!$A:$A,0))/1000000</f>
        <v>0</v>
      </c>
      <c r="AA64" s="19">
        <f>Mitigation_Industry!AA$460*INDEX(Data_EF!$G:$G,MATCH($G64,Data_EF!$A:$A,0))/1000000</f>
        <v>0</v>
      </c>
      <c r="AB64" s="19">
        <f>Mitigation_Industry!AB$460*INDEX(Data_EF!$G:$G,MATCH($G64,Data_EF!$A:$A,0))/1000000</f>
        <v>0</v>
      </c>
      <c r="AC64" s="19">
        <f>Mitigation_Industry!AC$460*INDEX(Data_EF!$G:$G,MATCH($G64,Data_EF!$A:$A,0))/1000000</f>
        <v>0</v>
      </c>
      <c r="AD64" s="19">
        <f>Mitigation_Industry!AD$460*INDEX(Data_EF!$G:$G,MATCH($G64,Data_EF!$A:$A,0))/1000000</f>
        <v>0</v>
      </c>
      <c r="AE64" s="19">
        <f>Mitigation_Industry!AE$460*INDEX(Data_EF!$G:$G,MATCH($G64,Data_EF!$A:$A,0))/1000000</f>
        <v>0</v>
      </c>
    </row>
    <row r="65" spans="1:35" customFormat="1" ht="14.25" x14ac:dyDescent="0.45">
      <c r="B65" s="14" t="s">
        <v>69</v>
      </c>
      <c r="C65" s="14" t="str">
        <f t="shared" si="8"/>
        <v>irn</v>
      </c>
      <c r="D65" s="15" t="s">
        <v>70</v>
      </c>
      <c r="E65" s="16" t="s">
        <v>2068</v>
      </c>
      <c r="F65" s="14" t="s">
        <v>2069</v>
      </c>
      <c r="G65" s="128" t="str">
        <f>Settings!$B$3&amp;".mit.efc."&amp;$B65</f>
        <v>egy.mit.efc.ren</v>
      </c>
      <c r="H65" s="45" t="str">
        <f>Settings!$B$3&amp;".mit.eco2."&amp;$C$56&amp;"."&amp;$B65&amp;".e."&amp;$J$56</f>
        <v>egy.mit.eco2.irn.ren.e.2</v>
      </c>
      <c r="I65" t="s">
        <v>2115</v>
      </c>
      <c r="L65" s="129">
        <f>Mitigation_Industry!L$461*INDEX(Data_EF!$G:$G,MATCH($G65,Data_EF!$A:$A,0))/1000000</f>
        <v>0</v>
      </c>
      <c r="M65" s="19">
        <f>Mitigation_Industry!M$461*INDEX(Data_EF!$G:$G,MATCH($G65,Data_EF!$A:$A,0))/1000000</f>
        <v>0</v>
      </c>
      <c r="N65" s="19">
        <f>Mitigation_Industry!N$461*INDEX(Data_EF!$G:$G,MATCH($G65,Data_EF!$A:$A,0))/1000000</f>
        <v>0</v>
      </c>
      <c r="O65" s="19">
        <f>Mitigation_Industry!O$461*INDEX(Data_EF!$G:$G,MATCH($G65,Data_EF!$A:$A,0))/1000000</f>
        <v>0</v>
      </c>
      <c r="P65" s="19">
        <f>Mitigation_Industry!P$461*INDEX(Data_EF!$G:$G,MATCH($G65,Data_EF!$A:$A,0))/1000000</f>
        <v>0</v>
      </c>
      <c r="Q65" s="19">
        <f>Mitigation_Industry!Q$461*INDEX(Data_EF!$G:$G,MATCH($G65,Data_EF!$A:$A,0))/1000000</f>
        <v>0</v>
      </c>
      <c r="R65" s="19">
        <f>Mitigation_Industry!R$461*INDEX(Data_EF!$G:$G,MATCH($G65,Data_EF!$A:$A,0))/1000000</f>
        <v>0</v>
      </c>
      <c r="S65" s="19">
        <f>Mitigation_Industry!S$461*INDEX(Data_EF!$G:$G,MATCH($G65,Data_EF!$A:$A,0))/1000000</f>
        <v>0</v>
      </c>
      <c r="T65" s="19">
        <f>Mitigation_Industry!T$461*INDEX(Data_EF!$G:$G,MATCH($G65,Data_EF!$A:$A,0))/1000000</f>
        <v>0</v>
      </c>
      <c r="U65" s="19">
        <f>Mitigation_Industry!U$461*INDEX(Data_EF!$G:$G,MATCH($G65,Data_EF!$A:$A,0))/1000000</f>
        <v>0</v>
      </c>
      <c r="V65" s="19">
        <f>Mitigation_Industry!V$461*INDEX(Data_EF!$G:$G,MATCH($G65,Data_EF!$A:$A,0))/1000000</f>
        <v>0</v>
      </c>
      <c r="W65" s="19">
        <f>Mitigation_Industry!W$461*INDEX(Data_EF!$G:$G,MATCH($G65,Data_EF!$A:$A,0))/1000000</f>
        <v>0</v>
      </c>
      <c r="X65" s="19">
        <f>Mitigation_Industry!X$461*INDEX(Data_EF!$G:$G,MATCH($G65,Data_EF!$A:$A,0))/1000000</f>
        <v>0</v>
      </c>
      <c r="Y65" s="19">
        <f>Mitigation_Industry!Y$461*INDEX(Data_EF!$G:$G,MATCH($G65,Data_EF!$A:$A,0))/1000000</f>
        <v>0</v>
      </c>
      <c r="Z65" s="19">
        <f>Mitigation_Industry!Z$461*INDEX(Data_EF!$G:$G,MATCH($G65,Data_EF!$A:$A,0))/1000000</f>
        <v>0</v>
      </c>
      <c r="AA65" s="19">
        <f>Mitigation_Industry!AA$461*INDEX(Data_EF!$G:$G,MATCH($G65,Data_EF!$A:$A,0))/1000000</f>
        <v>0</v>
      </c>
      <c r="AB65" s="19">
        <f>Mitigation_Industry!AB$461*INDEX(Data_EF!$G:$G,MATCH($G65,Data_EF!$A:$A,0))/1000000</f>
        <v>0</v>
      </c>
      <c r="AC65" s="19">
        <f>Mitigation_Industry!AC$461*INDEX(Data_EF!$G:$G,MATCH($G65,Data_EF!$A:$A,0))/1000000</f>
        <v>0</v>
      </c>
      <c r="AD65" s="19">
        <f>Mitigation_Industry!AD$461*INDEX(Data_EF!$G:$G,MATCH($G65,Data_EF!$A:$A,0))/1000000</f>
        <v>0</v>
      </c>
      <c r="AE65" s="19">
        <f>Mitigation_Industry!AE$461*INDEX(Data_EF!$G:$G,MATCH($G65,Data_EF!$A:$A,0))/1000000</f>
        <v>0</v>
      </c>
    </row>
    <row r="66" spans="1:35" customFormat="1" ht="14.25" x14ac:dyDescent="0.45">
      <c r="B66" s="14" t="s">
        <v>110</v>
      </c>
      <c r="C66" s="14" t="str">
        <f t="shared" si="8"/>
        <v>irn</v>
      </c>
      <c r="D66" s="25" t="s">
        <v>111</v>
      </c>
      <c r="E66" s="16" t="s">
        <v>2068</v>
      </c>
      <c r="F66" s="14" t="s">
        <v>2069</v>
      </c>
      <c r="H66" s="45" t="str">
        <f>Settings!$B$3&amp;".mit.eco2."&amp;$C$56&amp;".tot.e."&amp;$J$56</f>
        <v>egy.mit.eco2.irn.tot.e.2</v>
      </c>
      <c r="L66" s="130">
        <f t="shared" ref="L66:AE66" si="9">SUM(L57:L65)</f>
        <v>4.5303835184019645</v>
      </c>
      <c r="M66" s="130">
        <f t="shared" si="9"/>
        <v>3.8469033618625206</v>
      </c>
      <c r="N66" s="130">
        <f t="shared" si="9"/>
        <v>4.3290746208215198</v>
      </c>
      <c r="O66" s="130">
        <f t="shared" si="9"/>
        <v>4.5451606543512009</v>
      </c>
      <c r="P66" s="130">
        <f t="shared" si="9"/>
        <v>4.6606527233890995</v>
      </c>
      <c r="Q66" s="130">
        <f t="shared" si="9"/>
        <v>4.4078296144020142</v>
      </c>
      <c r="R66" s="130">
        <f t="shared" si="9"/>
        <v>4.246993475594202</v>
      </c>
      <c r="S66" s="130">
        <f t="shared" si="9"/>
        <v>4.1117536252780678</v>
      </c>
      <c r="T66" s="130">
        <f t="shared" si="9"/>
        <v>3.9924395556502268</v>
      </c>
      <c r="U66" s="130">
        <f t="shared" si="9"/>
        <v>3.8941902155876629</v>
      </c>
      <c r="V66" s="130">
        <f t="shared" si="9"/>
        <v>3.8124028190221151</v>
      </c>
      <c r="W66" s="130">
        <f t="shared" si="9"/>
        <v>3.7471168511266315</v>
      </c>
      <c r="X66" s="130">
        <f t="shared" si="9"/>
        <v>3.6964075936068812</v>
      </c>
      <c r="Y66" s="130">
        <f t="shared" si="9"/>
        <v>3.6591659054499268</v>
      </c>
      <c r="Z66" s="130">
        <f t="shared" si="9"/>
        <v>3.6352380271397982</v>
      </c>
      <c r="AA66" s="130">
        <f t="shared" si="9"/>
        <v>3.623938569338653</v>
      </c>
      <c r="AB66" s="130">
        <f t="shared" si="9"/>
        <v>3.6245334840846737</v>
      </c>
      <c r="AC66" s="130">
        <f t="shared" si="9"/>
        <v>3.6357614325971319</v>
      </c>
      <c r="AD66" s="130">
        <f t="shared" si="9"/>
        <v>3.656572990259491</v>
      </c>
      <c r="AE66" s="130">
        <f t="shared" si="9"/>
        <v>3.686189977104291</v>
      </c>
    </row>
    <row r="68" spans="1:35" customFormat="1" ht="14.25" x14ac:dyDescent="0.45">
      <c r="A68" s="11"/>
      <c r="B68" s="6" t="s">
        <v>112</v>
      </c>
      <c r="C68" s="7" t="s">
        <v>113</v>
      </c>
      <c r="D68" s="6" t="s">
        <v>44</v>
      </c>
      <c r="E68" s="7" t="s">
        <v>35</v>
      </c>
      <c r="F68" s="7" t="s">
        <v>45</v>
      </c>
      <c r="G68" s="7" t="s">
        <v>2067</v>
      </c>
      <c r="H68" s="12" t="s">
        <v>38</v>
      </c>
      <c r="I68" s="6" t="s">
        <v>47</v>
      </c>
      <c r="J68" s="48">
        <v>2</v>
      </c>
      <c r="K68" s="6">
        <v>2021</v>
      </c>
      <c r="L68" s="46">
        <v>2022</v>
      </c>
      <c r="M68" s="6">
        <v>2023</v>
      </c>
      <c r="N68" s="6">
        <v>2024</v>
      </c>
      <c r="O68" s="6">
        <v>2025</v>
      </c>
      <c r="P68" s="6">
        <v>2026</v>
      </c>
      <c r="Q68" s="6">
        <v>2027</v>
      </c>
      <c r="R68" s="6">
        <v>2028</v>
      </c>
      <c r="S68" s="6">
        <v>2029</v>
      </c>
      <c r="T68" s="6">
        <v>2030</v>
      </c>
      <c r="U68" s="6">
        <v>2031</v>
      </c>
      <c r="V68" s="6">
        <v>2032</v>
      </c>
      <c r="W68" s="6">
        <v>2033</v>
      </c>
      <c r="X68" s="6">
        <v>2034</v>
      </c>
      <c r="Y68" s="6">
        <v>2035</v>
      </c>
      <c r="Z68" s="6">
        <v>2036</v>
      </c>
      <c r="AA68" s="6">
        <v>2037</v>
      </c>
      <c r="AB68" s="6">
        <v>2038</v>
      </c>
      <c r="AC68" s="6">
        <v>2039</v>
      </c>
      <c r="AD68" s="6">
        <v>2040</v>
      </c>
      <c r="AE68" s="6">
        <v>2041</v>
      </c>
      <c r="AF68" s="6">
        <v>2042</v>
      </c>
      <c r="AG68" s="6">
        <v>2043</v>
      </c>
      <c r="AH68" s="6">
        <v>2044</v>
      </c>
      <c r="AI68" s="6">
        <v>2045</v>
      </c>
    </row>
    <row r="69" spans="1:35" customFormat="1" ht="14.25" x14ac:dyDescent="0.45">
      <c r="B69" s="14" t="s">
        <v>49</v>
      </c>
      <c r="C69" s="14" t="str">
        <f t="shared" ref="C69:C78" si="10">$C$68</f>
        <v>cem</v>
      </c>
      <c r="D69" s="15" t="s">
        <v>50</v>
      </c>
      <c r="E69" s="16" t="s">
        <v>2068</v>
      </c>
      <c r="F69" s="14" t="s">
        <v>2069</v>
      </c>
      <c r="G69" s="128" t="str">
        <f>Settings!$B$3&amp;".mit.efc."&amp;$B69</f>
        <v>egy.mit.efc.coa</v>
      </c>
      <c r="H69" s="45" t="str">
        <f>Settings!$B$3&amp;".mit.eco2."&amp;$C$68&amp;"."&amp;$B69&amp;".e."&amp;$J$68</f>
        <v>egy.mit.eco2.cem.coa.e.2</v>
      </c>
      <c r="I69" t="s">
        <v>2116</v>
      </c>
      <c r="L69" s="129">
        <f>Mitigation_Industry!L$513*INDEX(Data_EF!$G:$G,MATCH($G69,Data_EF!$A:$A,0))/1000000</f>
        <v>5.6943750017529693</v>
      </c>
      <c r="M69" s="19">
        <f>Mitigation_Industry!M$513*INDEX(Data_EF!$G:$G,MATCH($G69,Data_EF!$A:$A,0))/1000000</f>
        <v>4.6369239864204763</v>
      </c>
      <c r="N69" s="19">
        <f>Mitigation_Industry!N$513*INDEX(Data_EF!$G:$G,MATCH($G69,Data_EF!$A:$A,0))/1000000</f>
        <v>5.3289940373086706</v>
      </c>
      <c r="O69" s="19">
        <f>Mitigation_Industry!O$513*INDEX(Data_EF!$G:$G,MATCH($G69,Data_EF!$A:$A,0))/1000000</f>
        <v>5.8226400268160949</v>
      </c>
      <c r="P69" s="19">
        <f>Mitigation_Industry!P$513*INDEX(Data_EF!$G:$G,MATCH($G69,Data_EF!$A:$A,0))/1000000</f>
        <v>5.694196680592964</v>
      </c>
      <c r="Q69" s="19">
        <f>Mitigation_Industry!Q$513*INDEX(Data_EF!$G:$G,MATCH($G69,Data_EF!$A:$A,0))/1000000</f>
        <v>5.3507681264149785</v>
      </c>
      <c r="R69" s="19">
        <f>Mitigation_Industry!R$513*INDEX(Data_EF!$G:$G,MATCH($G69,Data_EF!$A:$A,0))/1000000</f>
        <v>5.1468030050040836</v>
      </c>
      <c r="S69" s="19">
        <f>Mitigation_Industry!S$513*INDEX(Data_EF!$G:$G,MATCH($G69,Data_EF!$A:$A,0))/1000000</f>
        <v>4.9720844145169041</v>
      </c>
      <c r="T69" s="19">
        <f>Mitigation_Industry!T$513*INDEX(Data_EF!$G:$G,MATCH($G69,Data_EF!$A:$A,0))/1000000</f>
        <v>4.8177884769020274</v>
      </c>
      <c r="U69" s="19">
        <f>Mitigation_Industry!U$513*INDEX(Data_EF!$G:$G,MATCH($G69,Data_EF!$A:$A,0))/1000000</f>
        <v>4.684359736338636</v>
      </c>
      <c r="V69" s="19">
        <f>Mitigation_Industry!V$513*INDEX(Data_EF!$G:$G,MATCH($G69,Data_EF!$A:$A,0))/1000000</f>
        <v>4.5577516702337384</v>
      </c>
      <c r="W69" s="19">
        <f>Mitigation_Industry!W$513*INDEX(Data_EF!$G:$G,MATCH($G69,Data_EF!$A:$A,0))/1000000</f>
        <v>4.449135037739806</v>
      </c>
      <c r="X69" s="19">
        <f>Mitigation_Industry!X$513*INDEX(Data_EF!$G:$G,MATCH($G69,Data_EF!$A:$A,0))/1000000</f>
        <v>4.3559671865623386</v>
      </c>
      <c r="Y69" s="19">
        <f>Mitigation_Industry!Y$513*INDEX(Data_EF!$G:$G,MATCH($G69,Data_EF!$A:$A,0))/1000000</f>
        <v>4.2764922482924703</v>
      </c>
      <c r="Z69" s="19">
        <f>Mitigation_Industry!Z$513*INDEX(Data_EF!$G:$G,MATCH($G69,Data_EF!$A:$A,0))/1000000</f>
        <v>4.2097463004877325</v>
      </c>
      <c r="AA69" s="19">
        <f>Mitigation_Industry!AA$513*INDEX(Data_EF!$G:$G,MATCH($G69,Data_EF!$A:$A,0))/1000000</f>
        <v>4.1545451732478762</v>
      </c>
      <c r="AB69" s="19">
        <f>Mitigation_Industry!AB$513*INDEX(Data_EF!$G:$G,MATCH($G69,Data_EF!$A:$A,0))/1000000</f>
        <v>4.109773462733231</v>
      </c>
      <c r="AC69" s="19">
        <f>Mitigation_Industry!AC$513*INDEX(Data_EF!$G:$G,MATCH($G69,Data_EF!$A:$A,0))/1000000</f>
        <v>4.0740725397081841</v>
      </c>
      <c r="AD69" s="19">
        <f>Mitigation_Industry!AD$513*INDEX(Data_EF!$G:$G,MATCH($G69,Data_EF!$A:$A,0))/1000000</f>
        <v>4.0462985024959002</v>
      </c>
      <c r="AE69" s="19">
        <f>Mitigation_Industry!AE$513*INDEX(Data_EF!$G:$G,MATCH($G69,Data_EF!$A:$A,0))/1000000</f>
        <v>4.0255417733511525</v>
      </c>
    </row>
    <row r="70" spans="1:35" customFormat="1" ht="14.25" x14ac:dyDescent="0.45">
      <c r="B70" s="14" t="s">
        <v>53</v>
      </c>
      <c r="C70" s="14" t="str">
        <f t="shared" si="10"/>
        <v>cem</v>
      </c>
      <c r="D70" s="15" t="s">
        <v>54</v>
      </c>
      <c r="E70" s="16" t="s">
        <v>2068</v>
      </c>
      <c r="F70" s="14" t="s">
        <v>2069</v>
      </c>
      <c r="G70" s="128" t="str">
        <f>Settings!$B$3&amp;".mit.efc."&amp;$B70</f>
        <v>egy.mit.efc.nga</v>
      </c>
      <c r="H70" s="45" t="str">
        <f>Settings!$B$3&amp;".mit.eco2."&amp;$C$68&amp;"."&amp;$B70&amp;".e."&amp;$J$68</f>
        <v>egy.mit.eco2.cem.nga.e.2</v>
      </c>
      <c r="I70" t="s">
        <v>2117</v>
      </c>
      <c r="L70" s="129">
        <f>Mitigation_Industry!L$514*INDEX(Data_EF!$G:$G,MATCH($G70,Data_EF!$A:$A,0))/1000000</f>
        <v>3.7949824443793374</v>
      </c>
      <c r="M70" s="19">
        <f>Mitigation_Industry!M$514*INDEX(Data_EF!$G:$G,MATCH($G70,Data_EF!$A:$A,0))/1000000</f>
        <v>3.2554738817530007</v>
      </c>
      <c r="N70" s="19">
        <f>Mitigation_Industry!N$514*INDEX(Data_EF!$G:$G,MATCH($G70,Data_EF!$A:$A,0))/1000000</f>
        <v>3.645055860732914</v>
      </c>
      <c r="O70" s="19">
        <f>Mitigation_Industry!O$514*INDEX(Data_EF!$G:$G,MATCH($G70,Data_EF!$A:$A,0))/1000000</f>
        <v>3.7890989172597216</v>
      </c>
      <c r="P70" s="19">
        <f>Mitigation_Industry!P$514*INDEX(Data_EF!$G:$G,MATCH($G70,Data_EF!$A:$A,0))/1000000</f>
        <v>3.9313953380014977</v>
      </c>
      <c r="Q70" s="19">
        <f>Mitigation_Industry!Q$514*INDEX(Data_EF!$G:$G,MATCH($G70,Data_EF!$A:$A,0))/1000000</f>
        <v>3.7238820485525643</v>
      </c>
      <c r="R70" s="19">
        <f>Mitigation_Industry!R$514*INDEX(Data_EF!$G:$G,MATCH($G70,Data_EF!$A:$A,0))/1000000</f>
        <v>3.5894544332613201</v>
      </c>
      <c r="S70" s="19">
        <f>Mitigation_Industry!S$514*INDEX(Data_EF!$G:$G,MATCH($G70,Data_EF!$A:$A,0))/1000000</f>
        <v>3.4769553223578953</v>
      </c>
      <c r="T70" s="19">
        <f>Mitigation_Industry!T$514*INDEX(Data_EF!$G:$G,MATCH($G70,Data_EF!$A:$A,0))/1000000</f>
        <v>3.3777293800729993</v>
      </c>
      <c r="U70" s="19">
        <f>Mitigation_Industry!U$514*INDEX(Data_EF!$G:$G,MATCH($G70,Data_EF!$A:$A,0))/1000000</f>
        <v>3.2970827346258389</v>
      </c>
      <c r="V70" s="19">
        <f>Mitigation_Industry!V$514*INDEX(Data_EF!$G:$G,MATCH($G70,Data_EF!$A:$A,0))/1000000</f>
        <v>3.2325351104852813</v>
      </c>
      <c r="W70" s="19">
        <f>Mitigation_Industry!W$514*INDEX(Data_EF!$G:$G,MATCH($G70,Data_EF!$A:$A,0))/1000000</f>
        <v>3.1822680817896103</v>
      </c>
      <c r="X70" s="19">
        <f>Mitigation_Industry!X$514*INDEX(Data_EF!$G:$G,MATCH($G70,Data_EF!$A:$A,0))/1000000</f>
        <v>3.1446899098677394</v>
      </c>
      <c r="Y70" s="19">
        <f>Mitigation_Industry!Y$514*INDEX(Data_EF!$G:$G,MATCH($G70,Data_EF!$A:$A,0))/1000000</f>
        <v>3.11893172355397</v>
      </c>
      <c r="Z70" s="19">
        <f>Mitigation_Industry!Z$514*INDEX(Data_EF!$G:$G,MATCH($G70,Data_EF!$A:$A,0))/1000000</f>
        <v>3.1049930255074432</v>
      </c>
      <c r="AA70" s="19">
        <f>Mitigation_Industry!AA$514*INDEX(Data_EF!$G:$G,MATCH($G70,Data_EF!$A:$A,0))/1000000</f>
        <v>3.1023534051773503</v>
      </c>
      <c r="AB70" s="19">
        <f>Mitigation_Industry!AB$514*INDEX(Data_EF!$G:$G,MATCH($G70,Data_EF!$A:$A,0))/1000000</f>
        <v>3.1104300611453071</v>
      </c>
      <c r="AC70" s="19">
        <f>Mitigation_Industry!AC$514*INDEX(Data_EF!$G:$G,MATCH($G70,Data_EF!$A:$A,0))/1000000</f>
        <v>3.1281286469137259</v>
      </c>
      <c r="AD70" s="19">
        <f>Mitigation_Industry!AD$514*INDEX(Data_EF!$G:$G,MATCH($G70,Data_EF!$A:$A,0))/1000000</f>
        <v>3.1545409271157974</v>
      </c>
      <c r="AE70" s="19">
        <f>Mitigation_Industry!AE$514*INDEX(Data_EF!$G:$G,MATCH($G70,Data_EF!$A:$A,0))/1000000</f>
        <v>3.1890036300899558</v>
      </c>
    </row>
    <row r="71" spans="1:35" customFormat="1" ht="14.25" x14ac:dyDescent="0.45">
      <c r="B71" s="14" t="s">
        <v>55</v>
      </c>
      <c r="C71" s="14" t="str">
        <f t="shared" si="10"/>
        <v>cem</v>
      </c>
      <c r="D71" s="15" t="s">
        <v>56</v>
      </c>
      <c r="E71" s="16" t="s">
        <v>2068</v>
      </c>
      <c r="F71" s="14" t="s">
        <v>2069</v>
      </c>
      <c r="G71" s="128" t="str">
        <f>Settings!$B$3&amp;".mit.efc."&amp;$B71</f>
        <v>egy.mit.efc.gso</v>
      </c>
      <c r="H71" s="45" t="str">
        <f>Settings!$B$3&amp;".mit.eco2."&amp;$C$68&amp;"."&amp;$B71&amp;".e."&amp;$J$68</f>
        <v>egy.mit.eco2.cem.gso.e.2</v>
      </c>
      <c r="I71" t="s">
        <v>2118</v>
      </c>
      <c r="L71" s="129">
        <f>Mitigation_Industry!L$515*INDEX(Data_EF!$G:$G,MATCH($G71,Data_EF!$A:$A,0))/1000000</f>
        <v>0</v>
      </c>
      <c r="M71" s="19">
        <f>Mitigation_Industry!M$515*INDEX(Data_EF!$G:$G,MATCH($G71,Data_EF!$A:$A,0))/1000000</f>
        <v>0</v>
      </c>
      <c r="N71" s="19">
        <f>Mitigation_Industry!N$515*INDEX(Data_EF!$G:$G,MATCH($G71,Data_EF!$A:$A,0))/1000000</f>
        <v>0</v>
      </c>
      <c r="O71" s="19">
        <f>Mitigation_Industry!O$515*INDEX(Data_EF!$G:$G,MATCH($G71,Data_EF!$A:$A,0))/1000000</f>
        <v>0</v>
      </c>
      <c r="P71" s="19">
        <f>Mitigation_Industry!P$515*INDEX(Data_EF!$G:$G,MATCH($G71,Data_EF!$A:$A,0))/1000000</f>
        <v>0</v>
      </c>
      <c r="Q71" s="19">
        <f>Mitigation_Industry!Q$515*INDEX(Data_EF!$G:$G,MATCH($G71,Data_EF!$A:$A,0))/1000000</f>
        <v>0</v>
      </c>
      <c r="R71" s="19">
        <f>Mitigation_Industry!R$515*INDEX(Data_EF!$G:$G,MATCH($G71,Data_EF!$A:$A,0))/1000000</f>
        <v>0</v>
      </c>
      <c r="S71" s="19">
        <f>Mitigation_Industry!S$515*INDEX(Data_EF!$G:$G,MATCH($G71,Data_EF!$A:$A,0))/1000000</f>
        <v>0</v>
      </c>
      <c r="T71" s="19">
        <f>Mitigation_Industry!T$515*INDEX(Data_EF!$G:$G,MATCH($G71,Data_EF!$A:$A,0))/1000000</f>
        <v>0</v>
      </c>
      <c r="U71" s="19">
        <f>Mitigation_Industry!U$515*INDEX(Data_EF!$G:$G,MATCH($G71,Data_EF!$A:$A,0))/1000000</f>
        <v>0</v>
      </c>
      <c r="V71" s="19">
        <f>Mitigation_Industry!V$515*INDEX(Data_EF!$G:$G,MATCH($G71,Data_EF!$A:$A,0))/1000000</f>
        <v>0</v>
      </c>
      <c r="W71" s="19">
        <f>Mitigation_Industry!W$515*INDEX(Data_EF!$G:$G,MATCH($G71,Data_EF!$A:$A,0))/1000000</f>
        <v>0</v>
      </c>
      <c r="X71" s="19">
        <f>Mitigation_Industry!X$515*INDEX(Data_EF!$G:$G,MATCH($G71,Data_EF!$A:$A,0))/1000000</f>
        <v>0</v>
      </c>
      <c r="Y71" s="19">
        <f>Mitigation_Industry!Y$515*INDEX(Data_EF!$G:$G,MATCH($G71,Data_EF!$A:$A,0))/1000000</f>
        <v>0</v>
      </c>
      <c r="Z71" s="19">
        <f>Mitigation_Industry!Z$515*INDEX(Data_EF!$G:$G,MATCH($G71,Data_EF!$A:$A,0))/1000000</f>
        <v>0</v>
      </c>
      <c r="AA71" s="19">
        <f>Mitigation_Industry!AA$515*INDEX(Data_EF!$G:$G,MATCH($G71,Data_EF!$A:$A,0))/1000000</f>
        <v>0</v>
      </c>
      <c r="AB71" s="19">
        <f>Mitigation_Industry!AB$515*INDEX(Data_EF!$G:$G,MATCH($G71,Data_EF!$A:$A,0))/1000000</f>
        <v>0</v>
      </c>
      <c r="AC71" s="19">
        <f>Mitigation_Industry!AC$515*INDEX(Data_EF!$G:$G,MATCH($G71,Data_EF!$A:$A,0))/1000000</f>
        <v>0</v>
      </c>
      <c r="AD71" s="19">
        <f>Mitigation_Industry!AD$515*INDEX(Data_EF!$G:$G,MATCH($G71,Data_EF!$A:$A,0))/1000000</f>
        <v>0</v>
      </c>
      <c r="AE71" s="19">
        <f>Mitigation_Industry!AE$515*INDEX(Data_EF!$G:$G,MATCH($G71,Data_EF!$A:$A,0))/1000000</f>
        <v>0</v>
      </c>
    </row>
    <row r="72" spans="1:35" customFormat="1" ht="14.25" x14ac:dyDescent="0.45">
      <c r="B72" s="14" t="s">
        <v>58</v>
      </c>
      <c r="C72" s="14" t="str">
        <f t="shared" si="10"/>
        <v>cem</v>
      </c>
      <c r="D72" s="15" t="s">
        <v>59</v>
      </c>
      <c r="E72" s="16" t="s">
        <v>2068</v>
      </c>
      <c r="F72" s="14" t="s">
        <v>2069</v>
      </c>
      <c r="G72" s="128" t="str">
        <f>Settings!$B$3&amp;".mit.efc."&amp;$B72</f>
        <v>egy.mit.efc.die</v>
      </c>
      <c r="H72" s="45" t="str">
        <f>Settings!$B$3&amp;".mit.eco2."&amp;$C$68&amp;"."&amp;$B72&amp;".e."&amp;$J$68</f>
        <v>egy.mit.eco2.cem.die.e.2</v>
      </c>
      <c r="I72" t="s">
        <v>2119</v>
      </c>
      <c r="L72" s="129">
        <f>Mitigation_Industry!L$516*INDEX(Data_EF!$G:$G,MATCH($G72,Data_EF!$A:$A,0))/1000000</f>
        <v>0</v>
      </c>
      <c r="M72" s="19">
        <f>Mitigation_Industry!M$516*INDEX(Data_EF!$G:$G,MATCH($G72,Data_EF!$A:$A,0))/1000000</f>
        <v>0</v>
      </c>
      <c r="N72" s="19">
        <f>Mitigation_Industry!N$516*INDEX(Data_EF!$G:$G,MATCH($G72,Data_EF!$A:$A,0))/1000000</f>
        <v>0</v>
      </c>
      <c r="O72" s="19">
        <f>Mitigation_Industry!O$516*INDEX(Data_EF!$G:$G,MATCH($G72,Data_EF!$A:$A,0))/1000000</f>
        <v>0</v>
      </c>
      <c r="P72" s="19">
        <f>Mitigation_Industry!P$516*INDEX(Data_EF!$G:$G,MATCH($G72,Data_EF!$A:$A,0))/1000000</f>
        <v>0</v>
      </c>
      <c r="Q72" s="19">
        <f>Mitigation_Industry!Q$516*INDEX(Data_EF!$G:$G,MATCH($G72,Data_EF!$A:$A,0))/1000000</f>
        <v>0</v>
      </c>
      <c r="R72" s="19">
        <f>Mitigation_Industry!R$516*INDEX(Data_EF!$G:$G,MATCH($G72,Data_EF!$A:$A,0))/1000000</f>
        <v>0</v>
      </c>
      <c r="S72" s="19">
        <f>Mitigation_Industry!S$516*INDEX(Data_EF!$G:$G,MATCH($G72,Data_EF!$A:$A,0))/1000000</f>
        <v>0</v>
      </c>
      <c r="T72" s="19">
        <f>Mitigation_Industry!T$516*INDEX(Data_EF!$G:$G,MATCH($G72,Data_EF!$A:$A,0))/1000000</f>
        <v>0</v>
      </c>
      <c r="U72" s="19">
        <f>Mitigation_Industry!U$516*INDEX(Data_EF!$G:$G,MATCH($G72,Data_EF!$A:$A,0))/1000000</f>
        <v>0</v>
      </c>
      <c r="V72" s="19">
        <f>Mitigation_Industry!V$516*INDEX(Data_EF!$G:$G,MATCH($G72,Data_EF!$A:$A,0))/1000000</f>
        <v>0</v>
      </c>
      <c r="W72" s="19">
        <f>Mitigation_Industry!W$516*INDEX(Data_EF!$G:$G,MATCH($G72,Data_EF!$A:$A,0))/1000000</f>
        <v>0</v>
      </c>
      <c r="X72" s="19">
        <f>Mitigation_Industry!X$516*INDEX(Data_EF!$G:$G,MATCH($G72,Data_EF!$A:$A,0))/1000000</f>
        <v>0</v>
      </c>
      <c r="Y72" s="19">
        <f>Mitigation_Industry!Y$516*INDEX(Data_EF!$G:$G,MATCH($G72,Data_EF!$A:$A,0))/1000000</f>
        <v>0</v>
      </c>
      <c r="Z72" s="19">
        <f>Mitigation_Industry!Z$516*INDEX(Data_EF!$G:$G,MATCH($G72,Data_EF!$A:$A,0))/1000000</f>
        <v>0</v>
      </c>
      <c r="AA72" s="19">
        <f>Mitigation_Industry!AA$516*INDEX(Data_EF!$G:$G,MATCH($G72,Data_EF!$A:$A,0))/1000000</f>
        <v>0</v>
      </c>
      <c r="AB72" s="19">
        <f>Mitigation_Industry!AB$516*INDEX(Data_EF!$G:$G,MATCH($G72,Data_EF!$A:$A,0))/1000000</f>
        <v>0</v>
      </c>
      <c r="AC72" s="19">
        <f>Mitigation_Industry!AC$516*INDEX(Data_EF!$G:$G,MATCH($G72,Data_EF!$A:$A,0))/1000000</f>
        <v>0</v>
      </c>
      <c r="AD72" s="19">
        <f>Mitigation_Industry!AD$516*INDEX(Data_EF!$G:$G,MATCH($G72,Data_EF!$A:$A,0))/1000000</f>
        <v>0</v>
      </c>
      <c r="AE72" s="19">
        <f>Mitigation_Industry!AE$516*INDEX(Data_EF!$G:$G,MATCH($G72,Data_EF!$A:$A,0))/1000000</f>
        <v>0</v>
      </c>
    </row>
    <row r="73" spans="1:35" customFormat="1" ht="14.25" x14ac:dyDescent="0.45">
      <c r="B73" s="14" t="s">
        <v>60</v>
      </c>
      <c r="C73" s="14" t="str">
        <f t="shared" si="10"/>
        <v>cem</v>
      </c>
      <c r="D73" s="15" t="s">
        <v>61</v>
      </c>
      <c r="E73" s="16" t="s">
        <v>2068</v>
      </c>
      <c r="F73" s="14" t="s">
        <v>2069</v>
      </c>
      <c r="G73" s="128" t="str">
        <f>Settings!$B$3&amp;".mit.efc."&amp;$B73</f>
        <v>egy.mit.efc.lpg</v>
      </c>
      <c r="H73" s="45" t="str">
        <f>Settings!$B$3&amp;".mit.eco2."&amp;$C$68&amp;"."&amp;$B73&amp;".e."&amp;$J$68</f>
        <v>egy.mit.eco2.cem.lpg.e.2</v>
      </c>
      <c r="I73" t="s">
        <v>2120</v>
      </c>
      <c r="L73" s="129">
        <f>Mitigation_Industry!L$517*INDEX(Data_EF!$G:$G,MATCH($G73,Data_EF!$A:$A,0))/1000000</f>
        <v>0</v>
      </c>
      <c r="M73" s="19">
        <f>Mitigation_Industry!M$517*INDEX(Data_EF!$G:$G,MATCH($G73,Data_EF!$A:$A,0))/1000000</f>
        <v>0</v>
      </c>
      <c r="N73" s="19">
        <f>Mitigation_Industry!N$517*INDEX(Data_EF!$G:$G,MATCH($G73,Data_EF!$A:$A,0))/1000000</f>
        <v>0</v>
      </c>
      <c r="O73" s="19">
        <f>Mitigation_Industry!O$517*INDEX(Data_EF!$G:$G,MATCH($G73,Data_EF!$A:$A,0))/1000000</f>
        <v>0</v>
      </c>
      <c r="P73" s="19">
        <f>Mitigation_Industry!P$517*INDEX(Data_EF!$G:$G,MATCH($G73,Data_EF!$A:$A,0))/1000000</f>
        <v>0</v>
      </c>
      <c r="Q73" s="19">
        <f>Mitigation_Industry!Q$517*INDEX(Data_EF!$G:$G,MATCH($G73,Data_EF!$A:$A,0))/1000000</f>
        <v>0</v>
      </c>
      <c r="R73" s="19">
        <f>Mitigation_Industry!R$517*INDEX(Data_EF!$G:$G,MATCH($G73,Data_EF!$A:$A,0))/1000000</f>
        <v>0</v>
      </c>
      <c r="S73" s="19">
        <f>Mitigation_Industry!S$517*INDEX(Data_EF!$G:$G,MATCH($G73,Data_EF!$A:$A,0))/1000000</f>
        <v>0</v>
      </c>
      <c r="T73" s="19">
        <f>Mitigation_Industry!T$517*INDEX(Data_EF!$G:$G,MATCH($G73,Data_EF!$A:$A,0))/1000000</f>
        <v>0</v>
      </c>
      <c r="U73" s="19">
        <f>Mitigation_Industry!U$517*INDEX(Data_EF!$G:$G,MATCH($G73,Data_EF!$A:$A,0))/1000000</f>
        <v>0</v>
      </c>
      <c r="V73" s="19">
        <f>Mitigation_Industry!V$517*INDEX(Data_EF!$G:$G,MATCH($G73,Data_EF!$A:$A,0))/1000000</f>
        <v>0</v>
      </c>
      <c r="W73" s="19">
        <f>Mitigation_Industry!W$517*INDEX(Data_EF!$G:$G,MATCH($G73,Data_EF!$A:$A,0))/1000000</f>
        <v>0</v>
      </c>
      <c r="X73" s="19">
        <f>Mitigation_Industry!X$517*INDEX(Data_EF!$G:$G,MATCH($G73,Data_EF!$A:$A,0))/1000000</f>
        <v>0</v>
      </c>
      <c r="Y73" s="19">
        <f>Mitigation_Industry!Y$517*INDEX(Data_EF!$G:$G,MATCH($G73,Data_EF!$A:$A,0))/1000000</f>
        <v>0</v>
      </c>
      <c r="Z73" s="19">
        <f>Mitigation_Industry!Z$517*INDEX(Data_EF!$G:$G,MATCH($G73,Data_EF!$A:$A,0))/1000000</f>
        <v>0</v>
      </c>
      <c r="AA73" s="19">
        <f>Mitigation_Industry!AA$517*INDEX(Data_EF!$G:$G,MATCH($G73,Data_EF!$A:$A,0))/1000000</f>
        <v>0</v>
      </c>
      <c r="AB73" s="19">
        <f>Mitigation_Industry!AB$517*INDEX(Data_EF!$G:$G,MATCH($G73,Data_EF!$A:$A,0))/1000000</f>
        <v>0</v>
      </c>
      <c r="AC73" s="19">
        <f>Mitigation_Industry!AC$517*INDEX(Data_EF!$G:$G,MATCH($G73,Data_EF!$A:$A,0))/1000000</f>
        <v>0</v>
      </c>
      <c r="AD73" s="19">
        <f>Mitigation_Industry!AD$517*INDEX(Data_EF!$G:$G,MATCH($G73,Data_EF!$A:$A,0))/1000000</f>
        <v>0</v>
      </c>
      <c r="AE73" s="19">
        <f>Mitigation_Industry!AE$517*INDEX(Data_EF!$G:$G,MATCH($G73,Data_EF!$A:$A,0))/1000000</f>
        <v>0</v>
      </c>
    </row>
    <row r="74" spans="1:35" customFormat="1" ht="14.25" x14ac:dyDescent="0.45">
      <c r="B74" s="14" t="s">
        <v>62</v>
      </c>
      <c r="C74" s="14" t="str">
        <f t="shared" si="10"/>
        <v>cem</v>
      </c>
      <c r="D74" s="15" t="s">
        <v>63</v>
      </c>
      <c r="E74" s="16" t="s">
        <v>2068</v>
      </c>
      <c r="F74" s="14" t="s">
        <v>2069</v>
      </c>
      <c r="G74" s="128" t="str">
        <f>Settings!$B$3&amp;".mit.efc."&amp;$B74</f>
        <v>egy.mit.efc.ker</v>
      </c>
      <c r="H74" s="45" t="str">
        <f>Settings!$B$3&amp;".mit.eco2."&amp;$C$68&amp;"."&amp;$B74&amp;".e."&amp;$J$68</f>
        <v>egy.mit.eco2.cem.ker.e.2</v>
      </c>
      <c r="I74" t="s">
        <v>2121</v>
      </c>
      <c r="L74" s="129">
        <f>Mitigation_Industry!L$518*INDEX(Data_EF!$G:$G,MATCH($G74,Data_EF!$A:$A,0))/1000000</f>
        <v>0</v>
      </c>
      <c r="M74" s="19">
        <f>Mitigation_Industry!M$518*INDEX(Data_EF!$G:$G,MATCH($G74,Data_EF!$A:$A,0))/1000000</f>
        <v>0</v>
      </c>
      <c r="N74" s="19">
        <f>Mitigation_Industry!N$518*INDEX(Data_EF!$G:$G,MATCH($G74,Data_EF!$A:$A,0))/1000000</f>
        <v>0</v>
      </c>
      <c r="O74" s="19">
        <f>Mitigation_Industry!O$518*INDEX(Data_EF!$G:$G,MATCH($G74,Data_EF!$A:$A,0))/1000000</f>
        <v>0</v>
      </c>
      <c r="P74" s="19">
        <f>Mitigation_Industry!P$518*INDEX(Data_EF!$G:$G,MATCH($G74,Data_EF!$A:$A,0))/1000000</f>
        <v>0</v>
      </c>
      <c r="Q74" s="19">
        <f>Mitigation_Industry!Q$518*INDEX(Data_EF!$G:$G,MATCH($G74,Data_EF!$A:$A,0))/1000000</f>
        <v>0</v>
      </c>
      <c r="R74" s="19">
        <f>Mitigation_Industry!R$518*INDEX(Data_EF!$G:$G,MATCH($G74,Data_EF!$A:$A,0))/1000000</f>
        <v>0</v>
      </c>
      <c r="S74" s="19">
        <f>Mitigation_Industry!S$518*INDEX(Data_EF!$G:$G,MATCH($G74,Data_EF!$A:$A,0))/1000000</f>
        <v>0</v>
      </c>
      <c r="T74" s="19">
        <f>Mitigation_Industry!T$518*INDEX(Data_EF!$G:$G,MATCH($G74,Data_EF!$A:$A,0))/1000000</f>
        <v>0</v>
      </c>
      <c r="U74" s="19">
        <f>Mitigation_Industry!U$518*INDEX(Data_EF!$G:$G,MATCH($G74,Data_EF!$A:$A,0))/1000000</f>
        <v>0</v>
      </c>
      <c r="V74" s="19">
        <f>Mitigation_Industry!V$518*INDEX(Data_EF!$G:$G,MATCH($G74,Data_EF!$A:$A,0))/1000000</f>
        <v>0</v>
      </c>
      <c r="W74" s="19">
        <f>Mitigation_Industry!W$518*INDEX(Data_EF!$G:$G,MATCH($G74,Data_EF!$A:$A,0))/1000000</f>
        <v>0</v>
      </c>
      <c r="X74" s="19">
        <f>Mitigation_Industry!X$518*INDEX(Data_EF!$G:$G,MATCH($G74,Data_EF!$A:$A,0))/1000000</f>
        <v>0</v>
      </c>
      <c r="Y74" s="19">
        <f>Mitigation_Industry!Y$518*INDEX(Data_EF!$G:$G,MATCH($G74,Data_EF!$A:$A,0))/1000000</f>
        <v>0</v>
      </c>
      <c r="Z74" s="19">
        <f>Mitigation_Industry!Z$518*INDEX(Data_EF!$G:$G,MATCH($G74,Data_EF!$A:$A,0))/1000000</f>
        <v>0</v>
      </c>
      <c r="AA74" s="19">
        <f>Mitigation_Industry!AA$518*INDEX(Data_EF!$G:$G,MATCH($G74,Data_EF!$A:$A,0))/1000000</f>
        <v>0</v>
      </c>
      <c r="AB74" s="19">
        <f>Mitigation_Industry!AB$518*INDEX(Data_EF!$G:$G,MATCH($G74,Data_EF!$A:$A,0))/1000000</f>
        <v>0</v>
      </c>
      <c r="AC74" s="19">
        <f>Mitigation_Industry!AC$518*INDEX(Data_EF!$G:$G,MATCH($G74,Data_EF!$A:$A,0))/1000000</f>
        <v>0</v>
      </c>
      <c r="AD74" s="19">
        <f>Mitigation_Industry!AD$518*INDEX(Data_EF!$G:$G,MATCH($G74,Data_EF!$A:$A,0))/1000000</f>
        <v>0</v>
      </c>
      <c r="AE74" s="19">
        <f>Mitigation_Industry!AE$518*INDEX(Data_EF!$G:$G,MATCH($G74,Data_EF!$A:$A,0))/1000000</f>
        <v>0</v>
      </c>
    </row>
    <row r="75" spans="1:35" customFormat="1" ht="14.25" x14ac:dyDescent="0.45">
      <c r="B75" s="14" t="s">
        <v>64</v>
      </c>
      <c r="C75" s="14" t="str">
        <f t="shared" si="10"/>
        <v>cem</v>
      </c>
      <c r="D75" s="15" t="s">
        <v>65</v>
      </c>
      <c r="E75" s="16" t="s">
        <v>2068</v>
      </c>
      <c r="F75" s="14" t="s">
        <v>2069</v>
      </c>
      <c r="G75" s="128" t="str">
        <f>Settings!$B$3&amp;".mit.efc."&amp;$B75</f>
        <v>egy.mit.efc.oop</v>
      </c>
      <c r="H75" s="45" t="str">
        <f>Settings!$B$3&amp;".mit.eco2."&amp;$C$68&amp;"."&amp;$B75&amp;".e."&amp;$J$68</f>
        <v>egy.mit.eco2.cem.oop.e.2</v>
      </c>
      <c r="I75" t="s">
        <v>2122</v>
      </c>
      <c r="L75" s="129">
        <f>Mitigation_Industry!L$519*INDEX(Data_EF!$G:$G,MATCH($G75,Data_EF!$A:$A,0))/1000000</f>
        <v>0</v>
      </c>
      <c r="M75" s="19">
        <f>Mitigation_Industry!M$519*INDEX(Data_EF!$G:$G,MATCH($G75,Data_EF!$A:$A,0))/1000000</f>
        <v>0</v>
      </c>
      <c r="N75" s="19">
        <f>Mitigation_Industry!N$519*INDEX(Data_EF!$G:$G,MATCH($G75,Data_EF!$A:$A,0))/1000000</f>
        <v>0</v>
      </c>
      <c r="O75" s="19">
        <f>Mitigation_Industry!O$519*INDEX(Data_EF!$G:$G,MATCH($G75,Data_EF!$A:$A,0))/1000000</f>
        <v>0</v>
      </c>
      <c r="P75" s="19">
        <f>Mitigation_Industry!P$519*INDEX(Data_EF!$G:$G,MATCH($G75,Data_EF!$A:$A,0))/1000000</f>
        <v>0</v>
      </c>
      <c r="Q75" s="19">
        <f>Mitigation_Industry!Q$519*INDEX(Data_EF!$G:$G,MATCH($G75,Data_EF!$A:$A,0))/1000000</f>
        <v>0</v>
      </c>
      <c r="R75" s="19">
        <f>Mitigation_Industry!R$519*INDEX(Data_EF!$G:$G,MATCH($G75,Data_EF!$A:$A,0))/1000000</f>
        <v>0</v>
      </c>
      <c r="S75" s="19">
        <f>Mitigation_Industry!S$519*INDEX(Data_EF!$G:$G,MATCH($G75,Data_EF!$A:$A,0))/1000000</f>
        <v>0</v>
      </c>
      <c r="T75" s="19">
        <f>Mitigation_Industry!T$519*INDEX(Data_EF!$G:$G,MATCH($G75,Data_EF!$A:$A,0))/1000000</f>
        <v>0</v>
      </c>
      <c r="U75" s="19">
        <f>Mitigation_Industry!U$519*INDEX(Data_EF!$G:$G,MATCH($G75,Data_EF!$A:$A,0))/1000000</f>
        <v>0</v>
      </c>
      <c r="V75" s="19">
        <f>Mitigation_Industry!V$519*INDEX(Data_EF!$G:$G,MATCH($G75,Data_EF!$A:$A,0))/1000000</f>
        <v>0</v>
      </c>
      <c r="W75" s="19">
        <f>Mitigation_Industry!W$519*INDEX(Data_EF!$G:$G,MATCH($G75,Data_EF!$A:$A,0))/1000000</f>
        <v>0</v>
      </c>
      <c r="X75" s="19">
        <f>Mitigation_Industry!X$519*INDEX(Data_EF!$G:$G,MATCH($G75,Data_EF!$A:$A,0))/1000000</f>
        <v>0</v>
      </c>
      <c r="Y75" s="19">
        <f>Mitigation_Industry!Y$519*INDEX(Data_EF!$G:$G,MATCH($G75,Data_EF!$A:$A,0))/1000000</f>
        <v>0</v>
      </c>
      <c r="Z75" s="19">
        <f>Mitigation_Industry!Z$519*INDEX(Data_EF!$G:$G,MATCH($G75,Data_EF!$A:$A,0))/1000000</f>
        <v>0</v>
      </c>
      <c r="AA75" s="19">
        <f>Mitigation_Industry!AA$519*INDEX(Data_EF!$G:$G,MATCH($G75,Data_EF!$A:$A,0))/1000000</f>
        <v>0</v>
      </c>
      <c r="AB75" s="19">
        <f>Mitigation_Industry!AB$519*INDEX(Data_EF!$G:$G,MATCH($G75,Data_EF!$A:$A,0))/1000000</f>
        <v>0</v>
      </c>
      <c r="AC75" s="19">
        <f>Mitigation_Industry!AC$519*INDEX(Data_EF!$G:$G,MATCH($G75,Data_EF!$A:$A,0))/1000000</f>
        <v>0</v>
      </c>
      <c r="AD75" s="19">
        <f>Mitigation_Industry!AD$519*INDEX(Data_EF!$G:$G,MATCH($G75,Data_EF!$A:$A,0))/1000000</f>
        <v>0</v>
      </c>
      <c r="AE75" s="19">
        <f>Mitigation_Industry!AE$519*INDEX(Data_EF!$G:$G,MATCH($G75,Data_EF!$A:$A,0))/1000000</f>
        <v>0</v>
      </c>
    </row>
    <row r="76" spans="1:35" customFormat="1" ht="14.25" x14ac:dyDescent="0.45">
      <c r="B76" s="14" t="s">
        <v>67</v>
      </c>
      <c r="C76" s="14" t="str">
        <f t="shared" si="10"/>
        <v>cem</v>
      </c>
      <c r="D76" s="15" t="s">
        <v>68</v>
      </c>
      <c r="E76" s="16" t="s">
        <v>2068</v>
      </c>
      <c r="F76" s="14" t="s">
        <v>2069</v>
      </c>
      <c r="G76" s="128" t="str">
        <f>Settings!$B$3&amp;".mit.efc."&amp;$B76</f>
        <v>egy.mit.efc.bio</v>
      </c>
      <c r="H76" s="45" t="str">
        <f>Settings!$B$3&amp;".mit.eco2."&amp;$C$68&amp;"."&amp;$B76&amp;".e."&amp;$J$68</f>
        <v>egy.mit.eco2.cem.bio.e.2</v>
      </c>
      <c r="I76" t="s">
        <v>2123</v>
      </c>
      <c r="L76" s="129">
        <f>Mitigation_Industry!L$520*INDEX(Data_EF!$G:$G,MATCH($G76,Data_EF!$A:$A,0))/1000000</f>
        <v>0</v>
      </c>
      <c r="M76" s="19">
        <f>Mitigation_Industry!M$520*INDEX(Data_EF!$G:$G,MATCH($G76,Data_EF!$A:$A,0))/1000000</f>
        <v>0</v>
      </c>
      <c r="N76" s="19">
        <f>Mitigation_Industry!N$520*INDEX(Data_EF!$G:$G,MATCH($G76,Data_EF!$A:$A,0))/1000000</f>
        <v>0</v>
      </c>
      <c r="O76" s="19">
        <f>Mitigation_Industry!O$520*INDEX(Data_EF!$G:$G,MATCH($G76,Data_EF!$A:$A,0))/1000000</f>
        <v>0</v>
      </c>
      <c r="P76" s="19">
        <f>Mitigation_Industry!P$520*INDEX(Data_EF!$G:$G,MATCH($G76,Data_EF!$A:$A,0))/1000000</f>
        <v>0</v>
      </c>
      <c r="Q76" s="19">
        <f>Mitigation_Industry!Q$520*INDEX(Data_EF!$G:$G,MATCH($G76,Data_EF!$A:$A,0))/1000000</f>
        <v>0</v>
      </c>
      <c r="R76" s="19">
        <f>Mitigation_Industry!R$520*INDEX(Data_EF!$G:$G,MATCH($G76,Data_EF!$A:$A,0))/1000000</f>
        <v>0</v>
      </c>
      <c r="S76" s="19">
        <f>Mitigation_Industry!S$520*INDEX(Data_EF!$G:$G,MATCH($G76,Data_EF!$A:$A,0))/1000000</f>
        <v>0</v>
      </c>
      <c r="T76" s="19">
        <f>Mitigation_Industry!T$520*INDEX(Data_EF!$G:$G,MATCH($G76,Data_EF!$A:$A,0))/1000000</f>
        <v>0</v>
      </c>
      <c r="U76" s="19">
        <f>Mitigation_Industry!U$520*INDEX(Data_EF!$G:$G,MATCH($G76,Data_EF!$A:$A,0))/1000000</f>
        <v>0</v>
      </c>
      <c r="V76" s="19">
        <f>Mitigation_Industry!V$520*INDEX(Data_EF!$G:$G,MATCH($G76,Data_EF!$A:$A,0))/1000000</f>
        <v>0</v>
      </c>
      <c r="W76" s="19">
        <f>Mitigation_Industry!W$520*INDEX(Data_EF!$G:$G,MATCH($G76,Data_EF!$A:$A,0))/1000000</f>
        <v>0</v>
      </c>
      <c r="X76" s="19">
        <f>Mitigation_Industry!X$520*INDEX(Data_EF!$G:$G,MATCH($G76,Data_EF!$A:$A,0))/1000000</f>
        <v>0</v>
      </c>
      <c r="Y76" s="19">
        <f>Mitigation_Industry!Y$520*INDEX(Data_EF!$G:$G,MATCH($G76,Data_EF!$A:$A,0))/1000000</f>
        <v>0</v>
      </c>
      <c r="Z76" s="19">
        <f>Mitigation_Industry!Z$520*INDEX(Data_EF!$G:$G,MATCH($G76,Data_EF!$A:$A,0))/1000000</f>
        <v>0</v>
      </c>
      <c r="AA76" s="19">
        <f>Mitigation_Industry!AA$520*INDEX(Data_EF!$G:$G,MATCH($G76,Data_EF!$A:$A,0))/1000000</f>
        <v>0</v>
      </c>
      <c r="AB76" s="19">
        <f>Mitigation_Industry!AB$520*INDEX(Data_EF!$G:$G,MATCH($G76,Data_EF!$A:$A,0))/1000000</f>
        <v>0</v>
      </c>
      <c r="AC76" s="19">
        <f>Mitigation_Industry!AC$520*INDEX(Data_EF!$G:$G,MATCH($G76,Data_EF!$A:$A,0))/1000000</f>
        <v>0</v>
      </c>
      <c r="AD76" s="19">
        <f>Mitigation_Industry!AD$520*INDEX(Data_EF!$G:$G,MATCH($G76,Data_EF!$A:$A,0))/1000000</f>
        <v>0</v>
      </c>
      <c r="AE76" s="19">
        <f>Mitigation_Industry!AE$520*INDEX(Data_EF!$G:$G,MATCH($G76,Data_EF!$A:$A,0))/1000000</f>
        <v>0</v>
      </c>
    </row>
    <row r="77" spans="1:35" customFormat="1" ht="14.25" x14ac:dyDescent="0.45">
      <c r="B77" s="14" t="s">
        <v>69</v>
      </c>
      <c r="C77" s="14" t="str">
        <f t="shared" si="10"/>
        <v>cem</v>
      </c>
      <c r="D77" s="15" t="s">
        <v>70</v>
      </c>
      <c r="E77" s="16" t="s">
        <v>2068</v>
      </c>
      <c r="F77" s="14" t="s">
        <v>2069</v>
      </c>
      <c r="G77" s="128" t="str">
        <f>Settings!$B$3&amp;".mit.efc."&amp;$B77</f>
        <v>egy.mit.efc.ren</v>
      </c>
      <c r="H77" s="45" t="str">
        <f>Settings!$B$3&amp;".mit.eco2."&amp;$C$68&amp;"."&amp;$B77&amp;".e."&amp;$J$68</f>
        <v>egy.mit.eco2.cem.ren.e.2</v>
      </c>
      <c r="I77" t="s">
        <v>2124</v>
      </c>
      <c r="L77" s="129">
        <f>Mitigation_Industry!L$521*INDEX(Data_EF!$G:$G,MATCH($G77,Data_EF!$A:$A,0))/1000000</f>
        <v>0</v>
      </c>
      <c r="M77" s="19">
        <f>Mitigation_Industry!M$521*INDEX(Data_EF!$G:$G,MATCH($G77,Data_EF!$A:$A,0))/1000000</f>
        <v>0</v>
      </c>
      <c r="N77" s="19">
        <f>Mitigation_Industry!N$521*INDEX(Data_EF!$G:$G,MATCH($G77,Data_EF!$A:$A,0))/1000000</f>
        <v>0</v>
      </c>
      <c r="O77" s="19">
        <f>Mitigation_Industry!O$521*INDEX(Data_EF!$G:$G,MATCH($G77,Data_EF!$A:$A,0))/1000000</f>
        <v>0</v>
      </c>
      <c r="P77" s="19">
        <f>Mitigation_Industry!P$521*INDEX(Data_EF!$G:$G,MATCH($G77,Data_EF!$A:$A,0))/1000000</f>
        <v>0</v>
      </c>
      <c r="Q77" s="19">
        <f>Mitigation_Industry!Q$521*INDEX(Data_EF!$G:$G,MATCH($G77,Data_EF!$A:$A,0))/1000000</f>
        <v>0</v>
      </c>
      <c r="R77" s="19">
        <f>Mitigation_Industry!R$521*INDEX(Data_EF!$G:$G,MATCH($G77,Data_EF!$A:$A,0))/1000000</f>
        <v>0</v>
      </c>
      <c r="S77" s="19">
        <f>Mitigation_Industry!S$521*INDEX(Data_EF!$G:$G,MATCH($G77,Data_EF!$A:$A,0))/1000000</f>
        <v>0</v>
      </c>
      <c r="T77" s="19">
        <f>Mitigation_Industry!T$521*INDEX(Data_EF!$G:$G,MATCH($G77,Data_EF!$A:$A,0))/1000000</f>
        <v>0</v>
      </c>
      <c r="U77" s="19">
        <f>Mitigation_Industry!U$521*INDEX(Data_EF!$G:$G,MATCH($G77,Data_EF!$A:$A,0))/1000000</f>
        <v>0</v>
      </c>
      <c r="V77" s="19">
        <f>Mitigation_Industry!V$521*INDEX(Data_EF!$G:$G,MATCH($G77,Data_EF!$A:$A,0))/1000000</f>
        <v>0</v>
      </c>
      <c r="W77" s="19">
        <f>Mitigation_Industry!W$521*INDEX(Data_EF!$G:$G,MATCH($G77,Data_EF!$A:$A,0))/1000000</f>
        <v>0</v>
      </c>
      <c r="X77" s="19">
        <f>Mitigation_Industry!X$521*INDEX(Data_EF!$G:$G,MATCH($G77,Data_EF!$A:$A,0))/1000000</f>
        <v>0</v>
      </c>
      <c r="Y77" s="19">
        <f>Mitigation_Industry!Y$521*INDEX(Data_EF!$G:$G,MATCH($G77,Data_EF!$A:$A,0))/1000000</f>
        <v>0</v>
      </c>
      <c r="Z77" s="19">
        <f>Mitigation_Industry!Z$521*INDEX(Data_EF!$G:$G,MATCH($G77,Data_EF!$A:$A,0))/1000000</f>
        <v>0</v>
      </c>
      <c r="AA77" s="19">
        <f>Mitigation_Industry!AA$521*INDEX(Data_EF!$G:$G,MATCH($G77,Data_EF!$A:$A,0))/1000000</f>
        <v>0</v>
      </c>
      <c r="AB77" s="19">
        <f>Mitigation_Industry!AB$521*INDEX(Data_EF!$G:$G,MATCH($G77,Data_EF!$A:$A,0))/1000000</f>
        <v>0</v>
      </c>
      <c r="AC77" s="19">
        <f>Mitigation_Industry!AC$521*INDEX(Data_EF!$G:$G,MATCH($G77,Data_EF!$A:$A,0))/1000000</f>
        <v>0</v>
      </c>
      <c r="AD77" s="19">
        <f>Mitigation_Industry!AD$521*INDEX(Data_EF!$G:$G,MATCH($G77,Data_EF!$A:$A,0))/1000000</f>
        <v>0</v>
      </c>
      <c r="AE77" s="19">
        <f>Mitigation_Industry!AE$521*INDEX(Data_EF!$G:$G,MATCH($G77,Data_EF!$A:$A,0))/1000000</f>
        <v>0</v>
      </c>
    </row>
    <row r="78" spans="1:35" customFormat="1" ht="14.25" x14ac:dyDescent="0.45">
      <c r="B78" s="14" t="s">
        <v>110</v>
      </c>
      <c r="C78" s="14" t="str">
        <f t="shared" si="10"/>
        <v>cem</v>
      </c>
      <c r="D78" s="25" t="s">
        <v>111</v>
      </c>
      <c r="E78" s="16" t="s">
        <v>2068</v>
      </c>
      <c r="F78" s="14" t="s">
        <v>2069</v>
      </c>
      <c r="H78" s="45" t="str">
        <f>Settings!$B$3&amp;".mit.eco2."&amp;$C$68&amp;".tot.e."&amp;$J$68</f>
        <v>egy.mit.eco2.cem.tot.e.2</v>
      </c>
      <c r="L78" s="130">
        <f t="shared" ref="L78:AE78" si="11">SUM(L69:L77)</f>
        <v>9.4893574461323063</v>
      </c>
      <c r="M78" s="130">
        <f t="shared" si="11"/>
        <v>7.892397868173477</v>
      </c>
      <c r="N78" s="130">
        <f t="shared" si="11"/>
        <v>8.974049898041585</v>
      </c>
      <c r="O78" s="130">
        <f t="shared" si="11"/>
        <v>9.6117389440758174</v>
      </c>
      <c r="P78" s="130">
        <f t="shared" si="11"/>
        <v>9.6255920185944621</v>
      </c>
      <c r="Q78" s="130">
        <f t="shared" si="11"/>
        <v>9.0746501749675428</v>
      </c>
      <c r="R78" s="130">
        <f t="shared" si="11"/>
        <v>8.7362574382654046</v>
      </c>
      <c r="S78" s="130">
        <f t="shared" si="11"/>
        <v>8.4490397368747985</v>
      </c>
      <c r="T78" s="130">
        <f t="shared" si="11"/>
        <v>8.1955178569750267</v>
      </c>
      <c r="U78" s="130">
        <f t="shared" si="11"/>
        <v>7.9814424709644749</v>
      </c>
      <c r="V78" s="130">
        <f t="shared" si="11"/>
        <v>7.7902867807190201</v>
      </c>
      <c r="W78" s="130">
        <f t="shared" si="11"/>
        <v>7.6314031195294163</v>
      </c>
      <c r="X78" s="130">
        <f t="shared" si="11"/>
        <v>7.5006570964300785</v>
      </c>
      <c r="Y78" s="130">
        <f t="shared" si="11"/>
        <v>7.3954239718464407</v>
      </c>
      <c r="Z78" s="130">
        <f t="shared" si="11"/>
        <v>7.3147393259951752</v>
      </c>
      <c r="AA78" s="130">
        <f t="shared" si="11"/>
        <v>7.2568985784252265</v>
      </c>
      <c r="AB78" s="130">
        <f t="shared" si="11"/>
        <v>7.2202035238785385</v>
      </c>
      <c r="AC78" s="130">
        <f t="shared" si="11"/>
        <v>7.2022011866219096</v>
      </c>
      <c r="AD78" s="130">
        <f t="shared" si="11"/>
        <v>7.2008394296116975</v>
      </c>
      <c r="AE78" s="130">
        <f t="shared" si="11"/>
        <v>7.2145454034411083</v>
      </c>
    </row>
    <row r="80" spans="1:35" customFormat="1" ht="14.25" x14ac:dyDescent="0.45">
      <c r="A80" s="11"/>
      <c r="B80" s="6" t="s">
        <v>114</v>
      </c>
      <c r="C80" s="7" t="s">
        <v>115</v>
      </c>
      <c r="D80" s="6" t="s">
        <v>44</v>
      </c>
      <c r="E80" s="7" t="s">
        <v>35</v>
      </c>
      <c r="F80" s="7" t="s">
        <v>45</v>
      </c>
      <c r="G80" s="7" t="s">
        <v>2067</v>
      </c>
      <c r="H80" s="12" t="s">
        <v>38</v>
      </c>
      <c r="I80" s="6" t="s">
        <v>47</v>
      </c>
      <c r="J80" s="48">
        <v>2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49</v>
      </c>
      <c r="C81" s="14" t="str">
        <f t="shared" ref="C81:C90" si="12">$C$80</f>
        <v>nfm</v>
      </c>
      <c r="D81" s="15" t="s">
        <v>50</v>
      </c>
      <c r="E81" s="16" t="s">
        <v>2068</v>
      </c>
      <c r="F81" s="14" t="s">
        <v>2069</v>
      </c>
      <c r="G81" s="128" t="str">
        <f>Settings!$B$3&amp;".mit.efc."&amp;$B81</f>
        <v>egy.mit.efc.coa</v>
      </c>
      <c r="H81" s="45" t="str">
        <f>Settings!$B$3&amp;".mit.eco2."&amp;$C$80&amp;"."&amp;$B81&amp;".e."&amp;$J$80</f>
        <v>egy.mit.eco2.nfm.coa.e.2</v>
      </c>
      <c r="I81" t="s">
        <v>2125</v>
      </c>
      <c r="L81" s="129">
        <f>Mitigation_Industry!L$573*INDEX(Data_EF!$G:$G,MATCH($G81,Data_EF!$A:$A,0))/1000000</f>
        <v>0</v>
      </c>
      <c r="M81" s="19">
        <f>Mitigation_Industry!M$573*INDEX(Data_EF!$G:$G,MATCH($G81,Data_EF!$A:$A,0))/1000000</f>
        <v>0</v>
      </c>
      <c r="N81" s="19">
        <f>Mitigation_Industry!N$573*INDEX(Data_EF!$G:$G,MATCH($G81,Data_EF!$A:$A,0))/1000000</f>
        <v>0</v>
      </c>
      <c r="O81" s="19">
        <f>Mitigation_Industry!O$573*INDEX(Data_EF!$G:$G,MATCH($G81,Data_EF!$A:$A,0))/1000000</f>
        <v>0</v>
      </c>
      <c r="P81" s="19">
        <f>Mitigation_Industry!P$573*INDEX(Data_EF!$G:$G,MATCH($G81,Data_EF!$A:$A,0))/1000000</f>
        <v>0</v>
      </c>
      <c r="Q81" s="19">
        <f>Mitigation_Industry!Q$573*INDEX(Data_EF!$G:$G,MATCH($G81,Data_EF!$A:$A,0))/1000000</f>
        <v>0</v>
      </c>
      <c r="R81" s="19">
        <f>Mitigation_Industry!R$573*INDEX(Data_EF!$G:$G,MATCH($G81,Data_EF!$A:$A,0))/1000000</f>
        <v>0</v>
      </c>
      <c r="S81" s="19">
        <f>Mitigation_Industry!S$573*INDEX(Data_EF!$G:$G,MATCH($G81,Data_EF!$A:$A,0))/1000000</f>
        <v>0</v>
      </c>
      <c r="T81" s="19">
        <f>Mitigation_Industry!T$573*INDEX(Data_EF!$G:$G,MATCH($G81,Data_EF!$A:$A,0))/1000000</f>
        <v>0</v>
      </c>
      <c r="U81" s="19">
        <f>Mitigation_Industry!U$573*INDEX(Data_EF!$G:$G,MATCH($G81,Data_EF!$A:$A,0))/1000000</f>
        <v>0</v>
      </c>
      <c r="V81" s="19">
        <f>Mitigation_Industry!V$573*INDEX(Data_EF!$G:$G,MATCH($G81,Data_EF!$A:$A,0))/1000000</f>
        <v>0</v>
      </c>
      <c r="W81" s="19">
        <f>Mitigation_Industry!W$573*INDEX(Data_EF!$G:$G,MATCH($G81,Data_EF!$A:$A,0))/1000000</f>
        <v>0</v>
      </c>
      <c r="X81" s="19">
        <f>Mitigation_Industry!X$573*INDEX(Data_EF!$G:$G,MATCH($G81,Data_EF!$A:$A,0))/1000000</f>
        <v>0</v>
      </c>
      <c r="Y81" s="19">
        <f>Mitigation_Industry!Y$573*INDEX(Data_EF!$G:$G,MATCH($G81,Data_EF!$A:$A,0))/1000000</f>
        <v>0</v>
      </c>
      <c r="Z81" s="19">
        <f>Mitigation_Industry!Z$573*INDEX(Data_EF!$G:$G,MATCH($G81,Data_EF!$A:$A,0))/1000000</f>
        <v>0</v>
      </c>
      <c r="AA81" s="19">
        <f>Mitigation_Industry!AA$573*INDEX(Data_EF!$G:$G,MATCH($G81,Data_EF!$A:$A,0))/1000000</f>
        <v>0</v>
      </c>
      <c r="AB81" s="19">
        <f>Mitigation_Industry!AB$573*INDEX(Data_EF!$G:$G,MATCH($G81,Data_EF!$A:$A,0))/1000000</f>
        <v>0</v>
      </c>
      <c r="AC81" s="19">
        <f>Mitigation_Industry!AC$573*INDEX(Data_EF!$G:$G,MATCH($G81,Data_EF!$A:$A,0))/1000000</f>
        <v>0</v>
      </c>
      <c r="AD81" s="19">
        <f>Mitigation_Industry!AD$573*INDEX(Data_EF!$G:$G,MATCH($G81,Data_EF!$A:$A,0))/1000000</f>
        <v>0</v>
      </c>
      <c r="AE81" s="19">
        <f>Mitigation_Industry!AE$573*INDEX(Data_EF!$G:$G,MATCH($G81,Data_EF!$A:$A,0))/1000000</f>
        <v>0</v>
      </c>
    </row>
    <row r="82" spans="1:35" customFormat="1" ht="14.25" x14ac:dyDescent="0.45">
      <c r="B82" s="14" t="s">
        <v>53</v>
      </c>
      <c r="C82" s="14" t="str">
        <f t="shared" si="12"/>
        <v>nfm</v>
      </c>
      <c r="D82" s="15" t="s">
        <v>54</v>
      </c>
      <c r="E82" s="16" t="s">
        <v>2068</v>
      </c>
      <c r="F82" s="14" t="s">
        <v>2069</v>
      </c>
      <c r="G82" s="128" t="str">
        <f>Settings!$B$3&amp;".mit.efc."&amp;$B82</f>
        <v>egy.mit.efc.nga</v>
      </c>
      <c r="H82" s="45" t="str">
        <f>Settings!$B$3&amp;".mit.eco2."&amp;$C$80&amp;"."&amp;$B82&amp;".e."&amp;$J$80</f>
        <v>egy.mit.eco2.nfm.nga.e.2</v>
      </c>
      <c r="I82" t="s">
        <v>2126</v>
      </c>
      <c r="L82" s="129">
        <f>Mitigation_Industry!L$574*INDEX(Data_EF!$G:$G,MATCH($G82,Data_EF!$A:$A,0))/1000000</f>
        <v>0</v>
      </c>
      <c r="M82" s="19">
        <f>Mitigation_Industry!M$574*INDEX(Data_EF!$G:$G,MATCH($G82,Data_EF!$A:$A,0))/1000000</f>
        <v>0</v>
      </c>
      <c r="N82" s="19">
        <f>Mitigation_Industry!N$574*INDEX(Data_EF!$G:$G,MATCH($G82,Data_EF!$A:$A,0))/1000000</f>
        <v>0</v>
      </c>
      <c r="O82" s="19">
        <f>Mitigation_Industry!O$574*INDEX(Data_EF!$G:$G,MATCH($G82,Data_EF!$A:$A,0))/1000000</f>
        <v>0</v>
      </c>
      <c r="P82" s="19">
        <f>Mitigation_Industry!P$574*INDEX(Data_EF!$G:$G,MATCH($G82,Data_EF!$A:$A,0))/1000000</f>
        <v>0</v>
      </c>
      <c r="Q82" s="19">
        <f>Mitigation_Industry!Q$574*INDEX(Data_EF!$G:$G,MATCH($G82,Data_EF!$A:$A,0))/1000000</f>
        <v>0</v>
      </c>
      <c r="R82" s="19">
        <f>Mitigation_Industry!R$574*INDEX(Data_EF!$G:$G,MATCH($G82,Data_EF!$A:$A,0))/1000000</f>
        <v>0</v>
      </c>
      <c r="S82" s="19">
        <f>Mitigation_Industry!S$574*INDEX(Data_EF!$G:$G,MATCH($G82,Data_EF!$A:$A,0))/1000000</f>
        <v>0</v>
      </c>
      <c r="T82" s="19">
        <f>Mitigation_Industry!T$574*INDEX(Data_EF!$G:$G,MATCH($G82,Data_EF!$A:$A,0))/1000000</f>
        <v>0</v>
      </c>
      <c r="U82" s="19">
        <f>Mitigation_Industry!U$574*INDEX(Data_EF!$G:$G,MATCH($G82,Data_EF!$A:$A,0))/1000000</f>
        <v>0</v>
      </c>
      <c r="V82" s="19">
        <f>Mitigation_Industry!V$574*INDEX(Data_EF!$G:$G,MATCH($G82,Data_EF!$A:$A,0))/1000000</f>
        <v>0</v>
      </c>
      <c r="W82" s="19">
        <f>Mitigation_Industry!W$574*INDEX(Data_EF!$G:$G,MATCH($G82,Data_EF!$A:$A,0))/1000000</f>
        <v>0</v>
      </c>
      <c r="X82" s="19">
        <f>Mitigation_Industry!X$574*INDEX(Data_EF!$G:$G,MATCH($G82,Data_EF!$A:$A,0))/1000000</f>
        <v>0</v>
      </c>
      <c r="Y82" s="19">
        <f>Mitigation_Industry!Y$574*INDEX(Data_EF!$G:$G,MATCH($G82,Data_EF!$A:$A,0))/1000000</f>
        <v>0</v>
      </c>
      <c r="Z82" s="19">
        <f>Mitigation_Industry!Z$574*INDEX(Data_EF!$G:$G,MATCH($G82,Data_EF!$A:$A,0))/1000000</f>
        <v>0</v>
      </c>
      <c r="AA82" s="19">
        <f>Mitigation_Industry!AA$574*INDEX(Data_EF!$G:$G,MATCH($G82,Data_EF!$A:$A,0))/1000000</f>
        <v>0</v>
      </c>
      <c r="AB82" s="19">
        <f>Mitigation_Industry!AB$574*INDEX(Data_EF!$G:$G,MATCH($G82,Data_EF!$A:$A,0))/1000000</f>
        <v>0</v>
      </c>
      <c r="AC82" s="19">
        <f>Mitigation_Industry!AC$574*INDEX(Data_EF!$G:$G,MATCH($G82,Data_EF!$A:$A,0))/1000000</f>
        <v>0</v>
      </c>
      <c r="AD82" s="19">
        <f>Mitigation_Industry!AD$574*INDEX(Data_EF!$G:$G,MATCH($G82,Data_EF!$A:$A,0))/1000000</f>
        <v>0</v>
      </c>
      <c r="AE82" s="19">
        <f>Mitigation_Industry!AE$574*INDEX(Data_EF!$G:$G,MATCH($G82,Data_EF!$A:$A,0))/1000000</f>
        <v>0</v>
      </c>
    </row>
    <row r="83" spans="1:35" customFormat="1" ht="14.25" x14ac:dyDescent="0.45">
      <c r="B83" s="14" t="s">
        <v>55</v>
      </c>
      <c r="C83" s="14" t="str">
        <f t="shared" si="12"/>
        <v>nfm</v>
      </c>
      <c r="D83" s="15" t="s">
        <v>56</v>
      </c>
      <c r="E83" s="16" t="s">
        <v>2068</v>
      </c>
      <c r="F83" s="14" t="s">
        <v>2069</v>
      </c>
      <c r="G83" s="128" t="str">
        <f>Settings!$B$3&amp;".mit.efc."&amp;$B83</f>
        <v>egy.mit.efc.gso</v>
      </c>
      <c r="H83" s="45" t="str">
        <f>Settings!$B$3&amp;".mit.eco2."&amp;$C$80&amp;"."&amp;$B83&amp;".e."&amp;$J$80</f>
        <v>egy.mit.eco2.nfm.gso.e.2</v>
      </c>
      <c r="I83" t="s">
        <v>2127</v>
      </c>
      <c r="L83" s="129">
        <f>Mitigation_Industry!L$575*INDEX(Data_EF!$G:$G,MATCH($G83,Data_EF!$A:$A,0))/1000000</f>
        <v>0</v>
      </c>
      <c r="M83" s="19">
        <f>Mitigation_Industry!M$575*INDEX(Data_EF!$G:$G,MATCH($G83,Data_EF!$A:$A,0))/1000000</f>
        <v>0</v>
      </c>
      <c r="N83" s="19">
        <f>Mitigation_Industry!N$575*INDEX(Data_EF!$G:$G,MATCH($G83,Data_EF!$A:$A,0))/1000000</f>
        <v>0</v>
      </c>
      <c r="O83" s="19">
        <f>Mitigation_Industry!O$575*INDEX(Data_EF!$G:$G,MATCH($G83,Data_EF!$A:$A,0))/1000000</f>
        <v>0</v>
      </c>
      <c r="P83" s="19">
        <f>Mitigation_Industry!P$575*INDEX(Data_EF!$G:$G,MATCH($G83,Data_EF!$A:$A,0))/1000000</f>
        <v>0</v>
      </c>
      <c r="Q83" s="19">
        <f>Mitigation_Industry!Q$575*INDEX(Data_EF!$G:$G,MATCH($G83,Data_EF!$A:$A,0))/1000000</f>
        <v>0</v>
      </c>
      <c r="R83" s="19">
        <f>Mitigation_Industry!R$575*INDEX(Data_EF!$G:$G,MATCH($G83,Data_EF!$A:$A,0))/1000000</f>
        <v>0</v>
      </c>
      <c r="S83" s="19">
        <f>Mitigation_Industry!S$575*INDEX(Data_EF!$G:$G,MATCH($G83,Data_EF!$A:$A,0))/1000000</f>
        <v>0</v>
      </c>
      <c r="T83" s="19">
        <f>Mitigation_Industry!T$575*INDEX(Data_EF!$G:$G,MATCH($G83,Data_EF!$A:$A,0))/1000000</f>
        <v>0</v>
      </c>
      <c r="U83" s="19">
        <f>Mitigation_Industry!U$575*INDEX(Data_EF!$G:$G,MATCH($G83,Data_EF!$A:$A,0))/1000000</f>
        <v>0</v>
      </c>
      <c r="V83" s="19">
        <f>Mitigation_Industry!V$575*INDEX(Data_EF!$G:$G,MATCH($G83,Data_EF!$A:$A,0))/1000000</f>
        <v>0</v>
      </c>
      <c r="W83" s="19">
        <f>Mitigation_Industry!W$575*INDEX(Data_EF!$G:$G,MATCH($G83,Data_EF!$A:$A,0))/1000000</f>
        <v>0</v>
      </c>
      <c r="X83" s="19">
        <f>Mitigation_Industry!X$575*INDEX(Data_EF!$G:$G,MATCH($G83,Data_EF!$A:$A,0))/1000000</f>
        <v>0</v>
      </c>
      <c r="Y83" s="19">
        <f>Mitigation_Industry!Y$575*INDEX(Data_EF!$G:$G,MATCH($G83,Data_EF!$A:$A,0))/1000000</f>
        <v>0</v>
      </c>
      <c r="Z83" s="19">
        <f>Mitigation_Industry!Z$575*INDEX(Data_EF!$G:$G,MATCH($G83,Data_EF!$A:$A,0))/1000000</f>
        <v>0</v>
      </c>
      <c r="AA83" s="19">
        <f>Mitigation_Industry!AA$575*INDEX(Data_EF!$G:$G,MATCH($G83,Data_EF!$A:$A,0))/1000000</f>
        <v>0</v>
      </c>
      <c r="AB83" s="19">
        <f>Mitigation_Industry!AB$575*INDEX(Data_EF!$G:$G,MATCH($G83,Data_EF!$A:$A,0))/1000000</f>
        <v>0</v>
      </c>
      <c r="AC83" s="19">
        <f>Mitigation_Industry!AC$575*INDEX(Data_EF!$G:$G,MATCH($G83,Data_EF!$A:$A,0))/1000000</f>
        <v>0</v>
      </c>
      <c r="AD83" s="19">
        <f>Mitigation_Industry!AD$575*INDEX(Data_EF!$G:$G,MATCH($G83,Data_EF!$A:$A,0))/1000000</f>
        <v>0</v>
      </c>
      <c r="AE83" s="19">
        <f>Mitigation_Industry!AE$575*INDEX(Data_EF!$G:$G,MATCH($G83,Data_EF!$A:$A,0))/1000000</f>
        <v>0</v>
      </c>
    </row>
    <row r="84" spans="1:35" customFormat="1" ht="14.25" x14ac:dyDescent="0.45">
      <c r="B84" s="14" t="s">
        <v>58</v>
      </c>
      <c r="C84" s="14" t="str">
        <f t="shared" si="12"/>
        <v>nfm</v>
      </c>
      <c r="D84" s="15" t="s">
        <v>59</v>
      </c>
      <c r="E84" s="16" t="s">
        <v>2068</v>
      </c>
      <c r="F84" s="14" t="s">
        <v>2069</v>
      </c>
      <c r="G84" s="128" t="str">
        <f>Settings!$B$3&amp;".mit.efc."&amp;$B84</f>
        <v>egy.mit.efc.die</v>
      </c>
      <c r="H84" s="45" t="str">
        <f>Settings!$B$3&amp;".mit.eco2."&amp;$C$80&amp;"."&amp;$B84&amp;".e."&amp;$J$80</f>
        <v>egy.mit.eco2.nfm.die.e.2</v>
      </c>
      <c r="I84" t="s">
        <v>2128</v>
      </c>
      <c r="L84" s="129">
        <f>Mitigation_Industry!L$576*INDEX(Data_EF!$G:$G,MATCH($G84,Data_EF!$A:$A,0))/1000000</f>
        <v>0</v>
      </c>
      <c r="M84" s="19">
        <f>Mitigation_Industry!M$576*INDEX(Data_EF!$G:$G,MATCH($G84,Data_EF!$A:$A,0))/1000000</f>
        <v>0</v>
      </c>
      <c r="N84" s="19">
        <f>Mitigation_Industry!N$576*INDEX(Data_EF!$G:$G,MATCH($G84,Data_EF!$A:$A,0))/1000000</f>
        <v>0</v>
      </c>
      <c r="O84" s="19">
        <f>Mitigation_Industry!O$576*INDEX(Data_EF!$G:$G,MATCH($G84,Data_EF!$A:$A,0))/1000000</f>
        <v>0</v>
      </c>
      <c r="P84" s="19">
        <f>Mitigation_Industry!P$576*INDEX(Data_EF!$G:$G,MATCH($G84,Data_EF!$A:$A,0))/1000000</f>
        <v>0</v>
      </c>
      <c r="Q84" s="19">
        <f>Mitigation_Industry!Q$576*INDEX(Data_EF!$G:$G,MATCH($G84,Data_EF!$A:$A,0))/1000000</f>
        <v>0</v>
      </c>
      <c r="R84" s="19">
        <f>Mitigation_Industry!R$576*INDEX(Data_EF!$G:$G,MATCH($G84,Data_EF!$A:$A,0))/1000000</f>
        <v>0</v>
      </c>
      <c r="S84" s="19">
        <f>Mitigation_Industry!S$576*INDEX(Data_EF!$G:$G,MATCH($G84,Data_EF!$A:$A,0))/1000000</f>
        <v>0</v>
      </c>
      <c r="T84" s="19">
        <f>Mitigation_Industry!T$576*INDEX(Data_EF!$G:$G,MATCH($G84,Data_EF!$A:$A,0))/1000000</f>
        <v>0</v>
      </c>
      <c r="U84" s="19">
        <f>Mitigation_Industry!U$576*INDEX(Data_EF!$G:$G,MATCH($G84,Data_EF!$A:$A,0))/1000000</f>
        <v>0</v>
      </c>
      <c r="V84" s="19">
        <f>Mitigation_Industry!V$576*INDEX(Data_EF!$G:$G,MATCH($G84,Data_EF!$A:$A,0))/1000000</f>
        <v>0</v>
      </c>
      <c r="W84" s="19">
        <f>Mitigation_Industry!W$576*INDEX(Data_EF!$G:$G,MATCH($G84,Data_EF!$A:$A,0))/1000000</f>
        <v>0</v>
      </c>
      <c r="X84" s="19">
        <f>Mitigation_Industry!X$576*INDEX(Data_EF!$G:$G,MATCH($G84,Data_EF!$A:$A,0))/1000000</f>
        <v>0</v>
      </c>
      <c r="Y84" s="19">
        <f>Mitigation_Industry!Y$576*INDEX(Data_EF!$G:$G,MATCH($G84,Data_EF!$A:$A,0))/1000000</f>
        <v>0</v>
      </c>
      <c r="Z84" s="19">
        <f>Mitigation_Industry!Z$576*INDEX(Data_EF!$G:$G,MATCH($G84,Data_EF!$A:$A,0))/1000000</f>
        <v>0</v>
      </c>
      <c r="AA84" s="19">
        <f>Mitigation_Industry!AA$576*INDEX(Data_EF!$G:$G,MATCH($G84,Data_EF!$A:$A,0))/1000000</f>
        <v>0</v>
      </c>
      <c r="AB84" s="19">
        <f>Mitigation_Industry!AB$576*INDEX(Data_EF!$G:$G,MATCH($G84,Data_EF!$A:$A,0))/1000000</f>
        <v>0</v>
      </c>
      <c r="AC84" s="19">
        <f>Mitigation_Industry!AC$576*INDEX(Data_EF!$G:$G,MATCH($G84,Data_EF!$A:$A,0))/1000000</f>
        <v>0</v>
      </c>
      <c r="AD84" s="19">
        <f>Mitigation_Industry!AD$576*INDEX(Data_EF!$G:$G,MATCH($G84,Data_EF!$A:$A,0))/1000000</f>
        <v>0</v>
      </c>
      <c r="AE84" s="19">
        <f>Mitigation_Industry!AE$576*INDEX(Data_EF!$G:$G,MATCH($G84,Data_EF!$A:$A,0))/1000000</f>
        <v>0</v>
      </c>
    </row>
    <row r="85" spans="1:35" customFormat="1" ht="14.25" x14ac:dyDescent="0.45">
      <c r="B85" s="14" t="s">
        <v>60</v>
      </c>
      <c r="C85" s="14" t="str">
        <f t="shared" si="12"/>
        <v>nfm</v>
      </c>
      <c r="D85" s="15" t="s">
        <v>61</v>
      </c>
      <c r="E85" s="16" t="s">
        <v>2068</v>
      </c>
      <c r="F85" s="14" t="s">
        <v>2069</v>
      </c>
      <c r="G85" s="128" t="str">
        <f>Settings!$B$3&amp;".mit.efc."&amp;$B85</f>
        <v>egy.mit.efc.lpg</v>
      </c>
      <c r="H85" s="45" t="str">
        <f>Settings!$B$3&amp;".mit.eco2."&amp;$C$80&amp;"."&amp;$B85&amp;".e."&amp;$J$80</f>
        <v>egy.mit.eco2.nfm.lpg.e.2</v>
      </c>
      <c r="I85" t="s">
        <v>2129</v>
      </c>
      <c r="L85" s="129">
        <f>Mitigation_Industry!L$577*INDEX(Data_EF!$G:$G,MATCH($G85,Data_EF!$A:$A,0))/1000000</f>
        <v>0</v>
      </c>
      <c r="M85" s="19">
        <f>Mitigation_Industry!M$577*INDEX(Data_EF!$G:$G,MATCH($G85,Data_EF!$A:$A,0))/1000000</f>
        <v>0</v>
      </c>
      <c r="N85" s="19">
        <f>Mitigation_Industry!N$577*INDEX(Data_EF!$G:$G,MATCH($G85,Data_EF!$A:$A,0))/1000000</f>
        <v>0</v>
      </c>
      <c r="O85" s="19">
        <f>Mitigation_Industry!O$577*INDEX(Data_EF!$G:$G,MATCH($G85,Data_EF!$A:$A,0))/1000000</f>
        <v>0</v>
      </c>
      <c r="P85" s="19">
        <f>Mitigation_Industry!P$577*INDEX(Data_EF!$G:$G,MATCH($G85,Data_EF!$A:$A,0))/1000000</f>
        <v>0</v>
      </c>
      <c r="Q85" s="19">
        <f>Mitigation_Industry!Q$577*INDEX(Data_EF!$G:$G,MATCH($G85,Data_EF!$A:$A,0))/1000000</f>
        <v>0</v>
      </c>
      <c r="R85" s="19">
        <f>Mitigation_Industry!R$577*INDEX(Data_EF!$G:$G,MATCH($G85,Data_EF!$A:$A,0))/1000000</f>
        <v>0</v>
      </c>
      <c r="S85" s="19">
        <f>Mitigation_Industry!S$577*INDEX(Data_EF!$G:$G,MATCH($G85,Data_EF!$A:$A,0))/1000000</f>
        <v>0</v>
      </c>
      <c r="T85" s="19">
        <f>Mitigation_Industry!T$577*INDEX(Data_EF!$G:$G,MATCH($G85,Data_EF!$A:$A,0))/1000000</f>
        <v>0</v>
      </c>
      <c r="U85" s="19">
        <f>Mitigation_Industry!U$577*INDEX(Data_EF!$G:$G,MATCH($G85,Data_EF!$A:$A,0))/1000000</f>
        <v>0</v>
      </c>
      <c r="V85" s="19">
        <f>Mitigation_Industry!V$577*INDEX(Data_EF!$G:$G,MATCH($G85,Data_EF!$A:$A,0))/1000000</f>
        <v>0</v>
      </c>
      <c r="W85" s="19">
        <f>Mitigation_Industry!W$577*INDEX(Data_EF!$G:$G,MATCH($G85,Data_EF!$A:$A,0))/1000000</f>
        <v>0</v>
      </c>
      <c r="X85" s="19">
        <f>Mitigation_Industry!X$577*INDEX(Data_EF!$G:$G,MATCH($G85,Data_EF!$A:$A,0))/1000000</f>
        <v>0</v>
      </c>
      <c r="Y85" s="19">
        <f>Mitigation_Industry!Y$577*INDEX(Data_EF!$G:$G,MATCH($G85,Data_EF!$A:$A,0))/1000000</f>
        <v>0</v>
      </c>
      <c r="Z85" s="19">
        <f>Mitigation_Industry!Z$577*INDEX(Data_EF!$G:$G,MATCH($G85,Data_EF!$A:$A,0))/1000000</f>
        <v>0</v>
      </c>
      <c r="AA85" s="19">
        <f>Mitigation_Industry!AA$577*INDEX(Data_EF!$G:$G,MATCH($G85,Data_EF!$A:$A,0))/1000000</f>
        <v>0</v>
      </c>
      <c r="AB85" s="19">
        <f>Mitigation_Industry!AB$577*INDEX(Data_EF!$G:$G,MATCH($G85,Data_EF!$A:$A,0))/1000000</f>
        <v>0</v>
      </c>
      <c r="AC85" s="19">
        <f>Mitigation_Industry!AC$577*INDEX(Data_EF!$G:$G,MATCH($G85,Data_EF!$A:$A,0))/1000000</f>
        <v>0</v>
      </c>
      <c r="AD85" s="19">
        <f>Mitigation_Industry!AD$577*INDEX(Data_EF!$G:$G,MATCH($G85,Data_EF!$A:$A,0))/1000000</f>
        <v>0</v>
      </c>
      <c r="AE85" s="19">
        <f>Mitigation_Industry!AE$577*INDEX(Data_EF!$G:$G,MATCH($G85,Data_EF!$A:$A,0))/1000000</f>
        <v>0</v>
      </c>
    </row>
    <row r="86" spans="1:35" customFormat="1" ht="14.25" x14ac:dyDescent="0.45">
      <c r="B86" s="14" t="s">
        <v>62</v>
      </c>
      <c r="C86" s="14" t="str">
        <f t="shared" si="12"/>
        <v>nfm</v>
      </c>
      <c r="D86" s="15" t="s">
        <v>63</v>
      </c>
      <c r="E86" s="16" t="s">
        <v>2068</v>
      </c>
      <c r="F86" s="14" t="s">
        <v>2069</v>
      </c>
      <c r="G86" s="128" t="str">
        <f>Settings!$B$3&amp;".mit.efc."&amp;$B86</f>
        <v>egy.mit.efc.ker</v>
      </c>
      <c r="H86" s="45" t="str">
        <f>Settings!$B$3&amp;".mit.eco2."&amp;$C$80&amp;"."&amp;$B86&amp;".e."&amp;$J$80</f>
        <v>egy.mit.eco2.nfm.ker.e.2</v>
      </c>
      <c r="I86" t="s">
        <v>2130</v>
      </c>
      <c r="L86" s="129">
        <f>Mitigation_Industry!L$578*INDEX(Data_EF!$G:$G,MATCH($G86,Data_EF!$A:$A,0))/1000000</f>
        <v>0</v>
      </c>
      <c r="M86" s="19">
        <f>Mitigation_Industry!M$578*INDEX(Data_EF!$G:$G,MATCH($G86,Data_EF!$A:$A,0))/1000000</f>
        <v>0</v>
      </c>
      <c r="N86" s="19">
        <f>Mitigation_Industry!N$578*INDEX(Data_EF!$G:$G,MATCH($G86,Data_EF!$A:$A,0))/1000000</f>
        <v>0</v>
      </c>
      <c r="O86" s="19">
        <f>Mitigation_Industry!O$578*INDEX(Data_EF!$G:$G,MATCH($G86,Data_EF!$A:$A,0))/1000000</f>
        <v>0</v>
      </c>
      <c r="P86" s="19">
        <f>Mitigation_Industry!P$578*INDEX(Data_EF!$G:$G,MATCH($G86,Data_EF!$A:$A,0))/1000000</f>
        <v>0</v>
      </c>
      <c r="Q86" s="19">
        <f>Mitigation_Industry!Q$578*INDEX(Data_EF!$G:$G,MATCH($G86,Data_EF!$A:$A,0))/1000000</f>
        <v>0</v>
      </c>
      <c r="R86" s="19">
        <f>Mitigation_Industry!R$578*INDEX(Data_EF!$G:$G,MATCH($G86,Data_EF!$A:$A,0))/1000000</f>
        <v>0</v>
      </c>
      <c r="S86" s="19">
        <f>Mitigation_Industry!S$578*INDEX(Data_EF!$G:$G,MATCH($G86,Data_EF!$A:$A,0))/1000000</f>
        <v>0</v>
      </c>
      <c r="T86" s="19">
        <f>Mitigation_Industry!T$578*INDEX(Data_EF!$G:$G,MATCH($G86,Data_EF!$A:$A,0))/1000000</f>
        <v>0</v>
      </c>
      <c r="U86" s="19">
        <f>Mitigation_Industry!U$578*INDEX(Data_EF!$G:$G,MATCH($G86,Data_EF!$A:$A,0))/1000000</f>
        <v>0</v>
      </c>
      <c r="V86" s="19">
        <f>Mitigation_Industry!V$578*INDEX(Data_EF!$G:$G,MATCH($G86,Data_EF!$A:$A,0))/1000000</f>
        <v>0</v>
      </c>
      <c r="W86" s="19">
        <f>Mitigation_Industry!W$578*INDEX(Data_EF!$G:$G,MATCH($G86,Data_EF!$A:$A,0))/1000000</f>
        <v>0</v>
      </c>
      <c r="X86" s="19">
        <f>Mitigation_Industry!X$578*INDEX(Data_EF!$G:$G,MATCH($G86,Data_EF!$A:$A,0))/1000000</f>
        <v>0</v>
      </c>
      <c r="Y86" s="19">
        <f>Mitigation_Industry!Y$578*INDEX(Data_EF!$G:$G,MATCH($G86,Data_EF!$A:$A,0))/1000000</f>
        <v>0</v>
      </c>
      <c r="Z86" s="19">
        <f>Mitigation_Industry!Z$578*INDEX(Data_EF!$G:$G,MATCH($G86,Data_EF!$A:$A,0))/1000000</f>
        <v>0</v>
      </c>
      <c r="AA86" s="19">
        <f>Mitigation_Industry!AA$578*INDEX(Data_EF!$G:$G,MATCH($G86,Data_EF!$A:$A,0))/1000000</f>
        <v>0</v>
      </c>
      <c r="AB86" s="19">
        <f>Mitigation_Industry!AB$578*INDEX(Data_EF!$G:$G,MATCH($G86,Data_EF!$A:$A,0))/1000000</f>
        <v>0</v>
      </c>
      <c r="AC86" s="19">
        <f>Mitigation_Industry!AC$578*INDEX(Data_EF!$G:$G,MATCH($G86,Data_EF!$A:$A,0))/1000000</f>
        <v>0</v>
      </c>
      <c r="AD86" s="19">
        <f>Mitigation_Industry!AD$578*INDEX(Data_EF!$G:$G,MATCH($G86,Data_EF!$A:$A,0))/1000000</f>
        <v>0</v>
      </c>
      <c r="AE86" s="19">
        <f>Mitigation_Industry!AE$578*INDEX(Data_EF!$G:$G,MATCH($G86,Data_EF!$A:$A,0))/1000000</f>
        <v>0</v>
      </c>
    </row>
    <row r="87" spans="1:35" customFormat="1" ht="14.25" x14ac:dyDescent="0.45">
      <c r="B87" s="14" t="s">
        <v>64</v>
      </c>
      <c r="C87" s="14" t="str">
        <f t="shared" si="12"/>
        <v>nfm</v>
      </c>
      <c r="D87" s="15" t="s">
        <v>65</v>
      </c>
      <c r="E87" s="16" t="s">
        <v>2068</v>
      </c>
      <c r="F87" s="14" t="s">
        <v>2069</v>
      </c>
      <c r="G87" s="128" t="str">
        <f>Settings!$B$3&amp;".mit.efc."&amp;$B87</f>
        <v>egy.mit.efc.oop</v>
      </c>
      <c r="H87" s="45" t="str">
        <f>Settings!$B$3&amp;".mit.eco2."&amp;$C$80&amp;"."&amp;$B87&amp;".e."&amp;$J$80</f>
        <v>egy.mit.eco2.nfm.oop.e.2</v>
      </c>
      <c r="I87" t="s">
        <v>2131</v>
      </c>
      <c r="L87" s="129">
        <f>Mitigation_Industry!L$579*INDEX(Data_EF!$G:$G,MATCH($G87,Data_EF!$A:$A,0))/1000000</f>
        <v>0</v>
      </c>
      <c r="M87" s="19">
        <f>Mitigation_Industry!M$579*INDEX(Data_EF!$G:$G,MATCH($G87,Data_EF!$A:$A,0))/1000000</f>
        <v>0</v>
      </c>
      <c r="N87" s="19">
        <f>Mitigation_Industry!N$579*INDEX(Data_EF!$G:$G,MATCH($G87,Data_EF!$A:$A,0))/1000000</f>
        <v>0</v>
      </c>
      <c r="O87" s="19">
        <f>Mitigation_Industry!O$579*INDEX(Data_EF!$G:$G,MATCH($G87,Data_EF!$A:$A,0))/1000000</f>
        <v>0</v>
      </c>
      <c r="P87" s="19">
        <f>Mitigation_Industry!P$579*INDEX(Data_EF!$G:$G,MATCH($G87,Data_EF!$A:$A,0))/1000000</f>
        <v>0</v>
      </c>
      <c r="Q87" s="19">
        <f>Mitigation_Industry!Q$579*INDEX(Data_EF!$G:$G,MATCH($G87,Data_EF!$A:$A,0))/1000000</f>
        <v>0</v>
      </c>
      <c r="R87" s="19">
        <f>Mitigation_Industry!R$579*INDEX(Data_EF!$G:$G,MATCH($G87,Data_EF!$A:$A,0))/1000000</f>
        <v>0</v>
      </c>
      <c r="S87" s="19">
        <f>Mitigation_Industry!S$579*INDEX(Data_EF!$G:$G,MATCH($G87,Data_EF!$A:$A,0))/1000000</f>
        <v>0</v>
      </c>
      <c r="T87" s="19">
        <f>Mitigation_Industry!T$579*INDEX(Data_EF!$G:$G,MATCH($G87,Data_EF!$A:$A,0))/1000000</f>
        <v>0</v>
      </c>
      <c r="U87" s="19">
        <f>Mitigation_Industry!U$579*INDEX(Data_EF!$G:$G,MATCH($G87,Data_EF!$A:$A,0))/1000000</f>
        <v>0</v>
      </c>
      <c r="V87" s="19">
        <f>Mitigation_Industry!V$579*INDEX(Data_EF!$G:$G,MATCH($G87,Data_EF!$A:$A,0))/1000000</f>
        <v>0</v>
      </c>
      <c r="W87" s="19">
        <f>Mitigation_Industry!W$579*INDEX(Data_EF!$G:$G,MATCH($G87,Data_EF!$A:$A,0))/1000000</f>
        <v>0</v>
      </c>
      <c r="X87" s="19">
        <f>Mitigation_Industry!X$579*INDEX(Data_EF!$G:$G,MATCH($G87,Data_EF!$A:$A,0))/1000000</f>
        <v>0</v>
      </c>
      <c r="Y87" s="19">
        <f>Mitigation_Industry!Y$579*INDEX(Data_EF!$G:$G,MATCH($G87,Data_EF!$A:$A,0))/1000000</f>
        <v>0</v>
      </c>
      <c r="Z87" s="19">
        <f>Mitigation_Industry!Z$579*INDEX(Data_EF!$G:$G,MATCH($G87,Data_EF!$A:$A,0))/1000000</f>
        <v>0</v>
      </c>
      <c r="AA87" s="19">
        <f>Mitigation_Industry!AA$579*INDEX(Data_EF!$G:$G,MATCH($G87,Data_EF!$A:$A,0))/1000000</f>
        <v>0</v>
      </c>
      <c r="AB87" s="19">
        <f>Mitigation_Industry!AB$579*INDEX(Data_EF!$G:$G,MATCH($G87,Data_EF!$A:$A,0))/1000000</f>
        <v>0</v>
      </c>
      <c r="AC87" s="19">
        <f>Mitigation_Industry!AC$579*INDEX(Data_EF!$G:$G,MATCH($G87,Data_EF!$A:$A,0))/1000000</f>
        <v>0</v>
      </c>
      <c r="AD87" s="19">
        <f>Mitigation_Industry!AD$579*INDEX(Data_EF!$G:$G,MATCH($G87,Data_EF!$A:$A,0))/1000000</f>
        <v>0</v>
      </c>
      <c r="AE87" s="19">
        <f>Mitigation_Industry!AE$579*INDEX(Data_EF!$G:$G,MATCH($G87,Data_EF!$A:$A,0))/1000000</f>
        <v>0</v>
      </c>
    </row>
    <row r="88" spans="1:35" customFormat="1" ht="14.25" x14ac:dyDescent="0.45">
      <c r="B88" s="14" t="s">
        <v>67</v>
      </c>
      <c r="C88" s="14" t="str">
        <f t="shared" si="12"/>
        <v>nfm</v>
      </c>
      <c r="D88" s="15" t="s">
        <v>68</v>
      </c>
      <c r="E88" s="16" t="s">
        <v>2068</v>
      </c>
      <c r="F88" s="14" t="s">
        <v>2069</v>
      </c>
      <c r="G88" s="128" t="str">
        <f>Settings!$B$3&amp;".mit.efc."&amp;$B88</f>
        <v>egy.mit.efc.bio</v>
      </c>
      <c r="H88" s="45" t="str">
        <f>Settings!$B$3&amp;".mit.eco2."&amp;$C$80&amp;"."&amp;$B88&amp;".e."&amp;$J$80</f>
        <v>egy.mit.eco2.nfm.bio.e.2</v>
      </c>
      <c r="I88" t="s">
        <v>2132</v>
      </c>
      <c r="L88" s="129">
        <f>Mitigation_Industry!L$580*INDEX(Data_EF!$G:$G,MATCH($G88,Data_EF!$A:$A,0))/1000000</f>
        <v>0</v>
      </c>
      <c r="M88" s="19">
        <f>Mitigation_Industry!M$580*INDEX(Data_EF!$G:$G,MATCH($G88,Data_EF!$A:$A,0))/1000000</f>
        <v>0</v>
      </c>
      <c r="N88" s="19">
        <f>Mitigation_Industry!N$580*INDEX(Data_EF!$G:$G,MATCH($G88,Data_EF!$A:$A,0))/1000000</f>
        <v>0</v>
      </c>
      <c r="O88" s="19">
        <f>Mitigation_Industry!O$580*INDEX(Data_EF!$G:$G,MATCH($G88,Data_EF!$A:$A,0))/1000000</f>
        <v>0</v>
      </c>
      <c r="P88" s="19">
        <f>Mitigation_Industry!P$580*INDEX(Data_EF!$G:$G,MATCH($G88,Data_EF!$A:$A,0))/1000000</f>
        <v>0</v>
      </c>
      <c r="Q88" s="19">
        <f>Mitigation_Industry!Q$580*INDEX(Data_EF!$G:$G,MATCH($G88,Data_EF!$A:$A,0))/1000000</f>
        <v>0</v>
      </c>
      <c r="R88" s="19">
        <f>Mitigation_Industry!R$580*INDEX(Data_EF!$G:$G,MATCH($G88,Data_EF!$A:$A,0))/1000000</f>
        <v>0</v>
      </c>
      <c r="S88" s="19">
        <f>Mitigation_Industry!S$580*INDEX(Data_EF!$G:$G,MATCH($G88,Data_EF!$A:$A,0))/1000000</f>
        <v>0</v>
      </c>
      <c r="T88" s="19">
        <f>Mitigation_Industry!T$580*INDEX(Data_EF!$G:$G,MATCH($G88,Data_EF!$A:$A,0))/1000000</f>
        <v>0</v>
      </c>
      <c r="U88" s="19">
        <f>Mitigation_Industry!U$580*INDEX(Data_EF!$G:$G,MATCH($G88,Data_EF!$A:$A,0))/1000000</f>
        <v>0</v>
      </c>
      <c r="V88" s="19">
        <f>Mitigation_Industry!V$580*INDEX(Data_EF!$G:$G,MATCH($G88,Data_EF!$A:$A,0))/1000000</f>
        <v>0</v>
      </c>
      <c r="W88" s="19">
        <f>Mitigation_Industry!W$580*INDEX(Data_EF!$G:$G,MATCH($G88,Data_EF!$A:$A,0))/1000000</f>
        <v>0</v>
      </c>
      <c r="X88" s="19">
        <f>Mitigation_Industry!X$580*INDEX(Data_EF!$G:$G,MATCH($G88,Data_EF!$A:$A,0))/1000000</f>
        <v>0</v>
      </c>
      <c r="Y88" s="19">
        <f>Mitigation_Industry!Y$580*INDEX(Data_EF!$G:$G,MATCH($G88,Data_EF!$A:$A,0))/1000000</f>
        <v>0</v>
      </c>
      <c r="Z88" s="19">
        <f>Mitigation_Industry!Z$580*INDEX(Data_EF!$G:$G,MATCH($G88,Data_EF!$A:$A,0))/1000000</f>
        <v>0</v>
      </c>
      <c r="AA88" s="19">
        <f>Mitigation_Industry!AA$580*INDEX(Data_EF!$G:$G,MATCH($G88,Data_EF!$A:$A,0))/1000000</f>
        <v>0</v>
      </c>
      <c r="AB88" s="19">
        <f>Mitigation_Industry!AB$580*INDEX(Data_EF!$G:$G,MATCH($G88,Data_EF!$A:$A,0))/1000000</f>
        <v>0</v>
      </c>
      <c r="AC88" s="19">
        <f>Mitigation_Industry!AC$580*INDEX(Data_EF!$G:$G,MATCH($G88,Data_EF!$A:$A,0))/1000000</f>
        <v>0</v>
      </c>
      <c r="AD88" s="19">
        <f>Mitigation_Industry!AD$580*INDEX(Data_EF!$G:$G,MATCH($G88,Data_EF!$A:$A,0))/1000000</f>
        <v>0</v>
      </c>
      <c r="AE88" s="19">
        <f>Mitigation_Industry!AE$580*INDEX(Data_EF!$G:$G,MATCH($G88,Data_EF!$A:$A,0))/1000000</f>
        <v>0</v>
      </c>
    </row>
    <row r="89" spans="1:35" customFormat="1" ht="14.25" x14ac:dyDescent="0.45">
      <c r="B89" s="14" t="s">
        <v>69</v>
      </c>
      <c r="C89" s="14" t="str">
        <f t="shared" si="12"/>
        <v>nfm</v>
      </c>
      <c r="D89" s="15" t="s">
        <v>70</v>
      </c>
      <c r="E89" s="16" t="s">
        <v>2068</v>
      </c>
      <c r="F89" s="14" t="s">
        <v>2069</v>
      </c>
      <c r="G89" s="128" t="str">
        <f>Settings!$B$3&amp;".mit.efc."&amp;$B89</f>
        <v>egy.mit.efc.ren</v>
      </c>
      <c r="H89" s="45" t="str">
        <f>Settings!$B$3&amp;".mit.eco2."&amp;$C$80&amp;"."&amp;$B89&amp;".e."&amp;$J$80</f>
        <v>egy.mit.eco2.nfm.ren.e.2</v>
      </c>
      <c r="I89" t="s">
        <v>2133</v>
      </c>
      <c r="L89" s="129">
        <f>Mitigation_Industry!L$581*INDEX(Data_EF!$G:$G,MATCH($G89,Data_EF!$A:$A,0))/1000000</f>
        <v>0</v>
      </c>
      <c r="M89" s="19">
        <f>Mitigation_Industry!M$581*INDEX(Data_EF!$G:$G,MATCH($G89,Data_EF!$A:$A,0))/1000000</f>
        <v>0</v>
      </c>
      <c r="N89" s="19">
        <f>Mitigation_Industry!N$581*INDEX(Data_EF!$G:$G,MATCH($G89,Data_EF!$A:$A,0))/1000000</f>
        <v>0</v>
      </c>
      <c r="O89" s="19">
        <f>Mitigation_Industry!O$581*INDEX(Data_EF!$G:$G,MATCH($G89,Data_EF!$A:$A,0))/1000000</f>
        <v>0</v>
      </c>
      <c r="P89" s="19">
        <f>Mitigation_Industry!P$581*INDEX(Data_EF!$G:$G,MATCH($G89,Data_EF!$A:$A,0))/1000000</f>
        <v>0</v>
      </c>
      <c r="Q89" s="19">
        <f>Mitigation_Industry!Q$581*INDEX(Data_EF!$G:$G,MATCH($G89,Data_EF!$A:$A,0))/1000000</f>
        <v>0</v>
      </c>
      <c r="R89" s="19">
        <f>Mitigation_Industry!R$581*INDEX(Data_EF!$G:$G,MATCH($G89,Data_EF!$A:$A,0))/1000000</f>
        <v>0</v>
      </c>
      <c r="S89" s="19">
        <f>Mitigation_Industry!S$581*INDEX(Data_EF!$G:$G,MATCH($G89,Data_EF!$A:$A,0))/1000000</f>
        <v>0</v>
      </c>
      <c r="T89" s="19">
        <f>Mitigation_Industry!T$581*INDEX(Data_EF!$G:$G,MATCH($G89,Data_EF!$A:$A,0))/1000000</f>
        <v>0</v>
      </c>
      <c r="U89" s="19">
        <f>Mitigation_Industry!U$581*INDEX(Data_EF!$G:$G,MATCH($G89,Data_EF!$A:$A,0))/1000000</f>
        <v>0</v>
      </c>
      <c r="V89" s="19">
        <f>Mitigation_Industry!V$581*INDEX(Data_EF!$G:$G,MATCH($G89,Data_EF!$A:$A,0))/1000000</f>
        <v>0</v>
      </c>
      <c r="W89" s="19">
        <f>Mitigation_Industry!W$581*INDEX(Data_EF!$G:$G,MATCH($G89,Data_EF!$A:$A,0))/1000000</f>
        <v>0</v>
      </c>
      <c r="X89" s="19">
        <f>Mitigation_Industry!X$581*INDEX(Data_EF!$G:$G,MATCH($G89,Data_EF!$A:$A,0))/1000000</f>
        <v>0</v>
      </c>
      <c r="Y89" s="19">
        <f>Mitigation_Industry!Y$581*INDEX(Data_EF!$G:$G,MATCH($G89,Data_EF!$A:$A,0))/1000000</f>
        <v>0</v>
      </c>
      <c r="Z89" s="19">
        <f>Mitigation_Industry!Z$581*INDEX(Data_EF!$G:$G,MATCH($G89,Data_EF!$A:$A,0))/1000000</f>
        <v>0</v>
      </c>
      <c r="AA89" s="19">
        <f>Mitigation_Industry!AA$581*INDEX(Data_EF!$G:$G,MATCH($G89,Data_EF!$A:$A,0))/1000000</f>
        <v>0</v>
      </c>
      <c r="AB89" s="19">
        <f>Mitigation_Industry!AB$581*INDEX(Data_EF!$G:$G,MATCH($G89,Data_EF!$A:$A,0))/1000000</f>
        <v>0</v>
      </c>
      <c r="AC89" s="19">
        <f>Mitigation_Industry!AC$581*INDEX(Data_EF!$G:$G,MATCH($G89,Data_EF!$A:$A,0))/1000000</f>
        <v>0</v>
      </c>
      <c r="AD89" s="19">
        <f>Mitigation_Industry!AD$581*INDEX(Data_EF!$G:$G,MATCH($G89,Data_EF!$A:$A,0))/1000000</f>
        <v>0</v>
      </c>
      <c r="AE89" s="19">
        <f>Mitigation_Industry!AE$581*INDEX(Data_EF!$G:$G,MATCH($G89,Data_EF!$A:$A,0))/1000000</f>
        <v>0</v>
      </c>
    </row>
    <row r="90" spans="1:35" customFormat="1" ht="14.25" x14ac:dyDescent="0.45">
      <c r="B90" s="14" t="s">
        <v>110</v>
      </c>
      <c r="C90" s="14" t="str">
        <f t="shared" si="12"/>
        <v>nfm</v>
      </c>
      <c r="D90" s="25" t="s">
        <v>111</v>
      </c>
      <c r="E90" s="16" t="s">
        <v>2068</v>
      </c>
      <c r="F90" s="14" t="s">
        <v>2069</v>
      </c>
      <c r="H90" s="45" t="str">
        <f>Settings!$B$3&amp;".mit.eco2."&amp;$C$80&amp;".tot.e."&amp;$J$80</f>
        <v>egy.mit.eco2.nfm.tot.e.2</v>
      </c>
      <c r="L90" s="130">
        <f t="shared" ref="L90:AE90" si="13">SUM(L81:L89)</f>
        <v>0</v>
      </c>
      <c r="M90" s="130">
        <f t="shared" si="13"/>
        <v>0</v>
      </c>
      <c r="N90" s="130">
        <f t="shared" si="13"/>
        <v>0</v>
      </c>
      <c r="O90" s="130">
        <f t="shared" si="13"/>
        <v>0</v>
      </c>
      <c r="P90" s="130">
        <f t="shared" si="13"/>
        <v>0</v>
      </c>
      <c r="Q90" s="130">
        <f t="shared" si="13"/>
        <v>0</v>
      </c>
      <c r="R90" s="130">
        <f t="shared" si="13"/>
        <v>0</v>
      </c>
      <c r="S90" s="130">
        <f t="shared" si="13"/>
        <v>0</v>
      </c>
      <c r="T90" s="130">
        <f t="shared" si="13"/>
        <v>0</v>
      </c>
      <c r="U90" s="130">
        <f t="shared" si="13"/>
        <v>0</v>
      </c>
      <c r="V90" s="130">
        <f t="shared" si="13"/>
        <v>0</v>
      </c>
      <c r="W90" s="130">
        <f t="shared" si="13"/>
        <v>0</v>
      </c>
      <c r="X90" s="130">
        <f t="shared" si="13"/>
        <v>0</v>
      </c>
      <c r="Y90" s="130">
        <f t="shared" si="13"/>
        <v>0</v>
      </c>
      <c r="Z90" s="130">
        <f t="shared" si="13"/>
        <v>0</v>
      </c>
      <c r="AA90" s="130">
        <f t="shared" si="13"/>
        <v>0</v>
      </c>
      <c r="AB90" s="130">
        <f t="shared" si="13"/>
        <v>0</v>
      </c>
      <c r="AC90" s="130">
        <f t="shared" si="13"/>
        <v>0</v>
      </c>
      <c r="AD90" s="130">
        <f t="shared" si="13"/>
        <v>0</v>
      </c>
      <c r="AE90" s="130">
        <f t="shared" si="13"/>
        <v>0</v>
      </c>
    </row>
    <row r="92" spans="1:35" customFormat="1" ht="14.25" x14ac:dyDescent="0.45">
      <c r="A92" s="11"/>
      <c r="B92" s="6" t="s">
        <v>116</v>
      </c>
      <c r="C92" s="7" t="s">
        <v>117</v>
      </c>
      <c r="D92" s="6" t="s">
        <v>44</v>
      </c>
      <c r="E92" s="7" t="s">
        <v>35</v>
      </c>
      <c r="F92" s="7" t="s">
        <v>45</v>
      </c>
      <c r="G92" s="7" t="s">
        <v>2067</v>
      </c>
      <c r="H92" s="12" t="s">
        <v>38</v>
      </c>
      <c r="I92" s="6" t="s">
        <v>47</v>
      </c>
      <c r="J92" s="48">
        <v>2</v>
      </c>
      <c r="K92" s="6">
        <v>2021</v>
      </c>
      <c r="L92" s="46">
        <v>2022</v>
      </c>
      <c r="M92" s="6">
        <v>2023</v>
      </c>
      <c r="N92" s="6">
        <v>2024</v>
      </c>
      <c r="O92" s="6">
        <v>2025</v>
      </c>
      <c r="P92" s="6">
        <v>2026</v>
      </c>
      <c r="Q92" s="6">
        <v>2027</v>
      </c>
      <c r="R92" s="6">
        <v>2028</v>
      </c>
      <c r="S92" s="6">
        <v>2029</v>
      </c>
      <c r="T92" s="6">
        <v>2030</v>
      </c>
      <c r="U92" s="6">
        <v>2031</v>
      </c>
      <c r="V92" s="6">
        <v>2032</v>
      </c>
      <c r="W92" s="6">
        <v>2033</v>
      </c>
      <c r="X92" s="6">
        <v>2034</v>
      </c>
      <c r="Y92" s="6">
        <v>2035</v>
      </c>
      <c r="Z92" s="6">
        <v>2036</v>
      </c>
      <c r="AA92" s="6">
        <v>2037</v>
      </c>
      <c r="AB92" s="6">
        <v>2038</v>
      </c>
      <c r="AC92" s="6">
        <v>2039</v>
      </c>
      <c r="AD92" s="6">
        <v>2040</v>
      </c>
      <c r="AE92" s="6">
        <v>2041</v>
      </c>
      <c r="AF92" s="6">
        <v>2042</v>
      </c>
      <c r="AG92" s="6">
        <v>2043</v>
      </c>
      <c r="AH92" s="6">
        <v>2044</v>
      </c>
      <c r="AI92" s="6">
        <v>2045</v>
      </c>
    </row>
    <row r="93" spans="1:35" customFormat="1" ht="14.25" x14ac:dyDescent="0.45">
      <c r="B93" s="14" t="s">
        <v>49</v>
      </c>
      <c r="C93" s="14" t="str">
        <f t="shared" ref="C93:C102" si="14">$C$92</f>
        <v>mch</v>
      </c>
      <c r="D93" s="15" t="s">
        <v>50</v>
      </c>
      <c r="E93" s="16" t="s">
        <v>2068</v>
      </c>
      <c r="F93" s="14" t="s">
        <v>2069</v>
      </c>
      <c r="G93" s="128" t="str">
        <f>Settings!$B$3&amp;".mit.efc."&amp;$B93</f>
        <v>egy.mit.efc.coa</v>
      </c>
      <c r="H93" s="45" t="str">
        <f>Settings!$B$3&amp;".mit.eco2."&amp;$C$92&amp;"."&amp;$B93&amp;".e."&amp;$J$92</f>
        <v>egy.mit.eco2.mch.coa.e.2</v>
      </c>
      <c r="I93" t="s">
        <v>2134</v>
      </c>
      <c r="L93" s="129">
        <f>Mitigation_Industry!L$633*INDEX(Data_EF!$G:$G,MATCH($G93,Data_EF!$A:$A,0))/1000000</f>
        <v>0</v>
      </c>
      <c r="M93" s="19">
        <f>Mitigation_Industry!M$633*INDEX(Data_EF!$G:$G,MATCH($G93,Data_EF!$A:$A,0))/1000000</f>
        <v>0</v>
      </c>
      <c r="N93" s="19">
        <f>Mitigation_Industry!N$633*INDEX(Data_EF!$G:$G,MATCH($G93,Data_EF!$A:$A,0))/1000000</f>
        <v>0</v>
      </c>
      <c r="O93" s="19">
        <f>Mitigation_Industry!O$633*INDEX(Data_EF!$G:$G,MATCH($G93,Data_EF!$A:$A,0))/1000000</f>
        <v>0</v>
      </c>
      <c r="P93" s="19">
        <f>Mitigation_Industry!P$633*INDEX(Data_EF!$G:$G,MATCH($G93,Data_EF!$A:$A,0))/1000000</f>
        <v>0</v>
      </c>
      <c r="Q93" s="19">
        <f>Mitigation_Industry!Q$633*INDEX(Data_EF!$G:$G,MATCH($G93,Data_EF!$A:$A,0))/1000000</f>
        <v>0</v>
      </c>
      <c r="R93" s="19">
        <f>Mitigation_Industry!R$633*INDEX(Data_EF!$G:$G,MATCH($G93,Data_EF!$A:$A,0))/1000000</f>
        <v>0</v>
      </c>
      <c r="S93" s="19">
        <f>Mitigation_Industry!S$633*INDEX(Data_EF!$G:$G,MATCH($G93,Data_EF!$A:$A,0))/1000000</f>
        <v>0</v>
      </c>
      <c r="T93" s="19">
        <f>Mitigation_Industry!T$633*INDEX(Data_EF!$G:$G,MATCH($G93,Data_EF!$A:$A,0))/1000000</f>
        <v>0</v>
      </c>
      <c r="U93" s="19">
        <f>Mitigation_Industry!U$633*INDEX(Data_EF!$G:$G,MATCH($G93,Data_EF!$A:$A,0))/1000000</f>
        <v>0</v>
      </c>
      <c r="V93" s="19">
        <f>Mitigation_Industry!V$633*INDEX(Data_EF!$G:$G,MATCH($G93,Data_EF!$A:$A,0))/1000000</f>
        <v>0</v>
      </c>
      <c r="W93" s="19">
        <f>Mitigation_Industry!W$633*INDEX(Data_EF!$G:$G,MATCH($G93,Data_EF!$A:$A,0))/1000000</f>
        <v>0</v>
      </c>
      <c r="X93" s="19">
        <f>Mitigation_Industry!X$633*INDEX(Data_EF!$G:$G,MATCH($G93,Data_EF!$A:$A,0))/1000000</f>
        <v>0</v>
      </c>
      <c r="Y93" s="19">
        <f>Mitigation_Industry!Y$633*INDEX(Data_EF!$G:$G,MATCH($G93,Data_EF!$A:$A,0))/1000000</f>
        <v>0</v>
      </c>
      <c r="Z93" s="19">
        <f>Mitigation_Industry!Z$633*INDEX(Data_EF!$G:$G,MATCH($G93,Data_EF!$A:$A,0))/1000000</f>
        <v>0</v>
      </c>
      <c r="AA93" s="19">
        <f>Mitigation_Industry!AA$633*INDEX(Data_EF!$G:$G,MATCH($G93,Data_EF!$A:$A,0))/1000000</f>
        <v>0</v>
      </c>
      <c r="AB93" s="19">
        <f>Mitigation_Industry!AB$633*INDEX(Data_EF!$G:$G,MATCH($G93,Data_EF!$A:$A,0))/1000000</f>
        <v>0</v>
      </c>
      <c r="AC93" s="19">
        <f>Mitigation_Industry!AC$633*INDEX(Data_EF!$G:$G,MATCH($G93,Data_EF!$A:$A,0))/1000000</f>
        <v>0</v>
      </c>
      <c r="AD93" s="19">
        <f>Mitigation_Industry!AD$633*INDEX(Data_EF!$G:$G,MATCH($G93,Data_EF!$A:$A,0))/1000000</f>
        <v>0</v>
      </c>
      <c r="AE93" s="19">
        <f>Mitigation_Industry!AE$633*INDEX(Data_EF!$G:$G,MATCH($G93,Data_EF!$A:$A,0))/1000000</f>
        <v>0</v>
      </c>
    </row>
    <row r="94" spans="1:35" customFormat="1" ht="14.25" x14ac:dyDescent="0.45">
      <c r="B94" s="14" t="s">
        <v>53</v>
      </c>
      <c r="C94" s="14" t="str">
        <f t="shared" si="14"/>
        <v>mch</v>
      </c>
      <c r="D94" s="15" t="s">
        <v>54</v>
      </c>
      <c r="E94" s="16" t="s">
        <v>2068</v>
      </c>
      <c r="F94" s="14" t="s">
        <v>2069</v>
      </c>
      <c r="G94" s="128" t="str">
        <f>Settings!$B$3&amp;".mit.efc."&amp;$B94</f>
        <v>egy.mit.efc.nga</v>
      </c>
      <c r="H94" s="45" t="str">
        <f>Settings!$B$3&amp;".mit.eco2."&amp;$C$92&amp;"."&amp;$B94&amp;".e."&amp;$J$92</f>
        <v>egy.mit.eco2.mch.nga.e.2</v>
      </c>
      <c r="I94" t="s">
        <v>2135</v>
      </c>
      <c r="L94" s="129">
        <f>Mitigation_Industry!L$634*INDEX(Data_EF!$G:$G,MATCH($G94,Data_EF!$A:$A,0))/1000000</f>
        <v>0</v>
      </c>
      <c r="M94" s="19">
        <f>Mitigation_Industry!M$634*INDEX(Data_EF!$G:$G,MATCH($G94,Data_EF!$A:$A,0))/1000000</f>
        <v>0</v>
      </c>
      <c r="N94" s="19">
        <f>Mitigation_Industry!N$634*INDEX(Data_EF!$G:$G,MATCH($G94,Data_EF!$A:$A,0))/1000000</f>
        <v>0</v>
      </c>
      <c r="O94" s="19">
        <f>Mitigation_Industry!O$634*INDEX(Data_EF!$G:$G,MATCH($G94,Data_EF!$A:$A,0))/1000000</f>
        <v>0</v>
      </c>
      <c r="P94" s="19">
        <f>Mitigation_Industry!P$634*INDEX(Data_EF!$G:$G,MATCH($G94,Data_EF!$A:$A,0))/1000000</f>
        <v>0</v>
      </c>
      <c r="Q94" s="19">
        <f>Mitigation_Industry!Q$634*INDEX(Data_EF!$G:$G,MATCH($G94,Data_EF!$A:$A,0))/1000000</f>
        <v>0</v>
      </c>
      <c r="R94" s="19">
        <f>Mitigation_Industry!R$634*INDEX(Data_EF!$G:$G,MATCH($G94,Data_EF!$A:$A,0))/1000000</f>
        <v>0</v>
      </c>
      <c r="S94" s="19">
        <f>Mitigation_Industry!S$634*INDEX(Data_EF!$G:$G,MATCH($G94,Data_EF!$A:$A,0))/1000000</f>
        <v>0</v>
      </c>
      <c r="T94" s="19">
        <f>Mitigation_Industry!T$634*INDEX(Data_EF!$G:$G,MATCH($G94,Data_EF!$A:$A,0))/1000000</f>
        <v>0</v>
      </c>
      <c r="U94" s="19">
        <f>Mitigation_Industry!U$634*INDEX(Data_EF!$G:$G,MATCH($G94,Data_EF!$A:$A,0))/1000000</f>
        <v>0</v>
      </c>
      <c r="V94" s="19">
        <f>Mitigation_Industry!V$634*INDEX(Data_EF!$G:$G,MATCH($G94,Data_EF!$A:$A,0))/1000000</f>
        <v>0</v>
      </c>
      <c r="W94" s="19">
        <f>Mitigation_Industry!W$634*INDEX(Data_EF!$G:$G,MATCH($G94,Data_EF!$A:$A,0))/1000000</f>
        <v>0</v>
      </c>
      <c r="X94" s="19">
        <f>Mitigation_Industry!X$634*INDEX(Data_EF!$G:$G,MATCH($G94,Data_EF!$A:$A,0))/1000000</f>
        <v>0</v>
      </c>
      <c r="Y94" s="19">
        <f>Mitigation_Industry!Y$634*INDEX(Data_EF!$G:$G,MATCH($G94,Data_EF!$A:$A,0))/1000000</f>
        <v>0</v>
      </c>
      <c r="Z94" s="19">
        <f>Mitigation_Industry!Z$634*INDEX(Data_EF!$G:$G,MATCH($G94,Data_EF!$A:$A,0))/1000000</f>
        <v>0</v>
      </c>
      <c r="AA94" s="19">
        <f>Mitigation_Industry!AA$634*INDEX(Data_EF!$G:$G,MATCH($G94,Data_EF!$A:$A,0))/1000000</f>
        <v>0</v>
      </c>
      <c r="AB94" s="19">
        <f>Mitigation_Industry!AB$634*INDEX(Data_EF!$G:$G,MATCH($G94,Data_EF!$A:$A,0))/1000000</f>
        <v>0</v>
      </c>
      <c r="AC94" s="19">
        <f>Mitigation_Industry!AC$634*INDEX(Data_EF!$G:$G,MATCH($G94,Data_EF!$A:$A,0))/1000000</f>
        <v>0</v>
      </c>
      <c r="AD94" s="19">
        <f>Mitigation_Industry!AD$634*INDEX(Data_EF!$G:$G,MATCH($G94,Data_EF!$A:$A,0))/1000000</f>
        <v>0</v>
      </c>
      <c r="AE94" s="19">
        <f>Mitigation_Industry!AE$634*INDEX(Data_EF!$G:$G,MATCH($G94,Data_EF!$A:$A,0))/1000000</f>
        <v>0</v>
      </c>
    </row>
    <row r="95" spans="1:35" customFormat="1" ht="14.25" x14ac:dyDescent="0.45">
      <c r="B95" s="14" t="s">
        <v>55</v>
      </c>
      <c r="C95" s="14" t="str">
        <f t="shared" si="14"/>
        <v>mch</v>
      </c>
      <c r="D95" s="15" t="s">
        <v>56</v>
      </c>
      <c r="E95" s="16" t="s">
        <v>2068</v>
      </c>
      <c r="F95" s="14" t="s">
        <v>2069</v>
      </c>
      <c r="G95" s="128" t="str">
        <f>Settings!$B$3&amp;".mit.efc."&amp;$B95</f>
        <v>egy.mit.efc.gso</v>
      </c>
      <c r="H95" s="45" t="str">
        <f>Settings!$B$3&amp;".mit.eco2."&amp;$C$92&amp;"."&amp;$B95&amp;".e."&amp;$J$92</f>
        <v>egy.mit.eco2.mch.gso.e.2</v>
      </c>
      <c r="I95" t="s">
        <v>2136</v>
      </c>
      <c r="L95" s="129">
        <f>Mitigation_Industry!L$635*INDEX(Data_EF!$G:$G,MATCH($G95,Data_EF!$A:$A,0))/1000000</f>
        <v>0</v>
      </c>
      <c r="M95" s="19">
        <f>Mitigation_Industry!M$635*INDEX(Data_EF!$G:$G,MATCH($G95,Data_EF!$A:$A,0))/1000000</f>
        <v>0</v>
      </c>
      <c r="N95" s="19">
        <f>Mitigation_Industry!N$635*INDEX(Data_EF!$G:$G,MATCH($G95,Data_EF!$A:$A,0))/1000000</f>
        <v>0</v>
      </c>
      <c r="O95" s="19">
        <f>Mitigation_Industry!O$635*INDEX(Data_EF!$G:$G,MATCH($G95,Data_EF!$A:$A,0))/1000000</f>
        <v>0</v>
      </c>
      <c r="P95" s="19">
        <f>Mitigation_Industry!P$635*INDEX(Data_EF!$G:$G,MATCH($G95,Data_EF!$A:$A,0))/1000000</f>
        <v>0</v>
      </c>
      <c r="Q95" s="19">
        <f>Mitigation_Industry!Q$635*INDEX(Data_EF!$G:$G,MATCH($G95,Data_EF!$A:$A,0))/1000000</f>
        <v>0</v>
      </c>
      <c r="R95" s="19">
        <f>Mitigation_Industry!R$635*INDEX(Data_EF!$G:$G,MATCH($G95,Data_EF!$A:$A,0))/1000000</f>
        <v>0</v>
      </c>
      <c r="S95" s="19">
        <f>Mitigation_Industry!S$635*INDEX(Data_EF!$G:$G,MATCH($G95,Data_EF!$A:$A,0))/1000000</f>
        <v>0</v>
      </c>
      <c r="T95" s="19">
        <f>Mitigation_Industry!T$635*INDEX(Data_EF!$G:$G,MATCH($G95,Data_EF!$A:$A,0))/1000000</f>
        <v>0</v>
      </c>
      <c r="U95" s="19">
        <f>Mitigation_Industry!U$635*INDEX(Data_EF!$G:$G,MATCH($G95,Data_EF!$A:$A,0))/1000000</f>
        <v>0</v>
      </c>
      <c r="V95" s="19">
        <f>Mitigation_Industry!V$635*INDEX(Data_EF!$G:$G,MATCH($G95,Data_EF!$A:$A,0))/1000000</f>
        <v>0</v>
      </c>
      <c r="W95" s="19">
        <f>Mitigation_Industry!W$635*INDEX(Data_EF!$G:$G,MATCH($G95,Data_EF!$A:$A,0))/1000000</f>
        <v>0</v>
      </c>
      <c r="X95" s="19">
        <f>Mitigation_Industry!X$635*INDEX(Data_EF!$G:$G,MATCH($G95,Data_EF!$A:$A,0))/1000000</f>
        <v>0</v>
      </c>
      <c r="Y95" s="19">
        <f>Mitigation_Industry!Y$635*INDEX(Data_EF!$G:$G,MATCH($G95,Data_EF!$A:$A,0))/1000000</f>
        <v>0</v>
      </c>
      <c r="Z95" s="19">
        <f>Mitigation_Industry!Z$635*INDEX(Data_EF!$G:$G,MATCH($G95,Data_EF!$A:$A,0))/1000000</f>
        <v>0</v>
      </c>
      <c r="AA95" s="19">
        <f>Mitigation_Industry!AA$635*INDEX(Data_EF!$G:$G,MATCH($G95,Data_EF!$A:$A,0))/1000000</f>
        <v>0</v>
      </c>
      <c r="AB95" s="19">
        <f>Mitigation_Industry!AB$635*INDEX(Data_EF!$G:$G,MATCH($G95,Data_EF!$A:$A,0))/1000000</f>
        <v>0</v>
      </c>
      <c r="AC95" s="19">
        <f>Mitigation_Industry!AC$635*INDEX(Data_EF!$G:$G,MATCH($G95,Data_EF!$A:$A,0))/1000000</f>
        <v>0</v>
      </c>
      <c r="AD95" s="19">
        <f>Mitigation_Industry!AD$635*INDEX(Data_EF!$G:$G,MATCH($G95,Data_EF!$A:$A,0))/1000000</f>
        <v>0</v>
      </c>
      <c r="AE95" s="19">
        <f>Mitigation_Industry!AE$635*INDEX(Data_EF!$G:$G,MATCH($G95,Data_EF!$A:$A,0))/1000000</f>
        <v>0</v>
      </c>
    </row>
    <row r="96" spans="1:35" customFormat="1" ht="14.25" x14ac:dyDescent="0.45">
      <c r="B96" s="14" t="s">
        <v>58</v>
      </c>
      <c r="C96" s="14" t="str">
        <f t="shared" si="14"/>
        <v>mch</v>
      </c>
      <c r="D96" s="15" t="s">
        <v>59</v>
      </c>
      <c r="E96" s="16" t="s">
        <v>2068</v>
      </c>
      <c r="F96" s="14" t="s">
        <v>2069</v>
      </c>
      <c r="G96" s="128" t="str">
        <f>Settings!$B$3&amp;".mit.efc."&amp;$B96</f>
        <v>egy.mit.efc.die</v>
      </c>
      <c r="H96" s="45" t="str">
        <f>Settings!$B$3&amp;".mit.eco2."&amp;$C$92&amp;"."&amp;$B96&amp;".e."&amp;$J$92</f>
        <v>egy.mit.eco2.mch.die.e.2</v>
      </c>
      <c r="I96" t="s">
        <v>2137</v>
      </c>
      <c r="L96" s="129">
        <f>Mitigation_Industry!L$636*INDEX(Data_EF!$G:$G,MATCH($G96,Data_EF!$A:$A,0))/1000000</f>
        <v>0</v>
      </c>
      <c r="M96" s="19">
        <f>Mitigation_Industry!M$636*INDEX(Data_EF!$G:$G,MATCH($G96,Data_EF!$A:$A,0))/1000000</f>
        <v>0</v>
      </c>
      <c r="N96" s="19">
        <f>Mitigation_Industry!N$636*INDEX(Data_EF!$G:$G,MATCH($G96,Data_EF!$A:$A,0))/1000000</f>
        <v>0</v>
      </c>
      <c r="O96" s="19">
        <f>Mitigation_Industry!O$636*INDEX(Data_EF!$G:$G,MATCH($G96,Data_EF!$A:$A,0))/1000000</f>
        <v>0</v>
      </c>
      <c r="P96" s="19">
        <f>Mitigation_Industry!P$636*INDEX(Data_EF!$G:$G,MATCH($G96,Data_EF!$A:$A,0))/1000000</f>
        <v>0</v>
      </c>
      <c r="Q96" s="19">
        <f>Mitigation_Industry!Q$636*INDEX(Data_EF!$G:$G,MATCH($G96,Data_EF!$A:$A,0))/1000000</f>
        <v>0</v>
      </c>
      <c r="R96" s="19">
        <f>Mitigation_Industry!R$636*INDEX(Data_EF!$G:$G,MATCH($G96,Data_EF!$A:$A,0))/1000000</f>
        <v>0</v>
      </c>
      <c r="S96" s="19">
        <f>Mitigation_Industry!S$636*INDEX(Data_EF!$G:$G,MATCH($G96,Data_EF!$A:$A,0))/1000000</f>
        <v>0</v>
      </c>
      <c r="T96" s="19">
        <f>Mitigation_Industry!T$636*INDEX(Data_EF!$G:$G,MATCH($G96,Data_EF!$A:$A,0))/1000000</f>
        <v>0</v>
      </c>
      <c r="U96" s="19">
        <f>Mitigation_Industry!U$636*INDEX(Data_EF!$G:$G,MATCH($G96,Data_EF!$A:$A,0))/1000000</f>
        <v>0</v>
      </c>
      <c r="V96" s="19">
        <f>Mitigation_Industry!V$636*INDEX(Data_EF!$G:$G,MATCH($G96,Data_EF!$A:$A,0))/1000000</f>
        <v>0</v>
      </c>
      <c r="W96" s="19">
        <f>Mitigation_Industry!W$636*INDEX(Data_EF!$G:$G,MATCH($G96,Data_EF!$A:$A,0))/1000000</f>
        <v>0</v>
      </c>
      <c r="X96" s="19">
        <f>Mitigation_Industry!X$636*INDEX(Data_EF!$G:$G,MATCH($G96,Data_EF!$A:$A,0))/1000000</f>
        <v>0</v>
      </c>
      <c r="Y96" s="19">
        <f>Mitigation_Industry!Y$636*INDEX(Data_EF!$G:$G,MATCH($G96,Data_EF!$A:$A,0))/1000000</f>
        <v>0</v>
      </c>
      <c r="Z96" s="19">
        <f>Mitigation_Industry!Z$636*INDEX(Data_EF!$G:$G,MATCH($G96,Data_EF!$A:$A,0))/1000000</f>
        <v>0</v>
      </c>
      <c r="AA96" s="19">
        <f>Mitigation_Industry!AA$636*INDEX(Data_EF!$G:$G,MATCH($G96,Data_EF!$A:$A,0))/1000000</f>
        <v>0</v>
      </c>
      <c r="AB96" s="19">
        <f>Mitigation_Industry!AB$636*INDEX(Data_EF!$G:$G,MATCH($G96,Data_EF!$A:$A,0))/1000000</f>
        <v>0</v>
      </c>
      <c r="AC96" s="19">
        <f>Mitigation_Industry!AC$636*INDEX(Data_EF!$G:$G,MATCH($G96,Data_EF!$A:$A,0))/1000000</f>
        <v>0</v>
      </c>
      <c r="AD96" s="19">
        <f>Mitigation_Industry!AD$636*INDEX(Data_EF!$G:$G,MATCH($G96,Data_EF!$A:$A,0))/1000000</f>
        <v>0</v>
      </c>
      <c r="AE96" s="19">
        <f>Mitigation_Industry!AE$636*INDEX(Data_EF!$G:$G,MATCH($G96,Data_EF!$A:$A,0))/1000000</f>
        <v>0</v>
      </c>
    </row>
    <row r="97" spans="2:31" customFormat="1" ht="14.25" x14ac:dyDescent="0.45">
      <c r="B97" s="14" t="s">
        <v>60</v>
      </c>
      <c r="C97" s="14" t="str">
        <f t="shared" si="14"/>
        <v>mch</v>
      </c>
      <c r="D97" s="15" t="s">
        <v>61</v>
      </c>
      <c r="E97" s="16" t="s">
        <v>2068</v>
      </c>
      <c r="F97" s="14" t="s">
        <v>2069</v>
      </c>
      <c r="G97" s="128" t="str">
        <f>Settings!$B$3&amp;".mit.efc."&amp;$B97</f>
        <v>egy.mit.efc.lpg</v>
      </c>
      <c r="H97" s="45" t="str">
        <f>Settings!$B$3&amp;".mit.eco2."&amp;$C$92&amp;"."&amp;$B97&amp;".e."&amp;$J$92</f>
        <v>egy.mit.eco2.mch.lpg.e.2</v>
      </c>
      <c r="I97" t="s">
        <v>2138</v>
      </c>
      <c r="L97" s="129">
        <f>Mitigation_Industry!L$637*INDEX(Data_EF!$G:$G,MATCH($G97,Data_EF!$A:$A,0))/1000000</f>
        <v>0</v>
      </c>
      <c r="M97" s="19">
        <f>Mitigation_Industry!M$637*INDEX(Data_EF!$G:$G,MATCH($G97,Data_EF!$A:$A,0))/1000000</f>
        <v>0</v>
      </c>
      <c r="N97" s="19">
        <f>Mitigation_Industry!N$637*INDEX(Data_EF!$G:$G,MATCH($G97,Data_EF!$A:$A,0))/1000000</f>
        <v>0</v>
      </c>
      <c r="O97" s="19">
        <f>Mitigation_Industry!O$637*INDEX(Data_EF!$G:$G,MATCH($G97,Data_EF!$A:$A,0))/1000000</f>
        <v>0</v>
      </c>
      <c r="P97" s="19">
        <f>Mitigation_Industry!P$637*INDEX(Data_EF!$G:$G,MATCH($G97,Data_EF!$A:$A,0))/1000000</f>
        <v>0</v>
      </c>
      <c r="Q97" s="19">
        <f>Mitigation_Industry!Q$637*INDEX(Data_EF!$G:$G,MATCH($G97,Data_EF!$A:$A,0))/1000000</f>
        <v>0</v>
      </c>
      <c r="R97" s="19">
        <f>Mitigation_Industry!R$637*INDEX(Data_EF!$G:$G,MATCH($G97,Data_EF!$A:$A,0))/1000000</f>
        <v>0</v>
      </c>
      <c r="S97" s="19">
        <f>Mitigation_Industry!S$637*INDEX(Data_EF!$G:$G,MATCH($G97,Data_EF!$A:$A,0))/1000000</f>
        <v>0</v>
      </c>
      <c r="T97" s="19">
        <f>Mitigation_Industry!T$637*INDEX(Data_EF!$G:$G,MATCH($G97,Data_EF!$A:$A,0))/1000000</f>
        <v>0</v>
      </c>
      <c r="U97" s="19">
        <f>Mitigation_Industry!U$637*INDEX(Data_EF!$G:$G,MATCH($G97,Data_EF!$A:$A,0))/1000000</f>
        <v>0</v>
      </c>
      <c r="V97" s="19">
        <f>Mitigation_Industry!V$637*INDEX(Data_EF!$G:$G,MATCH($G97,Data_EF!$A:$A,0))/1000000</f>
        <v>0</v>
      </c>
      <c r="W97" s="19">
        <f>Mitigation_Industry!W$637*INDEX(Data_EF!$G:$G,MATCH($G97,Data_EF!$A:$A,0))/1000000</f>
        <v>0</v>
      </c>
      <c r="X97" s="19">
        <f>Mitigation_Industry!X$637*INDEX(Data_EF!$G:$G,MATCH($G97,Data_EF!$A:$A,0))/1000000</f>
        <v>0</v>
      </c>
      <c r="Y97" s="19">
        <f>Mitigation_Industry!Y$637*INDEX(Data_EF!$G:$G,MATCH($G97,Data_EF!$A:$A,0))/1000000</f>
        <v>0</v>
      </c>
      <c r="Z97" s="19">
        <f>Mitigation_Industry!Z$637*INDEX(Data_EF!$G:$G,MATCH($G97,Data_EF!$A:$A,0))/1000000</f>
        <v>0</v>
      </c>
      <c r="AA97" s="19">
        <f>Mitigation_Industry!AA$637*INDEX(Data_EF!$G:$G,MATCH($G97,Data_EF!$A:$A,0))/1000000</f>
        <v>0</v>
      </c>
      <c r="AB97" s="19">
        <f>Mitigation_Industry!AB$637*INDEX(Data_EF!$G:$G,MATCH($G97,Data_EF!$A:$A,0))/1000000</f>
        <v>0</v>
      </c>
      <c r="AC97" s="19">
        <f>Mitigation_Industry!AC$637*INDEX(Data_EF!$G:$G,MATCH($G97,Data_EF!$A:$A,0))/1000000</f>
        <v>0</v>
      </c>
      <c r="AD97" s="19">
        <f>Mitigation_Industry!AD$637*INDEX(Data_EF!$G:$G,MATCH($G97,Data_EF!$A:$A,0))/1000000</f>
        <v>0</v>
      </c>
      <c r="AE97" s="19">
        <f>Mitigation_Industry!AE$637*INDEX(Data_EF!$G:$G,MATCH($G97,Data_EF!$A:$A,0))/1000000</f>
        <v>0</v>
      </c>
    </row>
    <row r="98" spans="2:31" customFormat="1" ht="14.25" x14ac:dyDescent="0.45">
      <c r="B98" s="14" t="s">
        <v>62</v>
      </c>
      <c r="C98" s="14" t="str">
        <f t="shared" si="14"/>
        <v>mch</v>
      </c>
      <c r="D98" s="15" t="s">
        <v>63</v>
      </c>
      <c r="E98" s="16" t="s">
        <v>2068</v>
      </c>
      <c r="F98" s="14" t="s">
        <v>2069</v>
      </c>
      <c r="G98" s="128" t="str">
        <f>Settings!$B$3&amp;".mit.efc."&amp;$B98</f>
        <v>egy.mit.efc.ker</v>
      </c>
      <c r="H98" s="45" t="str">
        <f>Settings!$B$3&amp;".mit.eco2."&amp;$C$92&amp;"."&amp;$B98&amp;".e."&amp;$J$92</f>
        <v>egy.mit.eco2.mch.ker.e.2</v>
      </c>
      <c r="I98" t="s">
        <v>2139</v>
      </c>
      <c r="L98" s="129">
        <f>Mitigation_Industry!L$638*INDEX(Data_EF!$G:$G,MATCH($G98,Data_EF!$A:$A,0))/1000000</f>
        <v>0</v>
      </c>
      <c r="M98" s="19">
        <f>Mitigation_Industry!M$638*INDEX(Data_EF!$G:$G,MATCH($G98,Data_EF!$A:$A,0))/1000000</f>
        <v>0</v>
      </c>
      <c r="N98" s="19">
        <f>Mitigation_Industry!N$638*INDEX(Data_EF!$G:$G,MATCH($G98,Data_EF!$A:$A,0))/1000000</f>
        <v>0</v>
      </c>
      <c r="O98" s="19">
        <f>Mitigation_Industry!O$638*INDEX(Data_EF!$G:$G,MATCH($G98,Data_EF!$A:$A,0))/1000000</f>
        <v>0</v>
      </c>
      <c r="P98" s="19">
        <f>Mitigation_Industry!P$638*INDEX(Data_EF!$G:$G,MATCH($G98,Data_EF!$A:$A,0))/1000000</f>
        <v>0</v>
      </c>
      <c r="Q98" s="19">
        <f>Mitigation_Industry!Q$638*INDEX(Data_EF!$G:$G,MATCH($G98,Data_EF!$A:$A,0))/1000000</f>
        <v>0</v>
      </c>
      <c r="R98" s="19">
        <f>Mitigation_Industry!R$638*INDEX(Data_EF!$G:$G,MATCH($G98,Data_EF!$A:$A,0))/1000000</f>
        <v>0</v>
      </c>
      <c r="S98" s="19">
        <f>Mitigation_Industry!S$638*INDEX(Data_EF!$G:$G,MATCH($G98,Data_EF!$A:$A,0))/1000000</f>
        <v>0</v>
      </c>
      <c r="T98" s="19">
        <f>Mitigation_Industry!T$638*INDEX(Data_EF!$G:$G,MATCH($G98,Data_EF!$A:$A,0))/1000000</f>
        <v>0</v>
      </c>
      <c r="U98" s="19">
        <f>Mitigation_Industry!U$638*INDEX(Data_EF!$G:$G,MATCH($G98,Data_EF!$A:$A,0))/1000000</f>
        <v>0</v>
      </c>
      <c r="V98" s="19">
        <f>Mitigation_Industry!V$638*INDEX(Data_EF!$G:$G,MATCH($G98,Data_EF!$A:$A,0))/1000000</f>
        <v>0</v>
      </c>
      <c r="W98" s="19">
        <f>Mitigation_Industry!W$638*INDEX(Data_EF!$G:$G,MATCH($G98,Data_EF!$A:$A,0))/1000000</f>
        <v>0</v>
      </c>
      <c r="X98" s="19">
        <f>Mitigation_Industry!X$638*INDEX(Data_EF!$G:$G,MATCH($G98,Data_EF!$A:$A,0))/1000000</f>
        <v>0</v>
      </c>
      <c r="Y98" s="19">
        <f>Mitigation_Industry!Y$638*INDEX(Data_EF!$G:$G,MATCH($G98,Data_EF!$A:$A,0))/1000000</f>
        <v>0</v>
      </c>
      <c r="Z98" s="19">
        <f>Mitigation_Industry!Z$638*INDEX(Data_EF!$G:$G,MATCH($G98,Data_EF!$A:$A,0))/1000000</f>
        <v>0</v>
      </c>
      <c r="AA98" s="19">
        <f>Mitigation_Industry!AA$638*INDEX(Data_EF!$G:$G,MATCH($G98,Data_EF!$A:$A,0))/1000000</f>
        <v>0</v>
      </c>
      <c r="AB98" s="19">
        <f>Mitigation_Industry!AB$638*INDEX(Data_EF!$G:$G,MATCH($G98,Data_EF!$A:$A,0))/1000000</f>
        <v>0</v>
      </c>
      <c r="AC98" s="19">
        <f>Mitigation_Industry!AC$638*INDEX(Data_EF!$G:$G,MATCH($G98,Data_EF!$A:$A,0))/1000000</f>
        <v>0</v>
      </c>
      <c r="AD98" s="19">
        <f>Mitigation_Industry!AD$638*INDEX(Data_EF!$G:$G,MATCH($G98,Data_EF!$A:$A,0))/1000000</f>
        <v>0</v>
      </c>
      <c r="AE98" s="19">
        <f>Mitigation_Industry!AE$638*INDEX(Data_EF!$G:$G,MATCH($G98,Data_EF!$A:$A,0))/1000000</f>
        <v>0</v>
      </c>
    </row>
    <row r="99" spans="2:31" customFormat="1" ht="14.25" x14ac:dyDescent="0.45">
      <c r="B99" s="14" t="s">
        <v>64</v>
      </c>
      <c r="C99" s="14" t="str">
        <f t="shared" si="14"/>
        <v>mch</v>
      </c>
      <c r="D99" s="15" t="s">
        <v>65</v>
      </c>
      <c r="E99" s="16" t="s">
        <v>2068</v>
      </c>
      <c r="F99" s="14" t="s">
        <v>2069</v>
      </c>
      <c r="G99" s="128" t="str">
        <f>Settings!$B$3&amp;".mit.efc."&amp;$B99</f>
        <v>egy.mit.efc.oop</v>
      </c>
      <c r="H99" s="45" t="str">
        <f>Settings!$B$3&amp;".mit.eco2."&amp;$C$92&amp;"."&amp;$B99&amp;".e."&amp;$J$92</f>
        <v>egy.mit.eco2.mch.oop.e.2</v>
      </c>
      <c r="I99" t="s">
        <v>2140</v>
      </c>
      <c r="L99" s="129">
        <f>Mitigation_Industry!L$639*INDEX(Data_EF!$G:$G,MATCH($G99,Data_EF!$A:$A,0))/1000000</f>
        <v>0</v>
      </c>
      <c r="M99" s="19">
        <f>Mitigation_Industry!M$639*INDEX(Data_EF!$G:$G,MATCH($G99,Data_EF!$A:$A,0))/1000000</f>
        <v>0</v>
      </c>
      <c r="N99" s="19">
        <f>Mitigation_Industry!N$639*INDEX(Data_EF!$G:$G,MATCH($G99,Data_EF!$A:$A,0))/1000000</f>
        <v>0</v>
      </c>
      <c r="O99" s="19">
        <f>Mitigation_Industry!O$639*INDEX(Data_EF!$G:$G,MATCH($G99,Data_EF!$A:$A,0))/1000000</f>
        <v>0</v>
      </c>
      <c r="P99" s="19">
        <f>Mitigation_Industry!P$639*INDEX(Data_EF!$G:$G,MATCH($G99,Data_EF!$A:$A,0))/1000000</f>
        <v>0</v>
      </c>
      <c r="Q99" s="19">
        <f>Mitigation_Industry!Q$639*INDEX(Data_EF!$G:$G,MATCH($G99,Data_EF!$A:$A,0))/1000000</f>
        <v>0</v>
      </c>
      <c r="R99" s="19">
        <f>Mitigation_Industry!R$639*INDEX(Data_EF!$G:$G,MATCH($G99,Data_EF!$A:$A,0))/1000000</f>
        <v>0</v>
      </c>
      <c r="S99" s="19">
        <f>Mitigation_Industry!S$639*INDEX(Data_EF!$G:$G,MATCH($G99,Data_EF!$A:$A,0))/1000000</f>
        <v>0</v>
      </c>
      <c r="T99" s="19">
        <f>Mitigation_Industry!T$639*INDEX(Data_EF!$G:$G,MATCH($G99,Data_EF!$A:$A,0))/1000000</f>
        <v>0</v>
      </c>
      <c r="U99" s="19">
        <f>Mitigation_Industry!U$639*INDEX(Data_EF!$G:$G,MATCH($G99,Data_EF!$A:$A,0))/1000000</f>
        <v>0</v>
      </c>
      <c r="V99" s="19">
        <f>Mitigation_Industry!V$639*INDEX(Data_EF!$G:$G,MATCH($G99,Data_EF!$A:$A,0))/1000000</f>
        <v>0</v>
      </c>
      <c r="W99" s="19">
        <f>Mitigation_Industry!W$639*INDEX(Data_EF!$G:$G,MATCH($G99,Data_EF!$A:$A,0))/1000000</f>
        <v>0</v>
      </c>
      <c r="X99" s="19">
        <f>Mitigation_Industry!X$639*INDEX(Data_EF!$G:$G,MATCH($G99,Data_EF!$A:$A,0))/1000000</f>
        <v>0</v>
      </c>
      <c r="Y99" s="19">
        <f>Mitigation_Industry!Y$639*INDEX(Data_EF!$G:$G,MATCH($G99,Data_EF!$A:$A,0))/1000000</f>
        <v>0</v>
      </c>
      <c r="Z99" s="19">
        <f>Mitigation_Industry!Z$639*INDEX(Data_EF!$G:$G,MATCH($G99,Data_EF!$A:$A,0))/1000000</f>
        <v>0</v>
      </c>
      <c r="AA99" s="19">
        <f>Mitigation_Industry!AA$639*INDEX(Data_EF!$G:$G,MATCH($G99,Data_EF!$A:$A,0))/1000000</f>
        <v>0</v>
      </c>
      <c r="AB99" s="19">
        <f>Mitigation_Industry!AB$639*INDEX(Data_EF!$G:$G,MATCH($G99,Data_EF!$A:$A,0))/1000000</f>
        <v>0</v>
      </c>
      <c r="AC99" s="19">
        <f>Mitigation_Industry!AC$639*INDEX(Data_EF!$G:$G,MATCH($G99,Data_EF!$A:$A,0))/1000000</f>
        <v>0</v>
      </c>
      <c r="AD99" s="19">
        <f>Mitigation_Industry!AD$639*INDEX(Data_EF!$G:$G,MATCH($G99,Data_EF!$A:$A,0))/1000000</f>
        <v>0</v>
      </c>
      <c r="AE99" s="19">
        <f>Mitigation_Industry!AE$639*INDEX(Data_EF!$G:$G,MATCH($G99,Data_EF!$A:$A,0))/1000000</f>
        <v>0</v>
      </c>
    </row>
    <row r="100" spans="2:31" customFormat="1" ht="14.25" x14ac:dyDescent="0.45">
      <c r="B100" s="14" t="s">
        <v>67</v>
      </c>
      <c r="C100" s="14" t="str">
        <f t="shared" si="14"/>
        <v>mch</v>
      </c>
      <c r="D100" s="15" t="s">
        <v>68</v>
      </c>
      <c r="E100" s="16" t="s">
        <v>2068</v>
      </c>
      <c r="F100" s="14" t="s">
        <v>2069</v>
      </c>
      <c r="G100" s="128" t="str">
        <f>Settings!$B$3&amp;".mit.efc."&amp;$B100</f>
        <v>egy.mit.efc.bio</v>
      </c>
      <c r="H100" s="45" t="str">
        <f>Settings!$B$3&amp;".mit.eco2."&amp;$C$92&amp;"."&amp;$B100&amp;".e."&amp;$J$92</f>
        <v>egy.mit.eco2.mch.bio.e.2</v>
      </c>
      <c r="I100" t="s">
        <v>2141</v>
      </c>
      <c r="L100" s="129">
        <f>Mitigation_Industry!L$640*INDEX(Data_EF!$G:$G,MATCH($G100,Data_EF!$A:$A,0))/1000000</f>
        <v>0</v>
      </c>
      <c r="M100" s="19">
        <f>Mitigation_Industry!M$640*INDEX(Data_EF!$G:$G,MATCH($G100,Data_EF!$A:$A,0))/1000000</f>
        <v>0</v>
      </c>
      <c r="N100" s="19">
        <f>Mitigation_Industry!N$640*INDEX(Data_EF!$G:$G,MATCH($G100,Data_EF!$A:$A,0))/1000000</f>
        <v>0</v>
      </c>
      <c r="O100" s="19">
        <f>Mitigation_Industry!O$640*INDEX(Data_EF!$G:$G,MATCH($G100,Data_EF!$A:$A,0))/1000000</f>
        <v>0</v>
      </c>
      <c r="P100" s="19">
        <f>Mitigation_Industry!P$640*INDEX(Data_EF!$G:$G,MATCH($G100,Data_EF!$A:$A,0))/1000000</f>
        <v>0</v>
      </c>
      <c r="Q100" s="19">
        <f>Mitigation_Industry!Q$640*INDEX(Data_EF!$G:$G,MATCH($G100,Data_EF!$A:$A,0))/1000000</f>
        <v>0</v>
      </c>
      <c r="R100" s="19">
        <f>Mitigation_Industry!R$640*INDEX(Data_EF!$G:$G,MATCH($G100,Data_EF!$A:$A,0))/1000000</f>
        <v>0</v>
      </c>
      <c r="S100" s="19">
        <f>Mitigation_Industry!S$640*INDEX(Data_EF!$G:$G,MATCH($G100,Data_EF!$A:$A,0))/1000000</f>
        <v>0</v>
      </c>
      <c r="T100" s="19">
        <f>Mitigation_Industry!T$640*INDEX(Data_EF!$G:$G,MATCH($G100,Data_EF!$A:$A,0))/1000000</f>
        <v>0</v>
      </c>
      <c r="U100" s="19">
        <f>Mitigation_Industry!U$640*INDEX(Data_EF!$G:$G,MATCH($G100,Data_EF!$A:$A,0))/1000000</f>
        <v>0</v>
      </c>
      <c r="V100" s="19">
        <f>Mitigation_Industry!V$640*INDEX(Data_EF!$G:$G,MATCH($G100,Data_EF!$A:$A,0))/1000000</f>
        <v>0</v>
      </c>
      <c r="W100" s="19">
        <f>Mitigation_Industry!W$640*INDEX(Data_EF!$G:$G,MATCH($G100,Data_EF!$A:$A,0))/1000000</f>
        <v>0</v>
      </c>
      <c r="X100" s="19">
        <f>Mitigation_Industry!X$640*INDEX(Data_EF!$G:$G,MATCH($G100,Data_EF!$A:$A,0))/1000000</f>
        <v>0</v>
      </c>
      <c r="Y100" s="19">
        <f>Mitigation_Industry!Y$640*INDEX(Data_EF!$G:$G,MATCH($G100,Data_EF!$A:$A,0))/1000000</f>
        <v>0</v>
      </c>
      <c r="Z100" s="19">
        <f>Mitigation_Industry!Z$640*INDEX(Data_EF!$G:$G,MATCH($G100,Data_EF!$A:$A,0))/1000000</f>
        <v>0</v>
      </c>
      <c r="AA100" s="19">
        <f>Mitigation_Industry!AA$640*INDEX(Data_EF!$G:$G,MATCH($G100,Data_EF!$A:$A,0))/1000000</f>
        <v>0</v>
      </c>
      <c r="AB100" s="19">
        <f>Mitigation_Industry!AB$640*INDEX(Data_EF!$G:$G,MATCH($G100,Data_EF!$A:$A,0))/1000000</f>
        <v>0</v>
      </c>
      <c r="AC100" s="19">
        <f>Mitigation_Industry!AC$640*INDEX(Data_EF!$G:$G,MATCH($G100,Data_EF!$A:$A,0))/1000000</f>
        <v>0</v>
      </c>
      <c r="AD100" s="19">
        <f>Mitigation_Industry!AD$640*INDEX(Data_EF!$G:$G,MATCH($G100,Data_EF!$A:$A,0))/1000000</f>
        <v>0</v>
      </c>
      <c r="AE100" s="19">
        <f>Mitigation_Industry!AE$640*INDEX(Data_EF!$G:$G,MATCH($G100,Data_EF!$A:$A,0))/1000000</f>
        <v>0</v>
      </c>
    </row>
    <row r="101" spans="2:31" customFormat="1" ht="14.25" x14ac:dyDescent="0.45">
      <c r="B101" s="14" t="s">
        <v>69</v>
      </c>
      <c r="C101" s="14" t="str">
        <f t="shared" si="14"/>
        <v>mch</v>
      </c>
      <c r="D101" s="15" t="s">
        <v>70</v>
      </c>
      <c r="E101" s="16" t="s">
        <v>2068</v>
      </c>
      <c r="F101" s="14" t="s">
        <v>2069</v>
      </c>
      <c r="G101" s="128" t="str">
        <f>Settings!$B$3&amp;".mit.efc."&amp;$B101</f>
        <v>egy.mit.efc.ren</v>
      </c>
      <c r="H101" s="45" t="str">
        <f>Settings!$B$3&amp;".mit.eco2."&amp;$C$92&amp;"."&amp;$B101&amp;".e."&amp;$J$92</f>
        <v>egy.mit.eco2.mch.ren.e.2</v>
      </c>
      <c r="I101" t="s">
        <v>2142</v>
      </c>
      <c r="L101" s="129">
        <f>Mitigation_Industry!L$641*INDEX(Data_EF!$G:$G,MATCH($G101,Data_EF!$A:$A,0))/1000000</f>
        <v>0</v>
      </c>
      <c r="M101" s="19">
        <f>Mitigation_Industry!M$641*INDEX(Data_EF!$G:$G,MATCH($G101,Data_EF!$A:$A,0))/1000000</f>
        <v>0</v>
      </c>
      <c r="N101" s="19">
        <f>Mitigation_Industry!N$641*INDEX(Data_EF!$G:$G,MATCH($G101,Data_EF!$A:$A,0))/1000000</f>
        <v>0</v>
      </c>
      <c r="O101" s="19">
        <f>Mitigation_Industry!O$641*INDEX(Data_EF!$G:$G,MATCH($G101,Data_EF!$A:$A,0))/1000000</f>
        <v>0</v>
      </c>
      <c r="P101" s="19">
        <f>Mitigation_Industry!P$641*INDEX(Data_EF!$G:$G,MATCH($G101,Data_EF!$A:$A,0))/1000000</f>
        <v>0</v>
      </c>
      <c r="Q101" s="19">
        <f>Mitigation_Industry!Q$641*INDEX(Data_EF!$G:$G,MATCH($G101,Data_EF!$A:$A,0))/1000000</f>
        <v>0</v>
      </c>
      <c r="R101" s="19">
        <f>Mitigation_Industry!R$641*INDEX(Data_EF!$G:$G,MATCH($G101,Data_EF!$A:$A,0))/1000000</f>
        <v>0</v>
      </c>
      <c r="S101" s="19">
        <f>Mitigation_Industry!S$641*INDEX(Data_EF!$G:$G,MATCH($G101,Data_EF!$A:$A,0))/1000000</f>
        <v>0</v>
      </c>
      <c r="T101" s="19">
        <f>Mitigation_Industry!T$641*INDEX(Data_EF!$G:$G,MATCH($G101,Data_EF!$A:$A,0))/1000000</f>
        <v>0</v>
      </c>
      <c r="U101" s="19">
        <f>Mitigation_Industry!U$641*INDEX(Data_EF!$G:$G,MATCH($G101,Data_EF!$A:$A,0))/1000000</f>
        <v>0</v>
      </c>
      <c r="V101" s="19">
        <f>Mitigation_Industry!V$641*INDEX(Data_EF!$G:$G,MATCH($G101,Data_EF!$A:$A,0))/1000000</f>
        <v>0</v>
      </c>
      <c r="W101" s="19">
        <f>Mitigation_Industry!W$641*INDEX(Data_EF!$G:$G,MATCH($G101,Data_EF!$A:$A,0))/1000000</f>
        <v>0</v>
      </c>
      <c r="X101" s="19">
        <f>Mitigation_Industry!X$641*INDEX(Data_EF!$G:$G,MATCH($G101,Data_EF!$A:$A,0))/1000000</f>
        <v>0</v>
      </c>
      <c r="Y101" s="19">
        <f>Mitigation_Industry!Y$641*INDEX(Data_EF!$G:$G,MATCH($G101,Data_EF!$A:$A,0))/1000000</f>
        <v>0</v>
      </c>
      <c r="Z101" s="19">
        <f>Mitigation_Industry!Z$641*INDEX(Data_EF!$G:$G,MATCH($G101,Data_EF!$A:$A,0))/1000000</f>
        <v>0</v>
      </c>
      <c r="AA101" s="19">
        <f>Mitigation_Industry!AA$641*INDEX(Data_EF!$G:$G,MATCH($G101,Data_EF!$A:$A,0))/1000000</f>
        <v>0</v>
      </c>
      <c r="AB101" s="19">
        <f>Mitigation_Industry!AB$641*INDEX(Data_EF!$G:$G,MATCH($G101,Data_EF!$A:$A,0))/1000000</f>
        <v>0</v>
      </c>
      <c r="AC101" s="19">
        <f>Mitigation_Industry!AC$641*INDEX(Data_EF!$G:$G,MATCH($G101,Data_EF!$A:$A,0))/1000000</f>
        <v>0</v>
      </c>
      <c r="AD101" s="19">
        <f>Mitigation_Industry!AD$641*INDEX(Data_EF!$G:$G,MATCH($G101,Data_EF!$A:$A,0))/1000000</f>
        <v>0</v>
      </c>
      <c r="AE101" s="19">
        <f>Mitigation_Industry!AE$641*INDEX(Data_EF!$G:$G,MATCH($G101,Data_EF!$A:$A,0))/1000000</f>
        <v>0</v>
      </c>
    </row>
    <row r="102" spans="2:31" customFormat="1" ht="14.25" x14ac:dyDescent="0.45">
      <c r="B102" s="14" t="s">
        <v>110</v>
      </c>
      <c r="C102" s="14" t="str">
        <f t="shared" si="14"/>
        <v>mch</v>
      </c>
      <c r="D102" s="25" t="s">
        <v>111</v>
      </c>
      <c r="E102" s="16" t="s">
        <v>2068</v>
      </c>
      <c r="F102" s="14" t="s">
        <v>2069</v>
      </c>
      <c r="H102" s="45" t="str">
        <f>Settings!$B$3&amp;".mit.eco2."&amp;$C$92&amp;".tot.e."&amp;$J$92</f>
        <v>egy.mit.eco2.mch.tot.e.2</v>
      </c>
      <c r="L102" s="130">
        <f t="shared" ref="L102:AE102" si="15">SUM(L93:L101)</f>
        <v>0</v>
      </c>
      <c r="M102" s="130">
        <f t="shared" si="15"/>
        <v>0</v>
      </c>
      <c r="N102" s="130">
        <f t="shared" si="15"/>
        <v>0</v>
      </c>
      <c r="O102" s="130">
        <f t="shared" si="15"/>
        <v>0</v>
      </c>
      <c r="P102" s="130">
        <f t="shared" si="15"/>
        <v>0</v>
      </c>
      <c r="Q102" s="130">
        <f t="shared" si="15"/>
        <v>0</v>
      </c>
      <c r="R102" s="130">
        <f t="shared" si="15"/>
        <v>0</v>
      </c>
      <c r="S102" s="130">
        <f t="shared" si="15"/>
        <v>0</v>
      </c>
      <c r="T102" s="130">
        <f t="shared" si="15"/>
        <v>0</v>
      </c>
      <c r="U102" s="130">
        <f t="shared" si="15"/>
        <v>0</v>
      </c>
      <c r="V102" s="130">
        <f t="shared" si="15"/>
        <v>0</v>
      </c>
      <c r="W102" s="130">
        <f t="shared" si="15"/>
        <v>0</v>
      </c>
      <c r="X102" s="130">
        <f t="shared" si="15"/>
        <v>0</v>
      </c>
      <c r="Y102" s="130">
        <f t="shared" si="15"/>
        <v>0</v>
      </c>
      <c r="Z102" s="130">
        <f t="shared" si="15"/>
        <v>0</v>
      </c>
      <c r="AA102" s="130">
        <f t="shared" si="15"/>
        <v>0</v>
      </c>
      <c r="AB102" s="130">
        <f t="shared" si="15"/>
        <v>0</v>
      </c>
      <c r="AC102" s="130">
        <f t="shared" si="15"/>
        <v>0</v>
      </c>
      <c r="AD102" s="130">
        <f t="shared" si="15"/>
        <v>0</v>
      </c>
      <c r="AE102" s="130">
        <f t="shared" si="1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EF06-87C1-47D2-AD90-8244E322AD4B}">
  <dimension ref="A1:AI278"/>
  <sheetViews>
    <sheetView topLeftCell="J1" workbookViewId="0">
      <pane xSplit="2" ySplit="4" topLeftCell="L5" activePane="bottomRight" state="frozen"/>
      <selection activeCell="J1" sqref="J1"/>
      <selection pane="topRight" activeCell="L1" sqref="L1"/>
      <selection pane="bottomLeft" activeCell="J5" sqref="J5"/>
      <selection pane="bottomRight" activeCell="L5" sqref="L5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40.5976562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55.597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2174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2175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/>
      <c r="C5" s="7" t="s">
        <v>2176</v>
      </c>
      <c r="D5" s="6" t="s">
        <v>1488</v>
      </c>
      <c r="E5" s="7" t="s">
        <v>35</v>
      </c>
      <c r="F5" s="7" t="s">
        <v>45</v>
      </c>
      <c r="G5" s="7" t="s">
        <v>37</v>
      </c>
      <c r="H5" s="12" t="s">
        <v>38</v>
      </c>
      <c r="I5" s="6" t="s">
        <v>39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1782</v>
      </c>
      <c r="C6" s="14"/>
      <c r="D6" s="15" t="s">
        <v>2177</v>
      </c>
      <c r="E6" s="16" t="s">
        <v>79</v>
      </c>
      <c r="F6" s="14" t="s">
        <v>1782</v>
      </c>
      <c r="G6" s="128" t="s">
        <v>1840</v>
      </c>
      <c r="H6" s="17"/>
      <c r="I6" t="s">
        <v>2178</v>
      </c>
      <c r="K6" s="18"/>
      <c r="L6" s="19">
        <f>INDEX(Data_Prices!L:L,MATCH($G6,Data_Prices!$A:$A,0))</f>
        <v>0</v>
      </c>
      <c r="M6" s="19">
        <f>INDEX(Data_Prices!M:M,MATCH($G6,Data_Prices!$A:$A,0))</f>
        <v>0</v>
      </c>
      <c r="N6" s="19">
        <f>INDEX(Data_Prices!N:N,MATCH($G6,Data_Prices!$A:$A,0))</f>
        <v>0</v>
      </c>
      <c r="O6" s="19">
        <f>INDEX(Data_Prices!O:O,MATCH($G6,Data_Prices!$A:$A,0))</f>
        <v>0</v>
      </c>
      <c r="P6" s="19">
        <f>INDEX(Data_Prices!P:P,MATCH($G6,Data_Prices!$A:$A,0))</f>
        <v>0</v>
      </c>
      <c r="Q6" s="19">
        <f>INDEX(Data_Prices!Q:Q,MATCH($G6,Data_Prices!$A:$A,0))</f>
        <v>0</v>
      </c>
      <c r="R6" s="19">
        <f>INDEX(Data_Prices!R:R,MATCH($G6,Data_Prices!$A:$A,0))</f>
        <v>0</v>
      </c>
      <c r="S6" s="19">
        <f>INDEX(Data_Prices!S:S,MATCH($G6,Data_Prices!$A:$A,0))</f>
        <v>0</v>
      </c>
      <c r="T6" s="19">
        <f>INDEX(Data_Prices!T:T,MATCH($G6,Data_Prices!$A:$A,0))</f>
        <v>0</v>
      </c>
      <c r="U6" s="19">
        <f>INDEX(Data_Prices!U:U,MATCH($G6,Data_Prices!$A:$A,0))</f>
        <v>0</v>
      </c>
      <c r="V6" s="19">
        <f>INDEX(Data_Prices!V:V,MATCH($G6,Data_Prices!$A:$A,0))</f>
        <v>0</v>
      </c>
      <c r="W6" s="19">
        <f>INDEX(Data_Prices!W:W,MATCH($G6,Data_Prices!$A:$A,0))</f>
        <v>0</v>
      </c>
      <c r="X6" s="19">
        <f>INDEX(Data_Prices!X:X,MATCH($G6,Data_Prices!$A:$A,0))</f>
        <v>0</v>
      </c>
      <c r="Y6" s="19">
        <f>INDEX(Data_Prices!Y:Y,MATCH($G6,Data_Prices!$A:$A,0))</f>
        <v>0</v>
      </c>
      <c r="Z6" s="19">
        <f>INDEX(Data_Prices!Z:Z,MATCH($G6,Data_Prices!$A:$A,0))</f>
        <v>0</v>
      </c>
      <c r="AA6" s="19">
        <f>INDEX(Data_Prices!AA:AA,MATCH($G6,Data_Prices!$A:$A,0))</f>
        <v>0</v>
      </c>
      <c r="AB6" s="19">
        <f>INDEX(Data_Prices!AB:AB,MATCH($G6,Data_Prices!$A:$A,0))</f>
        <v>0</v>
      </c>
      <c r="AC6" s="19">
        <f>INDEX(Data_Prices!AC:AC,MATCH($G6,Data_Prices!$A:$A,0))</f>
        <v>0</v>
      </c>
      <c r="AD6" s="19">
        <f>INDEX(Data_Prices!AD:AD,MATCH($G6,Data_Prices!$A:$A,0))</f>
        <v>0</v>
      </c>
      <c r="AE6" s="19">
        <f>INDEX(Data_Prices!AE:AE,MATCH($G6,Data_Prices!$A:$A,0))</f>
        <v>0</v>
      </c>
    </row>
    <row r="7" spans="1:35" customFormat="1" ht="14.25" x14ac:dyDescent="0.45">
      <c r="B7" s="14" t="s">
        <v>1786</v>
      </c>
      <c r="C7" s="14"/>
      <c r="D7" s="15" t="s">
        <v>2179</v>
      </c>
      <c r="E7" s="16" t="s">
        <v>1398</v>
      </c>
      <c r="F7" s="14" t="s">
        <v>1786</v>
      </c>
      <c r="G7" s="128" t="s">
        <v>1841</v>
      </c>
      <c r="H7" s="17"/>
      <c r="I7" t="s">
        <v>2180</v>
      </c>
      <c r="K7" s="18"/>
      <c r="L7" s="19">
        <f>INDEX(Data_Prices!L:L,MATCH($G7,Data_Prices!$A:$A,0))</f>
        <v>0</v>
      </c>
      <c r="M7" s="19">
        <f>INDEX(Data_Prices!M:M,MATCH($G7,Data_Prices!$A:$A,0))</f>
        <v>0</v>
      </c>
      <c r="N7" s="19">
        <f>INDEX(Data_Prices!N:N,MATCH($G7,Data_Prices!$A:$A,0))</f>
        <v>0</v>
      </c>
      <c r="O7" s="19">
        <f>INDEX(Data_Prices!O:O,MATCH($G7,Data_Prices!$A:$A,0))</f>
        <v>0</v>
      </c>
      <c r="P7" s="19">
        <f>INDEX(Data_Prices!P:P,MATCH($G7,Data_Prices!$A:$A,0))</f>
        <v>0</v>
      </c>
      <c r="Q7" s="19">
        <f>INDEX(Data_Prices!Q:Q,MATCH($G7,Data_Prices!$A:$A,0))</f>
        <v>0</v>
      </c>
      <c r="R7" s="19">
        <f>INDEX(Data_Prices!R:R,MATCH($G7,Data_Prices!$A:$A,0))</f>
        <v>0</v>
      </c>
      <c r="S7" s="19">
        <f>INDEX(Data_Prices!S:S,MATCH($G7,Data_Prices!$A:$A,0))</f>
        <v>0</v>
      </c>
      <c r="T7" s="19">
        <f>INDEX(Data_Prices!T:T,MATCH($G7,Data_Prices!$A:$A,0))</f>
        <v>0</v>
      </c>
      <c r="U7" s="19">
        <f>INDEX(Data_Prices!U:U,MATCH($G7,Data_Prices!$A:$A,0))</f>
        <v>0</v>
      </c>
      <c r="V7" s="19">
        <f>INDEX(Data_Prices!V:V,MATCH($G7,Data_Prices!$A:$A,0))</f>
        <v>0</v>
      </c>
      <c r="W7" s="19">
        <f>INDEX(Data_Prices!W:W,MATCH($G7,Data_Prices!$A:$A,0))</f>
        <v>0</v>
      </c>
      <c r="X7" s="19">
        <f>INDEX(Data_Prices!X:X,MATCH($G7,Data_Prices!$A:$A,0))</f>
        <v>0</v>
      </c>
      <c r="Y7" s="19">
        <f>INDEX(Data_Prices!Y:Y,MATCH($G7,Data_Prices!$A:$A,0))</f>
        <v>0</v>
      </c>
      <c r="Z7" s="19">
        <f>INDEX(Data_Prices!Z:Z,MATCH($G7,Data_Prices!$A:$A,0))</f>
        <v>0</v>
      </c>
      <c r="AA7" s="19">
        <f>INDEX(Data_Prices!AA:AA,MATCH($G7,Data_Prices!$A:$A,0))</f>
        <v>0</v>
      </c>
      <c r="AB7" s="19">
        <f>INDEX(Data_Prices!AB:AB,MATCH($G7,Data_Prices!$A:$A,0))</f>
        <v>0</v>
      </c>
      <c r="AC7" s="19">
        <f>INDEX(Data_Prices!AC:AC,MATCH($G7,Data_Prices!$A:$A,0))</f>
        <v>0</v>
      </c>
      <c r="AD7" s="19">
        <f>INDEX(Data_Prices!AD:AD,MATCH($G7,Data_Prices!$A:$A,0))</f>
        <v>0</v>
      </c>
      <c r="AE7" s="19">
        <f>INDEX(Data_Prices!AE:AE,MATCH($G7,Data_Prices!$A:$A,0))</f>
        <v>0</v>
      </c>
    </row>
    <row r="9" spans="1:35" customFormat="1" ht="14.25" x14ac:dyDescent="0.45">
      <c r="A9" s="11"/>
      <c r="B9" s="6"/>
      <c r="C9" s="7" t="s">
        <v>2181</v>
      </c>
      <c r="D9" s="6" t="s">
        <v>1488</v>
      </c>
      <c r="E9" s="7" t="s">
        <v>35</v>
      </c>
      <c r="F9" s="7" t="s">
        <v>45</v>
      </c>
      <c r="G9" s="7" t="s">
        <v>37</v>
      </c>
      <c r="H9" s="12" t="s">
        <v>38</v>
      </c>
      <c r="I9" s="6" t="s">
        <v>39</v>
      </c>
      <c r="J9" s="48">
        <v>1</v>
      </c>
      <c r="K9" s="6">
        <v>2021</v>
      </c>
      <c r="L9" s="46">
        <v>2022</v>
      </c>
      <c r="M9" s="6">
        <v>2023</v>
      </c>
      <c r="N9" s="6">
        <v>2024</v>
      </c>
      <c r="O9" s="6">
        <v>2025</v>
      </c>
      <c r="P9" s="6">
        <v>2026</v>
      </c>
      <c r="Q9" s="6">
        <v>2027</v>
      </c>
      <c r="R9" s="6">
        <v>2028</v>
      </c>
      <c r="S9" s="6">
        <v>2029</v>
      </c>
      <c r="T9" s="6">
        <v>2030</v>
      </c>
      <c r="U9" s="6">
        <v>2031</v>
      </c>
      <c r="V9" s="6">
        <v>2032</v>
      </c>
      <c r="W9" s="6">
        <v>2033</v>
      </c>
      <c r="X9" s="6">
        <v>2034</v>
      </c>
      <c r="Y9" s="6">
        <v>2035</v>
      </c>
      <c r="Z9" s="6">
        <v>2036</v>
      </c>
      <c r="AA9" s="6">
        <v>2037</v>
      </c>
      <c r="AB9" s="6">
        <v>2038</v>
      </c>
      <c r="AC9" s="6">
        <v>2039</v>
      </c>
      <c r="AD9" s="6">
        <v>2040</v>
      </c>
      <c r="AE9" s="6">
        <v>2041</v>
      </c>
      <c r="AF9" s="6">
        <v>2042</v>
      </c>
      <c r="AG9" s="6">
        <v>2043</v>
      </c>
      <c r="AH9" s="6">
        <v>2044</v>
      </c>
      <c r="AI9" s="6">
        <v>2045</v>
      </c>
    </row>
    <row r="10" spans="1:35" customFormat="1" ht="14.25" x14ac:dyDescent="0.45">
      <c r="B10" s="14" t="s">
        <v>1435</v>
      </c>
      <c r="C10" s="14" t="s">
        <v>43</v>
      </c>
      <c r="D10" s="15" t="s">
        <v>2182</v>
      </c>
      <c r="E10" s="16" t="s">
        <v>2183</v>
      </c>
      <c r="F10" s="14" t="s">
        <v>2181</v>
      </c>
      <c r="G10" s="17"/>
      <c r="H10" s="128" t="str">
        <f>Settings!$B$3&amp;".mit.obrbm.stl.drg.1"</f>
        <v>egy.mit.obrbm.stl.drg.1</v>
      </c>
      <c r="I10" t="s">
        <v>2184</v>
      </c>
      <c r="K10" s="18"/>
      <c r="L10" s="19">
        <f>Mitigation_Industry!$Z$264</f>
        <v>0.48099999999999998</v>
      </c>
      <c r="M10" s="19">
        <f>Mitigation_Industry!$Z$264</f>
        <v>0.48099999999999998</v>
      </c>
      <c r="N10" s="19">
        <f>Mitigation_Industry!$Z$264</f>
        <v>0.48099999999999998</v>
      </c>
      <c r="O10" s="19">
        <f>Mitigation_Industry!$Z$264</f>
        <v>0.48099999999999998</v>
      </c>
      <c r="P10" s="19">
        <f>Mitigation_Industry!$Z$264</f>
        <v>0.48099999999999998</v>
      </c>
      <c r="Q10" s="19">
        <f>Mitigation_Industry!$Z$264</f>
        <v>0.48099999999999998</v>
      </c>
      <c r="R10" s="19">
        <f>Mitigation_Industry!$Z$264</f>
        <v>0.48099999999999998</v>
      </c>
      <c r="S10" s="19">
        <f>Mitigation_Industry!$Z$264</f>
        <v>0.48099999999999998</v>
      </c>
      <c r="T10" s="19">
        <f>Mitigation_Industry!$Z$264</f>
        <v>0.48099999999999998</v>
      </c>
      <c r="U10" s="19">
        <f>Mitigation_Industry!$Z$264</f>
        <v>0.48099999999999998</v>
      </c>
      <c r="V10" s="19">
        <f>Mitigation_Industry!$Z$264</f>
        <v>0.48099999999999998</v>
      </c>
      <c r="W10" s="19">
        <f>Mitigation_Industry!$Z$264</f>
        <v>0.48099999999999998</v>
      </c>
      <c r="X10" s="19">
        <f>Mitigation_Industry!$Z$264</f>
        <v>0.48099999999999998</v>
      </c>
      <c r="Y10" s="19">
        <f>Mitigation_Industry!$Z$264</f>
        <v>0.48099999999999998</v>
      </c>
      <c r="Z10" s="19">
        <f>Mitigation_Industry!$Z$264</f>
        <v>0.48099999999999998</v>
      </c>
      <c r="AA10" s="19">
        <f>Mitigation_Industry!$Z$264</f>
        <v>0.48099999999999998</v>
      </c>
      <c r="AB10" s="19">
        <f>Mitigation_Industry!$Z$264</f>
        <v>0.48099999999999998</v>
      </c>
      <c r="AC10" s="19">
        <f>Mitigation_Industry!$Z$264</f>
        <v>0.48099999999999998</v>
      </c>
      <c r="AD10" s="19">
        <f>Mitigation_Industry!$Z$264</f>
        <v>0.48099999999999998</v>
      </c>
      <c r="AE10" s="19">
        <f>Mitigation_Industry!$Z$264</f>
        <v>0.48099999999999998</v>
      </c>
    </row>
    <row r="11" spans="1:35" customFormat="1" ht="14.25" x14ac:dyDescent="0.45">
      <c r="B11" s="14" t="s">
        <v>1438</v>
      </c>
      <c r="C11" s="14" t="s">
        <v>43</v>
      </c>
      <c r="D11" s="15" t="s">
        <v>2185</v>
      </c>
      <c r="E11" s="16" t="s">
        <v>2183</v>
      </c>
      <c r="F11" s="14" t="s">
        <v>2181</v>
      </c>
      <c r="G11" s="17"/>
      <c r="H11" s="128" t="str">
        <f>Settings!$B$3&amp;".mit.obrbm.stl.scr.1"</f>
        <v>egy.mit.obrbm.stl.scr.1</v>
      </c>
      <c r="K11" s="18"/>
      <c r="L11" s="19">
        <f>Mitigation_Industry!$Z$265</f>
        <v>7.1999999999999995E-2</v>
      </c>
      <c r="M11" s="19">
        <f>Mitigation_Industry!$Z$265</f>
        <v>7.1999999999999995E-2</v>
      </c>
      <c r="N11" s="19">
        <f>Mitigation_Industry!$Z$265</f>
        <v>7.1999999999999995E-2</v>
      </c>
      <c r="O11" s="19">
        <f>Mitigation_Industry!$Z$265</f>
        <v>7.1999999999999995E-2</v>
      </c>
      <c r="P11" s="19">
        <f>Mitigation_Industry!$Z$265</f>
        <v>7.1999999999999995E-2</v>
      </c>
      <c r="Q11" s="19">
        <f>Mitigation_Industry!$Z$265</f>
        <v>7.1999999999999995E-2</v>
      </c>
      <c r="R11" s="19">
        <f>Mitigation_Industry!$Z$265</f>
        <v>7.1999999999999995E-2</v>
      </c>
      <c r="S11" s="19">
        <f>Mitigation_Industry!$Z$265</f>
        <v>7.1999999999999995E-2</v>
      </c>
      <c r="T11" s="19">
        <f>Mitigation_Industry!$Z$265</f>
        <v>7.1999999999999995E-2</v>
      </c>
      <c r="U11" s="19">
        <f>Mitigation_Industry!$Z$265</f>
        <v>7.1999999999999995E-2</v>
      </c>
      <c r="V11" s="19">
        <f>Mitigation_Industry!$Z$265</f>
        <v>7.1999999999999995E-2</v>
      </c>
      <c r="W11" s="19">
        <f>Mitigation_Industry!$Z$265</f>
        <v>7.1999999999999995E-2</v>
      </c>
      <c r="X11" s="19">
        <f>Mitigation_Industry!$Z$265</f>
        <v>7.1999999999999995E-2</v>
      </c>
      <c r="Y11" s="19">
        <f>Mitigation_Industry!$Z$265</f>
        <v>7.1999999999999995E-2</v>
      </c>
      <c r="Z11" s="19">
        <f>Mitigation_Industry!$Z$265</f>
        <v>7.1999999999999995E-2</v>
      </c>
      <c r="AA11" s="19">
        <f>Mitigation_Industry!$Z$265</f>
        <v>7.1999999999999995E-2</v>
      </c>
      <c r="AB11" s="19">
        <f>Mitigation_Industry!$Z$265</f>
        <v>7.1999999999999995E-2</v>
      </c>
      <c r="AC11" s="19">
        <f>Mitigation_Industry!$Z$265</f>
        <v>7.1999999999999995E-2</v>
      </c>
      <c r="AD11" s="19">
        <f>Mitigation_Industry!$Z$265</f>
        <v>7.1999999999999995E-2</v>
      </c>
      <c r="AE11" s="19">
        <f>Mitigation_Industry!$Z$265</f>
        <v>7.1999999999999995E-2</v>
      </c>
    </row>
    <row r="12" spans="1:35" customFormat="1" ht="14.25" x14ac:dyDescent="0.45">
      <c r="B12" s="14" t="s">
        <v>1441</v>
      </c>
      <c r="C12" s="14" t="s">
        <v>43</v>
      </c>
      <c r="D12" s="15" t="s">
        <v>2186</v>
      </c>
      <c r="E12" s="16" t="s">
        <v>2183</v>
      </c>
      <c r="F12" s="14" t="s">
        <v>2181</v>
      </c>
      <c r="G12" s="17"/>
      <c r="H12" s="128" t="str">
        <f>Settings!$B$3&amp;".mit.obrbm.stl.bof.1"</f>
        <v>egy.mit.obrbm.stl.bof.1</v>
      </c>
      <c r="K12" s="18"/>
      <c r="L12" s="19">
        <f>Mitigation_Industry!$Z$266</f>
        <v>1.37</v>
      </c>
      <c r="M12" s="19">
        <f>Mitigation_Industry!$Z$266</f>
        <v>1.37</v>
      </c>
      <c r="N12" s="19">
        <f>Mitigation_Industry!$Z$266</f>
        <v>1.37</v>
      </c>
      <c r="O12" s="19">
        <f>Mitigation_Industry!$Z$266</f>
        <v>1.37</v>
      </c>
      <c r="P12" s="19">
        <f>Mitigation_Industry!$Z$266</f>
        <v>1.37</v>
      </c>
      <c r="Q12" s="19">
        <f>Mitigation_Industry!$Z$266</f>
        <v>1.37</v>
      </c>
      <c r="R12" s="19">
        <f>Mitigation_Industry!$Z$266</f>
        <v>1.37</v>
      </c>
      <c r="S12" s="19">
        <f>Mitigation_Industry!$Z$266</f>
        <v>1.37</v>
      </c>
      <c r="T12" s="19">
        <f>Mitigation_Industry!$Z$266</f>
        <v>1.37</v>
      </c>
      <c r="U12" s="19">
        <f>Mitigation_Industry!$Z$266</f>
        <v>1.37</v>
      </c>
      <c r="V12" s="19">
        <f>Mitigation_Industry!$Z$266</f>
        <v>1.37</v>
      </c>
      <c r="W12" s="19">
        <f>Mitigation_Industry!$Z$266</f>
        <v>1.37</v>
      </c>
      <c r="X12" s="19">
        <f>Mitigation_Industry!$Z$266</f>
        <v>1.37</v>
      </c>
      <c r="Y12" s="19">
        <f>Mitigation_Industry!$Z$266</f>
        <v>1.37</v>
      </c>
      <c r="Z12" s="19">
        <f>Mitigation_Industry!$Z$266</f>
        <v>1.37</v>
      </c>
      <c r="AA12" s="19">
        <f>Mitigation_Industry!$Z$266</f>
        <v>1.37</v>
      </c>
      <c r="AB12" s="19">
        <f>Mitigation_Industry!$Z$266</f>
        <v>1.37</v>
      </c>
      <c r="AC12" s="19">
        <f>Mitigation_Industry!$Z$266</f>
        <v>1.37</v>
      </c>
      <c r="AD12" s="19">
        <f>Mitigation_Industry!$Z$266</f>
        <v>1.37</v>
      </c>
      <c r="AE12" s="19">
        <f>Mitigation_Industry!$Z$266</f>
        <v>1.37</v>
      </c>
    </row>
    <row r="13" spans="1:35" customFormat="1" ht="14.25" x14ac:dyDescent="0.45">
      <c r="B13" s="14" t="s">
        <v>1444</v>
      </c>
      <c r="C13" s="14" t="s">
        <v>113</v>
      </c>
      <c r="D13" s="15" t="s">
        <v>2187</v>
      </c>
      <c r="E13" s="16" t="s">
        <v>2183</v>
      </c>
      <c r="F13" s="14" t="s">
        <v>2181</v>
      </c>
      <c r="G13" s="17"/>
      <c r="H13" s="128" t="str">
        <f>Settings!$B$3&amp;".mit.obrbm.cmt.dry.1"</f>
        <v>egy.mit.obrbm.cmt.dry.1</v>
      </c>
      <c r="K13" s="18"/>
      <c r="L13" s="19">
        <f>Mitigation_Industry!$Z$267</f>
        <v>0.66600000000000004</v>
      </c>
      <c r="M13" s="19">
        <f>Mitigation_Industry!$Z$267</f>
        <v>0.66600000000000004</v>
      </c>
      <c r="N13" s="19">
        <f>Mitigation_Industry!$Z$267</f>
        <v>0.66600000000000004</v>
      </c>
      <c r="O13" s="19">
        <f>Mitigation_Industry!$Z$267</f>
        <v>0.66600000000000004</v>
      </c>
      <c r="P13" s="19">
        <f>Mitigation_Industry!$Z$267</f>
        <v>0.66600000000000004</v>
      </c>
      <c r="Q13" s="19">
        <f>Mitigation_Industry!$Z$267</f>
        <v>0.66600000000000004</v>
      </c>
      <c r="R13" s="19">
        <f>Mitigation_Industry!$Z$267</f>
        <v>0.66600000000000004</v>
      </c>
      <c r="S13" s="19">
        <f>Mitigation_Industry!$Z$267</f>
        <v>0.66600000000000004</v>
      </c>
      <c r="T13" s="19">
        <f>Mitigation_Industry!$Z$267</f>
        <v>0.66600000000000004</v>
      </c>
      <c r="U13" s="19">
        <f>Mitigation_Industry!$Z$267</f>
        <v>0.66600000000000004</v>
      </c>
      <c r="V13" s="19">
        <f>Mitigation_Industry!$Z$267</f>
        <v>0.66600000000000004</v>
      </c>
      <c r="W13" s="19">
        <f>Mitigation_Industry!$Z$267</f>
        <v>0.66600000000000004</v>
      </c>
      <c r="X13" s="19">
        <f>Mitigation_Industry!$Z$267</f>
        <v>0.66600000000000004</v>
      </c>
      <c r="Y13" s="19">
        <f>Mitigation_Industry!$Z$267</f>
        <v>0.66600000000000004</v>
      </c>
      <c r="Z13" s="19">
        <f>Mitigation_Industry!$Z$267</f>
        <v>0.66600000000000004</v>
      </c>
      <c r="AA13" s="19">
        <f>Mitigation_Industry!$Z$267</f>
        <v>0.66600000000000004</v>
      </c>
      <c r="AB13" s="19">
        <f>Mitigation_Industry!$Z$267</f>
        <v>0.66600000000000004</v>
      </c>
      <c r="AC13" s="19">
        <f>Mitigation_Industry!$Z$267</f>
        <v>0.66600000000000004</v>
      </c>
      <c r="AD13" s="19">
        <f>Mitigation_Industry!$Z$267</f>
        <v>0.66600000000000004</v>
      </c>
      <c r="AE13" s="19">
        <f>Mitigation_Industry!$Z$267</f>
        <v>0.66600000000000004</v>
      </c>
    </row>
    <row r="14" spans="1:35" customFormat="1" ht="14.25" x14ac:dyDescent="0.45">
      <c r="B14" s="14" t="s">
        <v>1447</v>
      </c>
      <c r="C14" s="14" t="s">
        <v>117</v>
      </c>
      <c r="D14" s="15" t="s">
        <v>2188</v>
      </c>
      <c r="E14" s="16" t="s">
        <v>2183</v>
      </c>
      <c r="F14" s="14" t="s">
        <v>2181</v>
      </c>
      <c r="G14" s="17"/>
      <c r="H14" s="128" t="str">
        <f>Settings!$B$3&amp;".mit.obrbm.frt.amc.1"</f>
        <v>egy.mit.obrbm.frt.amc.1</v>
      </c>
      <c r="K14" s="18"/>
      <c r="L14" s="19">
        <f>Mitigation_Industry!$Z$268</f>
        <v>1.484</v>
      </c>
      <c r="M14" s="19">
        <f>Mitigation_Industry!$Z$268</f>
        <v>1.484</v>
      </c>
      <c r="N14" s="19">
        <f>Mitigation_Industry!$Z$268</f>
        <v>1.484</v>
      </c>
      <c r="O14" s="19">
        <f>Mitigation_Industry!$Z$268</f>
        <v>1.484</v>
      </c>
      <c r="P14" s="19">
        <f>Mitigation_Industry!$Z$268</f>
        <v>1.484</v>
      </c>
      <c r="Q14" s="19">
        <f>Mitigation_Industry!$Z$268</f>
        <v>1.484</v>
      </c>
      <c r="R14" s="19">
        <f>Mitigation_Industry!$Z$268</f>
        <v>1.484</v>
      </c>
      <c r="S14" s="19">
        <f>Mitigation_Industry!$Z$268</f>
        <v>1.484</v>
      </c>
      <c r="T14" s="19">
        <f>Mitigation_Industry!$Z$268</f>
        <v>1.484</v>
      </c>
      <c r="U14" s="19">
        <f>Mitigation_Industry!$Z$268</f>
        <v>1.484</v>
      </c>
      <c r="V14" s="19">
        <f>Mitigation_Industry!$Z$268</f>
        <v>1.484</v>
      </c>
      <c r="W14" s="19">
        <f>Mitigation_Industry!$Z$268</f>
        <v>1.484</v>
      </c>
      <c r="X14" s="19">
        <f>Mitigation_Industry!$Z$268</f>
        <v>1.484</v>
      </c>
      <c r="Y14" s="19">
        <f>Mitigation_Industry!$Z$268</f>
        <v>1.484</v>
      </c>
      <c r="Z14" s="19">
        <f>Mitigation_Industry!$Z$268</f>
        <v>1.484</v>
      </c>
      <c r="AA14" s="19">
        <f>Mitigation_Industry!$Z$268</f>
        <v>1.484</v>
      </c>
      <c r="AB14" s="19">
        <f>Mitigation_Industry!$Z$268</f>
        <v>1.484</v>
      </c>
      <c r="AC14" s="19">
        <f>Mitigation_Industry!$Z$268</f>
        <v>1.484</v>
      </c>
      <c r="AD14" s="19">
        <f>Mitigation_Industry!$Z$268</f>
        <v>1.484</v>
      </c>
      <c r="AE14" s="19">
        <f>Mitigation_Industry!$Z$268</f>
        <v>1.484</v>
      </c>
    </row>
    <row r="15" spans="1:35" customFormat="1" ht="14.25" x14ac:dyDescent="0.45">
      <c r="B15" s="14" t="s">
        <v>1450</v>
      </c>
      <c r="C15" s="14" t="s">
        <v>117</v>
      </c>
      <c r="D15" s="15" t="s">
        <v>2189</v>
      </c>
      <c r="E15" s="16" t="s">
        <v>2183</v>
      </c>
      <c r="F15" s="14" t="s">
        <v>2181</v>
      </c>
      <c r="G15" s="17"/>
      <c r="H15" s="128" t="str">
        <f>Settings!$B$3&amp;".mit.obrbm.frt.ure.1"</f>
        <v>egy.mit.obrbm.frt.ure.1</v>
      </c>
      <c r="K15" s="18"/>
      <c r="L15" s="19">
        <f>Mitigation_Industry!$Z$269</f>
        <v>0.90200000000000002</v>
      </c>
      <c r="M15" s="19">
        <f>Mitigation_Industry!$Z$269</f>
        <v>0.90200000000000002</v>
      </c>
      <c r="N15" s="19">
        <f>Mitigation_Industry!$Z$269</f>
        <v>0.90200000000000002</v>
      </c>
      <c r="O15" s="19">
        <f>Mitigation_Industry!$Z$269</f>
        <v>0.90200000000000002</v>
      </c>
      <c r="P15" s="19">
        <f>Mitigation_Industry!$Z$269</f>
        <v>0.90200000000000002</v>
      </c>
      <c r="Q15" s="19">
        <f>Mitigation_Industry!$Z$269</f>
        <v>0.90200000000000002</v>
      </c>
      <c r="R15" s="19">
        <f>Mitigation_Industry!$Z$269</f>
        <v>0.90200000000000002</v>
      </c>
      <c r="S15" s="19">
        <f>Mitigation_Industry!$Z$269</f>
        <v>0.90200000000000002</v>
      </c>
      <c r="T15" s="19">
        <f>Mitigation_Industry!$Z$269</f>
        <v>0.90200000000000002</v>
      </c>
      <c r="U15" s="19">
        <f>Mitigation_Industry!$Z$269</f>
        <v>0.90200000000000002</v>
      </c>
      <c r="V15" s="19">
        <f>Mitigation_Industry!$Z$269</f>
        <v>0.90200000000000002</v>
      </c>
      <c r="W15" s="19">
        <f>Mitigation_Industry!$Z$269</f>
        <v>0.90200000000000002</v>
      </c>
      <c r="X15" s="19">
        <f>Mitigation_Industry!$Z$269</f>
        <v>0.90200000000000002</v>
      </c>
      <c r="Y15" s="19">
        <f>Mitigation_Industry!$Z$269</f>
        <v>0.90200000000000002</v>
      </c>
      <c r="Z15" s="19">
        <f>Mitigation_Industry!$Z$269</f>
        <v>0.90200000000000002</v>
      </c>
      <c r="AA15" s="19">
        <f>Mitigation_Industry!$Z$269</f>
        <v>0.90200000000000002</v>
      </c>
      <c r="AB15" s="19">
        <f>Mitigation_Industry!$Z$269</f>
        <v>0.90200000000000002</v>
      </c>
      <c r="AC15" s="19">
        <f>Mitigation_Industry!$Z$269</f>
        <v>0.90200000000000002</v>
      </c>
      <c r="AD15" s="19">
        <f>Mitigation_Industry!$Z$269</f>
        <v>0.90200000000000002</v>
      </c>
      <c r="AE15" s="19">
        <f>Mitigation_Industry!$Z$269</f>
        <v>0.90200000000000002</v>
      </c>
    </row>
    <row r="16" spans="1:35" customFormat="1" ht="14.25" x14ac:dyDescent="0.45">
      <c r="B16" s="14" t="s">
        <v>1453</v>
      </c>
      <c r="C16" s="14" t="s">
        <v>117</v>
      </c>
      <c r="D16" s="15" t="s">
        <v>2190</v>
      </c>
      <c r="E16" s="16" t="s">
        <v>2183</v>
      </c>
      <c r="F16" s="14" t="s">
        <v>2181</v>
      </c>
      <c r="G16" s="17"/>
      <c r="H16" s="128" t="str">
        <f>Settings!$B$3&amp;".mit.obrbm.frt.nit.1"</f>
        <v>egy.mit.obrbm.frt.nit.1</v>
      </c>
      <c r="K16" s="18"/>
      <c r="L16" s="19">
        <f>Mitigation_Industry!$Z$270</f>
        <v>0.30199999999999999</v>
      </c>
      <c r="M16" s="19">
        <f>Mitigation_Industry!$Z$270</f>
        <v>0.30199999999999999</v>
      </c>
      <c r="N16" s="19">
        <f>Mitigation_Industry!$Z$270</f>
        <v>0.30199999999999999</v>
      </c>
      <c r="O16" s="19">
        <f>Mitigation_Industry!$Z$270</f>
        <v>0.30199999999999999</v>
      </c>
      <c r="P16" s="19">
        <f>Mitigation_Industry!$Z$270</f>
        <v>0.30199999999999999</v>
      </c>
      <c r="Q16" s="19">
        <f>Mitigation_Industry!$Z$270</f>
        <v>0.30199999999999999</v>
      </c>
      <c r="R16" s="19">
        <f>Mitigation_Industry!$Z$270</f>
        <v>0.30199999999999999</v>
      </c>
      <c r="S16" s="19">
        <f>Mitigation_Industry!$Z$270</f>
        <v>0.30199999999999999</v>
      </c>
      <c r="T16" s="19">
        <f>Mitigation_Industry!$Z$270</f>
        <v>0.30199999999999999</v>
      </c>
      <c r="U16" s="19">
        <f>Mitigation_Industry!$Z$270</f>
        <v>0.30199999999999999</v>
      </c>
      <c r="V16" s="19">
        <f>Mitigation_Industry!$Z$270</f>
        <v>0.30199999999999999</v>
      </c>
      <c r="W16" s="19">
        <f>Mitigation_Industry!$Z$270</f>
        <v>0.30199999999999999</v>
      </c>
      <c r="X16" s="19">
        <f>Mitigation_Industry!$Z$270</f>
        <v>0.30199999999999999</v>
      </c>
      <c r="Y16" s="19">
        <f>Mitigation_Industry!$Z$270</f>
        <v>0.30199999999999999</v>
      </c>
      <c r="Z16" s="19">
        <f>Mitigation_Industry!$Z$270</f>
        <v>0.30199999999999999</v>
      </c>
      <c r="AA16" s="19">
        <f>Mitigation_Industry!$Z$270</f>
        <v>0.30199999999999999</v>
      </c>
      <c r="AB16" s="19">
        <f>Mitigation_Industry!$Z$270</f>
        <v>0.30199999999999999</v>
      </c>
      <c r="AC16" s="19">
        <f>Mitigation_Industry!$Z$270</f>
        <v>0.30199999999999999</v>
      </c>
      <c r="AD16" s="19">
        <f>Mitigation_Industry!$Z$270</f>
        <v>0.30199999999999999</v>
      </c>
      <c r="AE16" s="19">
        <f>Mitigation_Industry!$Z$270</f>
        <v>0.30199999999999999</v>
      </c>
    </row>
    <row r="17" spans="1:35" customFormat="1" ht="14.25" x14ac:dyDescent="0.45">
      <c r="B17" s="14" t="s">
        <v>1456</v>
      </c>
      <c r="C17" s="14" t="s">
        <v>115</v>
      </c>
      <c r="D17" s="15" t="s">
        <v>2191</v>
      </c>
      <c r="E17" s="16" t="s">
        <v>2183</v>
      </c>
      <c r="F17" s="14" t="s">
        <v>2181</v>
      </c>
      <c r="G17" s="17"/>
      <c r="H17" s="128" t="str">
        <f>Settings!$B$3&amp;".mit.obrbm.alu.prp.1"</f>
        <v>egy.mit.obrbm.alu.prp.1</v>
      </c>
      <c r="K17" s="18"/>
      <c r="L17" s="19">
        <f>Mitigation_Industry!$Z$271</f>
        <v>1.423</v>
      </c>
      <c r="M17" s="19">
        <f>Mitigation_Industry!$Z$271</f>
        <v>1.423</v>
      </c>
      <c r="N17" s="19">
        <f>Mitigation_Industry!$Z$271</f>
        <v>1.423</v>
      </c>
      <c r="O17" s="19">
        <f>Mitigation_Industry!$Z$271</f>
        <v>1.423</v>
      </c>
      <c r="P17" s="19">
        <f>Mitigation_Industry!$Z$271</f>
        <v>1.423</v>
      </c>
      <c r="Q17" s="19">
        <f>Mitigation_Industry!$Z$271</f>
        <v>1.423</v>
      </c>
      <c r="R17" s="19">
        <f>Mitigation_Industry!$Z$271</f>
        <v>1.423</v>
      </c>
      <c r="S17" s="19">
        <f>Mitigation_Industry!$Z$271</f>
        <v>1.423</v>
      </c>
      <c r="T17" s="19">
        <f>Mitigation_Industry!$Z$271</f>
        <v>1.423</v>
      </c>
      <c r="U17" s="19">
        <f>Mitigation_Industry!$Z$271</f>
        <v>1.423</v>
      </c>
      <c r="V17" s="19">
        <f>Mitigation_Industry!$Z$271</f>
        <v>1.423</v>
      </c>
      <c r="W17" s="19">
        <f>Mitigation_Industry!$Z$271</f>
        <v>1.423</v>
      </c>
      <c r="X17" s="19">
        <f>Mitigation_Industry!$Z$271</f>
        <v>1.423</v>
      </c>
      <c r="Y17" s="19">
        <f>Mitigation_Industry!$Z$271</f>
        <v>1.423</v>
      </c>
      <c r="Z17" s="19">
        <f>Mitigation_Industry!$Z$271</f>
        <v>1.423</v>
      </c>
      <c r="AA17" s="19">
        <f>Mitigation_Industry!$Z$271</f>
        <v>1.423</v>
      </c>
      <c r="AB17" s="19">
        <f>Mitigation_Industry!$Z$271</f>
        <v>1.423</v>
      </c>
      <c r="AC17" s="19">
        <f>Mitigation_Industry!$Z$271</f>
        <v>1.423</v>
      </c>
      <c r="AD17" s="19">
        <f>Mitigation_Industry!$Z$271</f>
        <v>1.423</v>
      </c>
      <c r="AE17" s="19">
        <f>Mitigation_Industry!$Z$271</f>
        <v>1.423</v>
      </c>
    </row>
    <row r="19" spans="1:35" customFormat="1" ht="14.25" x14ac:dyDescent="0.45">
      <c r="A19" s="11"/>
      <c r="B19" s="6"/>
      <c r="C19" s="7" t="s">
        <v>2192</v>
      </c>
      <c r="D19" s="6" t="s">
        <v>1488</v>
      </c>
      <c r="E19" s="7" t="s">
        <v>35</v>
      </c>
      <c r="F19" s="7" t="s">
        <v>45</v>
      </c>
      <c r="G19" s="7" t="s">
        <v>37</v>
      </c>
      <c r="H19" s="12" t="s">
        <v>38</v>
      </c>
      <c r="I19" s="6" t="s">
        <v>39</v>
      </c>
      <c r="J19" s="48">
        <v>1</v>
      </c>
      <c r="K19" s="6">
        <v>2021</v>
      </c>
      <c r="L19" s="46">
        <v>2022</v>
      </c>
      <c r="M19" s="6">
        <v>2023</v>
      </c>
      <c r="N19" s="6">
        <v>2024</v>
      </c>
      <c r="O19" s="6">
        <v>2025</v>
      </c>
      <c r="P19" s="6">
        <v>2026</v>
      </c>
      <c r="Q19" s="6">
        <v>2027</v>
      </c>
      <c r="R19" s="6">
        <v>2028</v>
      </c>
      <c r="S19" s="6">
        <v>2029</v>
      </c>
      <c r="T19" s="6">
        <v>2030</v>
      </c>
      <c r="U19" s="6">
        <v>2031</v>
      </c>
      <c r="V19" s="6">
        <v>2032</v>
      </c>
      <c r="W19" s="6">
        <v>2033</v>
      </c>
      <c r="X19" s="6">
        <v>2034</v>
      </c>
      <c r="Y19" s="6">
        <v>2035</v>
      </c>
      <c r="Z19" s="6">
        <v>2036</v>
      </c>
      <c r="AA19" s="6">
        <v>2037</v>
      </c>
      <c r="AB19" s="6">
        <v>2038</v>
      </c>
      <c r="AC19" s="6">
        <v>2039</v>
      </c>
      <c r="AD19" s="6">
        <v>2040</v>
      </c>
      <c r="AE19" s="6">
        <v>2041</v>
      </c>
      <c r="AF19" s="6">
        <v>2042</v>
      </c>
      <c r="AG19" s="6">
        <v>2043</v>
      </c>
      <c r="AH19" s="6">
        <v>2044</v>
      </c>
      <c r="AI19" s="6">
        <v>2045</v>
      </c>
    </row>
    <row r="20" spans="1:35" customFormat="1" ht="14.25" x14ac:dyDescent="0.45">
      <c r="B20" s="14" t="s">
        <v>1435</v>
      </c>
      <c r="C20" s="14" t="s">
        <v>43</v>
      </c>
      <c r="D20" s="15" t="s">
        <v>2193</v>
      </c>
      <c r="E20" s="16" t="s">
        <v>2194</v>
      </c>
      <c r="F20" s="14" t="s">
        <v>2192</v>
      </c>
      <c r="G20" s="17"/>
      <c r="H20" s="128" t="str">
        <f>Settings!$B$3&amp;".mit.ccpt.stl.drg.1"</f>
        <v>egy.mit.ccpt.stl.drg.1</v>
      </c>
      <c r="I20" t="s">
        <v>2195</v>
      </c>
      <c r="K20" s="18"/>
      <c r="L20" s="19">
        <f>Mitigation_Industry!L$299+Mitigation_Industry!L$310</f>
        <v>0</v>
      </c>
      <c r="M20" s="19">
        <f>Mitigation_Industry!M$299+Mitigation_Industry!M$310</f>
        <v>0</v>
      </c>
      <c r="N20" s="19">
        <f>Mitigation_Industry!N$299+Mitigation_Industry!N$310</f>
        <v>0</v>
      </c>
      <c r="O20" s="19">
        <f>Mitigation_Industry!O$299+Mitigation_Industry!O$310</f>
        <v>0</v>
      </c>
      <c r="P20" s="19">
        <f>Mitigation_Industry!P$299+Mitigation_Industry!P$310</f>
        <v>0</v>
      </c>
      <c r="Q20" s="19">
        <f>Mitigation_Industry!Q$299+Mitigation_Industry!Q$310</f>
        <v>0</v>
      </c>
      <c r="R20" s="19">
        <f>Mitigation_Industry!R$299+Mitigation_Industry!R$310</f>
        <v>0</v>
      </c>
      <c r="S20" s="19">
        <f>Mitigation_Industry!S$299+Mitigation_Industry!S$310</f>
        <v>0</v>
      </c>
      <c r="T20" s="19">
        <f>Mitigation_Industry!T$299+Mitigation_Industry!T$310</f>
        <v>0</v>
      </c>
      <c r="U20" s="19">
        <f>Mitigation_Industry!U$299+Mitigation_Industry!U$310</f>
        <v>0</v>
      </c>
      <c r="V20" s="19">
        <f>Mitigation_Industry!V$299+Mitigation_Industry!V$310</f>
        <v>0</v>
      </c>
      <c r="W20" s="19">
        <f>Mitigation_Industry!W$299+Mitigation_Industry!W$310</f>
        <v>0</v>
      </c>
      <c r="X20" s="19">
        <f>Mitigation_Industry!X$299+Mitigation_Industry!X$310</f>
        <v>0</v>
      </c>
      <c r="Y20" s="19">
        <f>Mitigation_Industry!Y$299+Mitigation_Industry!Y$310</f>
        <v>0</v>
      </c>
      <c r="Z20" s="19">
        <f>Mitigation_Industry!Z$299+Mitigation_Industry!Z$310</f>
        <v>0</v>
      </c>
      <c r="AA20" s="19">
        <f>Mitigation_Industry!AA$299+Mitigation_Industry!AA$310</f>
        <v>0</v>
      </c>
      <c r="AB20" s="19">
        <f>Mitigation_Industry!AB$299+Mitigation_Industry!AB$310</f>
        <v>0</v>
      </c>
      <c r="AC20" s="19">
        <f>Mitigation_Industry!AC$299+Mitigation_Industry!AC$310</f>
        <v>0</v>
      </c>
      <c r="AD20" s="19">
        <f>Mitigation_Industry!AD$299+Mitigation_Industry!AD$310</f>
        <v>0</v>
      </c>
      <c r="AE20" s="19">
        <f>Mitigation_Industry!AE$299+Mitigation_Industry!AE$310</f>
        <v>0</v>
      </c>
    </row>
    <row r="21" spans="1:35" customFormat="1" ht="14.25" x14ac:dyDescent="0.45">
      <c r="B21" s="14" t="s">
        <v>1438</v>
      </c>
      <c r="C21" s="14" t="s">
        <v>43</v>
      </c>
      <c r="D21" s="15" t="s">
        <v>2196</v>
      </c>
      <c r="E21" s="16" t="s">
        <v>2194</v>
      </c>
      <c r="F21" s="14" t="s">
        <v>2192</v>
      </c>
      <c r="G21" s="17"/>
      <c r="H21" s="128" t="str">
        <f>Settings!$B$3&amp;".mit.ccpt.stl.scr.1"</f>
        <v>egy.mit.ccpt.stl.scr.1</v>
      </c>
      <c r="K21" s="18"/>
      <c r="L21" s="19">
        <f>Mitigation_Industry!L$300+Mitigation_Industry!L$311</f>
        <v>0</v>
      </c>
      <c r="M21" s="19">
        <f>Mitigation_Industry!M$300+Mitigation_Industry!M$311</f>
        <v>0</v>
      </c>
      <c r="N21" s="19">
        <f>Mitigation_Industry!N$300+Mitigation_Industry!N$311</f>
        <v>0</v>
      </c>
      <c r="O21" s="19">
        <f>Mitigation_Industry!O$300+Mitigation_Industry!O$311</f>
        <v>0</v>
      </c>
      <c r="P21" s="19">
        <f>Mitigation_Industry!P$300+Mitigation_Industry!P$311</f>
        <v>0</v>
      </c>
      <c r="Q21" s="19">
        <f>Mitigation_Industry!Q$300+Mitigation_Industry!Q$311</f>
        <v>0</v>
      </c>
      <c r="R21" s="19">
        <f>Mitigation_Industry!R$300+Mitigation_Industry!R$311</f>
        <v>0</v>
      </c>
      <c r="S21" s="19">
        <f>Mitigation_Industry!S$300+Mitigation_Industry!S$311</f>
        <v>0</v>
      </c>
      <c r="T21" s="19">
        <f>Mitigation_Industry!T$300+Mitigation_Industry!T$311</f>
        <v>0</v>
      </c>
      <c r="U21" s="19">
        <f>Mitigation_Industry!U$300+Mitigation_Industry!U$311</f>
        <v>0</v>
      </c>
      <c r="V21" s="19">
        <f>Mitigation_Industry!V$300+Mitigation_Industry!V$311</f>
        <v>0</v>
      </c>
      <c r="W21" s="19">
        <f>Mitigation_Industry!W$300+Mitigation_Industry!W$311</f>
        <v>0</v>
      </c>
      <c r="X21" s="19">
        <f>Mitigation_Industry!X$300+Mitigation_Industry!X$311</f>
        <v>0</v>
      </c>
      <c r="Y21" s="19">
        <f>Mitigation_Industry!Y$300+Mitigation_Industry!Y$311</f>
        <v>0</v>
      </c>
      <c r="Z21" s="19">
        <f>Mitigation_Industry!Z$300+Mitigation_Industry!Z$311</f>
        <v>0</v>
      </c>
      <c r="AA21" s="19">
        <f>Mitigation_Industry!AA$300+Mitigation_Industry!AA$311</f>
        <v>0</v>
      </c>
      <c r="AB21" s="19">
        <f>Mitigation_Industry!AB$300+Mitigation_Industry!AB$311</f>
        <v>0</v>
      </c>
      <c r="AC21" s="19">
        <f>Mitigation_Industry!AC$300+Mitigation_Industry!AC$311</f>
        <v>0</v>
      </c>
      <c r="AD21" s="19">
        <f>Mitigation_Industry!AD$300+Mitigation_Industry!AD$311</f>
        <v>0</v>
      </c>
      <c r="AE21" s="19">
        <f>Mitigation_Industry!AE$300+Mitigation_Industry!AE$311</f>
        <v>0</v>
      </c>
    </row>
    <row r="22" spans="1:35" customFormat="1" ht="14.25" x14ac:dyDescent="0.45">
      <c r="B22" s="14" t="s">
        <v>1441</v>
      </c>
      <c r="C22" s="14" t="s">
        <v>43</v>
      </c>
      <c r="D22" s="15" t="s">
        <v>2197</v>
      </c>
      <c r="E22" s="16" t="s">
        <v>2194</v>
      </c>
      <c r="F22" s="14" t="s">
        <v>2192</v>
      </c>
      <c r="G22" s="17"/>
      <c r="H22" s="128" t="str">
        <f>Settings!$B$3&amp;".mit.ccpt.stl.bof.1"</f>
        <v>egy.mit.ccpt.stl.bof.1</v>
      </c>
      <c r="K22" s="18"/>
      <c r="L22" s="19">
        <f>Mitigation_Industry!L$301+Mitigation_Industry!L$312</f>
        <v>0</v>
      </c>
      <c r="M22" s="19">
        <f>Mitigation_Industry!M$301+Mitigation_Industry!M$312</f>
        <v>0</v>
      </c>
      <c r="N22" s="19">
        <f>Mitigation_Industry!N$301+Mitigation_Industry!N$312</f>
        <v>0</v>
      </c>
      <c r="O22" s="19">
        <f>Mitigation_Industry!O$301+Mitigation_Industry!O$312</f>
        <v>0</v>
      </c>
      <c r="P22" s="19">
        <f>Mitigation_Industry!P$301+Mitigation_Industry!P$312</f>
        <v>0</v>
      </c>
      <c r="Q22" s="19">
        <f>Mitigation_Industry!Q$301+Mitigation_Industry!Q$312</f>
        <v>0</v>
      </c>
      <c r="R22" s="19">
        <f>Mitigation_Industry!R$301+Mitigation_Industry!R$312</f>
        <v>0</v>
      </c>
      <c r="S22" s="19">
        <f>Mitigation_Industry!S$301+Mitigation_Industry!S$312</f>
        <v>0</v>
      </c>
      <c r="T22" s="19">
        <f>Mitigation_Industry!T$301+Mitigation_Industry!T$312</f>
        <v>0</v>
      </c>
      <c r="U22" s="19">
        <f>Mitigation_Industry!U$301+Mitigation_Industry!U$312</f>
        <v>0</v>
      </c>
      <c r="V22" s="19">
        <f>Mitigation_Industry!V$301+Mitigation_Industry!V$312</f>
        <v>0</v>
      </c>
      <c r="W22" s="19">
        <f>Mitigation_Industry!W$301+Mitigation_Industry!W$312</f>
        <v>0</v>
      </c>
      <c r="X22" s="19">
        <f>Mitigation_Industry!X$301+Mitigation_Industry!X$312</f>
        <v>0</v>
      </c>
      <c r="Y22" s="19">
        <f>Mitigation_Industry!Y$301+Mitigation_Industry!Y$312</f>
        <v>0</v>
      </c>
      <c r="Z22" s="19">
        <f>Mitigation_Industry!Z$301+Mitigation_Industry!Z$312</f>
        <v>0</v>
      </c>
      <c r="AA22" s="19">
        <f>Mitigation_Industry!AA$301+Mitigation_Industry!AA$312</f>
        <v>0</v>
      </c>
      <c r="AB22" s="19">
        <f>Mitigation_Industry!AB$301+Mitigation_Industry!AB$312</f>
        <v>0</v>
      </c>
      <c r="AC22" s="19">
        <f>Mitigation_Industry!AC$301+Mitigation_Industry!AC$312</f>
        <v>0</v>
      </c>
      <c r="AD22" s="19">
        <f>Mitigation_Industry!AD$301+Mitigation_Industry!AD$312</f>
        <v>0</v>
      </c>
      <c r="AE22" s="19">
        <f>Mitigation_Industry!AE$301+Mitigation_Industry!AE$312</f>
        <v>0</v>
      </c>
    </row>
    <row r="23" spans="1:35" customFormat="1" ht="14.25" x14ac:dyDescent="0.45">
      <c r="B23" s="14" t="s">
        <v>1444</v>
      </c>
      <c r="C23" s="14" t="s">
        <v>113</v>
      </c>
      <c r="D23" s="15" t="s">
        <v>2198</v>
      </c>
      <c r="E23" s="16" t="s">
        <v>2194</v>
      </c>
      <c r="F23" s="14" t="s">
        <v>2192</v>
      </c>
      <c r="G23" s="17"/>
      <c r="H23" s="128" t="str">
        <f>Settings!$B$3&amp;".mit.ccpt.cmt.dry.1"</f>
        <v>egy.mit.ccpt.cmt.dry.1</v>
      </c>
      <c r="K23" s="18"/>
      <c r="L23" s="19">
        <f>Mitigation_Industry!L$302+Mitigation_Industry!L$313</f>
        <v>0</v>
      </c>
      <c r="M23" s="19">
        <f>Mitigation_Industry!M$302+Mitigation_Industry!M$313</f>
        <v>0</v>
      </c>
      <c r="N23" s="19">
        <f>Mitigation_Industry!N$302+Mitigation_Industry!N$313</f>
        <v>0</v>
      </c>
      <c r="O23" s="19">
        <f>Mitigation_Industry!O$302+Mitigation_Industry!O$313</f>
        <v>0</v>
      </c>
      <c r="P23" s="19">
        <f>Mitigation_Industry!P$302+Mitigation_Industry!P$313</f>
        <v>0</v>
      </c>
      <c r="Q23" s="19">
        <f>Mitigation_Industry!Q$302+Mitigation_Industry!Q$313</f>
        <v>0</v>
      </c>
      <c r="R23" s="19">
        <f>Mitigation_Industry!R$302+Mitigation_Industry!R$313</f>
        <v>0</v>
      </c>
      <c r="S23" s="19">
        <f>Mitigation_Industry!S$302+Mitigation_Industry!S$313</f>
        <v>0</v>
      </c>
      <c r="T23" s="19">
        <f>Mitigation_Industry!T$302+Mitigation_Industry!T$313</f>
        <v>0</v>
      </c>
      <c r="U23" s="19">
        <f>Mitigation_Industry!U$302+Mitigation_Industry!U$313</f>
        <v>0</v>
      </c>
      <c r="V23" s="19">
        <f>Mitigation_Industry!V$302+Mitigation_Industry!V$313</f>
        <v>0</v>
      </c>
      <c r="W23" s="19">
        <f>Mitigation_Industry!W$302+Mitigation_Industry!W$313</f>
        <v>0</v>
      </c>
      <c r="X23" s="19">
        <f>Mitigation_Industry!X$302+Mitigation_Industry!X$313</f>
        <v>0</v>
      </c>
      <c r="Y23" s="19">
        <f>Mitigation_Industry!Y$302+Mitigation_Industry!Y$313</f>
        <v>0</v>
      </c>
      <c r="Z23" s="19">
        <f>Mitigation_Industry!Z$302+Mitigation_Industry!Z$313</f>
        <v>0</v>
      </c>
      <c r="AA23" s="19">
        <f>Mitigation_Industry!AA$302+Mitigation_Industry!AA$313</f>
        <v>0</v>
      </c>
      <c r="AB23" s="19">
        <f>Mitigation_Industry!AB$302+Mitigation_Industry!AB$313</f>
        <v>0</v>
      </c>
      <c r="AC23" s="19">
        <f>Mitigation_Industry!AC$302+Mitigation_Industry!AC$313</f>
        <v>0</v>
      </c>
      <c r="AD23" s="19">
        <f>Mitigation_Industry!AD$302+Mitigation_Industry!AD$313</f>
        <v>0</v>
      </c>
      <c r="AE23" s="19">
        <f>Mitigation_Industry!AE$302+Mitigation_Industry!AE$313</f>
        <v>0</v>
      </c>
    </row>
    <row r="24" spans="1:35" customFormat="1" ht="14.25" x14ac:dyDescent="0.45">
      <c r="B24" s="14" t="s">
        <v>1447</v>
      </c>
      <c r="C24" s="14" t="s">
        <v>117</v>
      </c>
      <c r="D24" s="15" t="s">
        <v>2199</v>
      </c>
      <c r="E24" s="16" t="s">
        <v>2194</v>
      </c>
      <c r="F24" s="14" t="s">
        <v>2192</v>
      </c>
      <c r="G24" s="17"/>
      <c r="H24" s="128" t="str">
        <f>Settings!$B$3&amp;".mit.ccpt.frt.amc.1"</f>
        <v>egy.mit.ccpt.frt.amc.1</v>
      </c>
      <c r="K24" s="18"/>
      <c r="L24" s="19">
        <f>Mitigation_Industry!L$303+Mitigation_Industry!L$314</f>
        <v>0</v>
      </c>
      <c r="M24" s="19">
        <f>Mitigation_Industry!M$303+Mitigation_Industry!M$314</f>
        <v>0</v>
      </c>
      <c r="N24" s="19">
        <f>Mitigation_Industry!N$303+Mitigation_Industry!N$314</f>
        <v>0</v>
      </c>
      <c r="O24" s="19">
        <f>Mitigation_Industry!O$303+Mitigation_Industry!O$314</f>
        <v>0</v>
      </c>
      <c r="P24" s="19">
        <f>Mitigation_Industry!P$303+Mitigation_Industry!P$314</f>
        <v>0</v>
      </c>
      <c r="Q24" s="19">
        <f>Mitigation_Industry!Q$303+Mitigation_Industry!Q$314</f>
        <v>0</v>
      </c>
      <c r="R24" s="19">
        <f>Mitigation_Industry!R$303+Mitigation_Industry!R$314</f>
        <v>0</v>
      </c>
      <c r="S24" s="19">
        <f>Mitigation_Industry!S$303+Mitigation_Industry!S$314</f>
        <v>0</v>
      </c>
      <c r="T24" s="19">
        <f>Mitigation_Industry!T$303+Mitigation_Industry!T$314</f>
        <v>0</v>
      </c>
      <c r="U24" s="19">
        <f>Mitigation_Industry!U$303+Mitigation_Industry!U$314</f>
        <v>0</v>
      </c>
      <c r="V24" s="19">
        <f>Mitigation_Industry!V$303+Mitigation_Industry!V$314</f>
        <v>0</v>
      </c>
      <c r="W24" s="19">
        <f>Mitigation_Industry!W$303+Mitigation_Industry!W$314</f>
        <v>0</v>
      </c>
      <c r="X24" s="19">
        <f>Mitigation_Industry!X$303+Mitigation_Industry!X$314</f>
        <v>0</v>
      </c>
      <c r="Y24" s="19">
        <f>Mitigation_Industry!Y$303+Mitigation_Industry!Y$314</f>
        <v>0</v>
      </c>
      <c r="Z24" s="19">
        <f>Mitigation_Industry!Z$303+Mitigation_Industry!Z$314</f>
        <v>0</v>
      </c>
      <c r="AA24" s="19">
        <f>Mitigation_Industry!AA$303+Mitigation_Industry!AA$314</f>
        <v>0</v>
      </c>
      <c r="AB24" s="19">
        <f>Mitigation_Industry!AB$303+Mitigation_Industry!AB$314</f>
        <v>0</v>
      </c>
      <c r="AC24" s="19">
        <f>Mitigation_Industry!AC$303+Mitigation_Industry!AC$314</f>
        <v>0</v>
      </c>
      <c r="AD24" s="19">
        <f>Mitigation_Industry!AD$303+Mitigation_Industry!AD$314</f>
        <v>0</v>
      </c>
      <c r="AE24" s="19">
        <f>Mitigation_Industry!AE$303+Mitigation_Industry!AE$314</f>
        <v>0</v>
      </c>
    </row>
    <row r="25" spans="1:35" customFormat="1" ht="14.25" x14ac:dyDescent="0.45">
      <c r="B25" s="14" t="s">
        <v>1450</v>
      </c>
      <c r="C25" s="14" t="s">
        <v>117</v>
      </c>
      <c r="D25" s="15" t="s">
        <v>2200</v>
      </c>
      <c r="E25" s="16" t="s">
        <v>2194</v>
      </c>
      <c r="F25" s="14" t="s">
        <v>2192</v>
      </c>
      <c r="G25" s="17"/>
      <c r="H25" s="128" t="str">
        <f>Settings!$B$3&amp;".mit.ccpt.frt.ure.1"</f>
        <v>egy.mit.ccpt.frt.ure.1</v>
      </c>
      <c r="K25" s="18"/>
      <c r="L25" s="19">
        <f>Mitigation_Industry!L$304+Mitigation_Industry!L$315</f>
        <v>0</v>
      </c>
      <c r="M25" s="19">
        <f>Mitigation_Industry!M$304+Mitigation_Industry!M$315</f>
        <v>0</v>
      </c>
      <c r="N25" s="19">
        <f>Mitigation_Industry!N$304+Mitigation_Industry!N$315</f>
        <v>0</v>
      </c>
      <c r="O25" s="19">
        <f>Mitigation_Industry!O$304+Mitigation_Industry!O$315</f>
        <v>0</v>
      </c>
      <c r="P25" s="19">
        <f>Mitigation_Industry!P$304+Mitigation_Industry!P$315</f>
        <v>0</v>
      </c>
      <c r="Q25" s="19">
        <f>Mitigation_Industry!Q$304+Mitigation_Industry!Q$315</f>
        <v>0</v>
      </c>
      <c r="R25" s="19">
        <f>Mitigation_Industry!R$304+Mitigation_Industry!R$315</f>
        <v>0</v>
      </c>
      <c r="S25" s="19">
        <f>Mitigation_Industry!S$304+Mitigation_Industry!S$315</f>
        <v>0</v>
      </c>
      <c r="T25" s="19">
        <f>Mitigation_Industry!T$304+Mitigation_Industry!T$315</f>
        <v>0</v>
      </c>
      <c r="U25" s="19">
        <f>Mitigation_Industry!U$304+Mitigation_Industry!U$315</f>
        <v>0</v>
      </c>
      <c r="V25" s="19">
        <f>Mitigation_Industry!V$304+Mitigation_Industry!V$315</f>
        <v>0</v>
      </c>
      <c r="W25" s="19">
        <f>Mitigation_Industry!W$304+Mitigation_Industry!W$315</f>
        <v>0</v>
      </c>
      <c r="X25" s="19">
        <f>Mitigation_Industry!X$304+Mitigation_Industry!X$315</f>
        <v>0</v>
      </c>
      <c r="Y25" s="19">
        <f>Mitigation_Industry!Y$304+Mitigation_Industry!Y$315</f>
        <v>0</v>
      </c>
      <c r="Z25" s="19">
        <f>Mitigation_Industry!Z$304+Mitigation_Industry!Z$315</f>
        <v>0</v>
      </c>
      <c r="AA25" s="19">
        <f>Mitigation_Industry!AA$304+Mitigation_Industry!AA$315</f>
        <v>0</v>
      </c>
      <c r="AB25" s="19">
        <f>Mitigation_Industry!AB$304+Mitigation_Industry!AB$315</f>
        <v>0</v>
      </c>
      <c r="AC25" s="19">
        <f>Mitigation_Industry!AC$304+Mitigation_Industry!AC$315</f>
        <v>0</v>
      </c>
      <c r="AD25" s="19">
        <f>Mitigation_Industry!AD$304+Mitigation_Industry!AD$315</f>
        <v>0</v>
      </c>
      <c r="AE25" s="19">
        <f>Mitigation_Industry!AE$304+Mitigation_Industry!AE$315</f>
        <v>0</v>
      </c>
    </row>
    <row r="26" spans="1:35" customFormat="1" ht="14.25" x14ac:dyDescent="0.45">
      <c r="B26" s="14" t="s">
        <v>1453</v>
      </c>
      <c r="C26" s="14" t="s">
        <v>117</v>
      </c>
      <c r="D26" s="15" t="s">
        <v>2201</v>
      </c>
      <c r="E26" s="16" t="s">
        <v>2194</v>
      </c>
      <c r="F26" s="14" t="s">
        <v>2192</v>
      </c>
      <c r="G26" s="17"/>
      <c r="H26" s="128" t="str">
        <f>Settings!$B$3&amp;".mit.ccpt.frt.nit.1"</f>
        <v>egy.mit.ccpt.frt.nit.1</v>
      </c>
      <c r="K26" s="18"/>
      <c r="L26" s="19">
        <f>Mitigation_Industry!L$305+Mitigation_Industry!L$316</f>
        <v>0</v>
      </c>
      <c r="M26" s="19">
        <f>Mitigation_Industry!M$305+Mitigation_Industry!M$316</f>
        <v>0</v>
      </c>
      <c r="N26" s="19">
        <f>Mitigation_Industry!N$305+Mitigation_Industry!N$316</f>
        <v>0</v>
      </c>
      <c r="O26" s="19">
        <f>Mitigation_Industry!O$305+Mitigation_Industry!O$316</f>
        <v>0</v>
      </c>
      <c r="P26" s="19">
        <f>Mitigation_Industry!P$305+Mitigation_Industry!P$316</f>
        <v>0</v>
      </c>
      <c r="Q26" s="19">
        <f>Mitigation_Industry!Q$305+Mitigation_Industry!Q$316</f>
        <v>0</v>
      </c>
      <c r="R26" s="19">
        <f>Mitigation_Industry!R$305+Mitigation_Industry!R$316</f>
        <v>0</v>
      </c>
      <c r="S26" s="19">
        <f>Mitigation_Industry!S$305+Mitigation_Industry!S$316</f>
        <v>0</v>
      </c>
      <c r="T26" s="19">
        <f>Mitigation_Industry!T$305+Mitigation_Industry!T$316</f>
        <v>0</v>
      </c>
      <c r="U26" s="19">
        <f>Mitigation_Industry!U$305+Mitigation_Industry!U$316</f>
        <v>0</v>
      </c>
      <c r="V26" s="19">
        <f>Mitigation_Industry!V$305+Mitigation_Industry!V$316</f>
        <v>0</v>
      </c>
      <c r="W26" s="19">
        <f>Mitigation_Industry!W$305+Mitigation_Industry!W$316</f>
        <v>0</v>
      </c>
      <c r="X26" s="19">
        <f>Mitigation_Industry!X$305+Mitigation_Industry!X$316</f>
        <v>0</v>
      </c>
      <c r="Y26" s="19">
        <f>Mitigation_Industry!Y$305+Mitigation_Industry!Y$316</f>
        <v>0</v>
      </c>
      <c r="Z26" s="19">
        <f>Mitigation_Industry!Z$305+Mitigation_Industry!Z$316</f>
        <v>0</v>
      </c>
      <c r="AA26" s="19">
        <f>Mitigation_Industry!AA$305+Mitigation_Industry!AA$316</f>
        <v>0</v>
      </c>
      <c r="AB26" s="19">
        <f>Mitigation_Industry!AB$305+Mitigation_Industry!AB$316</f>
        <v>0</v>
      </c>
      <c r="AC26" s="19">
        <f>Mitigation_Industry!AC$305+Mitigation_Industry!AC$316</f>
        <v>0</v>
      </c>
      <c r="AD26" s="19">
        <f>Mitigation_Industry!AD$305+Mitigation_Industry!AD$316</f>
        <v>0</v>
      </c>
      <c r="AE26" s="19">
        <f>Mitigation_Industry!AE$305+Mitigation_Industry!AE$316</f>
        <v>0</v>
      </c>
    </row>
    <row r="27" spans="1:35" customFormat="1" ht="14.25" x14ac:dyDescent="0.45">
      <c r="B27" s="14" t="s">
        <v>1456</v>
      </c>
      <c r="C27" s="14" t="s">
        <v>115</v>
      </c>
      <c r="D27" s="15" t="s">
        <v>2202</v>
      </c>
      <c r="E27" s="16" t="s">
        <v>2194</v>
      </c>
      <c r="F27" s="14" t="s">
        <v>2192</v>
      </c>
      <c r="G27" s="17"/>
      <c r="H27" s="128" t="str">
        <f>Settings!$B$3&amp;".mit.ccpt.alu.prp.1"</f>
        <v>egy.mit.ccpt.alu.prp.1</v>
      </c>
      <c r="K27" s="18"/>
      <c r="L27" s="19">
        <f>Mitigation_Industry!L$306+Mitigation_Industry!L$317</f>
        <v>0</v>
      </c>
      <c r="M27" s="19">
        <f>Mitigation_Industry!M$306+Mitigation_Industry!M$317</f>
        <v>0</v>
      </c>
      <c r="N27" s="19">
        <f>Mitigation_Industry!N$306+Mitigation_Industry!N$317</f>
        <v>0</v>
      </c>
      <c r="O27" s="19">
        <f>Mitigation_Industry!O$306+Mitigation_Industry!O$317</f>
        <v>0</v>
      </c>
      <c r="P27" s="19">
        <f>Mitigation_Industry!P$306+Mitigation_Industry!P$317</f>
        <v>0</v>
      </c>
      <c r="Q27" s="19">
        <f>Mitigation_Industry!Q$306+Mitigation_Industry!Q$317</f>
        <v>0</v>
      </c>
      <c r="R27" s="19">
        <f>Mitigation_Industry!R$306+Mitigation_Industry!R$317</f>
        <v>0</v>
      </c>
      <c r="S27" s="19">
        <f>Mitigation_Industry!S$306+Mitigation_Industry!S$317</f>
        <v>0</v>
      </c>
      <c r="T27" s="19">
        <f>Mitigation_Industry!T$306+Mitigation_Industry!T$317</f>
        <v>0</v>
      </c>
      <c r="U27" s="19">
        <f>Mitigation_Industry!U$306+Mitigation_Industry!U$317</f>
        <v>0</v>
      </c>
      <c r="V27" s="19">
        <f>Mitigation_Industry!V$306+Mitigation_Industry!V$317</f>
        <v>0</v>
      </c>
      <c r="W27" s="19">
        <f>Mitigation_Industry!W$306+Mitigation_Industry!W$317</f>
        <v>0</v>
      </c>
      <c r="X27" s="19">
        <f>Mitigation_Industry!X$306+Mitigation_Industry!X$317</f>
        <v>0</v>
      </c>
      <c r="Y27" s="19">
        <f>Mitigation_Industry!Y$306+Mitigation_Industry!Y$317</f>
        <v>0</v>
      </c>
      <c r="Z27" s="19">
        <f>Mitigation_Industry!Z$306+Mitigation_Industry!Z$317</f>
        <v>0</v>
      </c>
      <c r="AA27" s="19">
        <f>Mitigation_Industry!AA$306+Mitigation_Industry!AA$317</f>
        <v>0</v>
      </c>
      <c r="AB27" s="19">
        <f>Mitigation_Industry!AB$306+Mitigation_Industry!AB$317</f>
        <v>0</v>
      </c>
      <c r="AC27" s="19">
        <f>Mitigation_Industry!AC$306+Mitigation_Industry!AC$317</f>
        <v>0</v>
      </c>
      <c r="AD27" s="19">
        <f>Mitigation_Industry!AD$306+Mitigation_Industry!AD$317</f>
        <v>0</v>
      </c>
      <c r="AE27" s="19">
        <f>Mitigation_Industry!AE$306+Mitigation_Industry!AE$317</f>
        <v>0</v>
      </c>
    </row>
    <row r="29" spans="1:35" customFormat="1" ht="14.25" x14ac:dyDescent="0.45">
      <c r="A29" s="11"/>
      <c r="B29" s="6"/>
      <c r="C29" s="7" t="s">
        <v>2203</v>
      </c>
      <c r="D29" s="6" t="s">
        <v>1488</v>
      </c>
      <c r="E29" s="7" t="s">
        <v>35</v>
      </c>
      <c r="F29" s="7" t="s">
        <v>45</v>
      </c>
      <c r="G29" s="7" t="s">
        <v>37</v>
      </c>
      <c r="H29" s="12" t="s">
        <v>38</v>
      </c>
      <c r="I29" s="6" t="s">
        <v>39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1435</v>
      </c>
      <c r="C30" s="14" t="s">
        <v>43</v>
      </c>
      <c r="D30" s="15" t="s">
        <v>2204</v>
      </c>
      <c r="E30" s="16" t="s">
        <v>2194</v>
      </c>
      <c r="F30" s="14" t="s">
        <v>2203</v>
      </c>
      <c r="G30" s="17"/>
      <c r="H30" s="128" t="str">
        <f>Settings!$B$3&amp;".mit.obrpu.stl.drg.1"</f>
        <v>egy.mit.obrpu.stl.drg.1</v>
      </c>
      <c r="I30" t="s">
        <v>2205</v>
      </c>
      <c r="K30" s="18"/>
      <c r="L30" s="19">
        <f t="shared" ref="L30:AE30" si="0">L$7*L$10</f>
        <v>0</v>
      </c>
      <c r="M30" s="19">
        <f t="shared" si="0"/>
        <v>0</v>
      </c>
      <c r="N30" s="19">
        <f t="shared" si="0"/>
        <v>0</v>
      </c>
      <c r="O30" s="19">
        <f t="shared" si="0"/>
        <v>0</v>
      </c>
      <c r="P30" s="19">
        <f t="shared" si="0"/>
        <v>0</v>
      </c>
      <c r="Q30" s="19">
        <f t="shared" si="0"/>
        <v>0</v>
      </c>
      <c r="R30" s="19">
        <f t="shared" si="0"/>
        <v>0</v>
      </c>
      <c r="S30" s="19">
        <f t="shared" si="0"/>
        <v>0</v>
      </c>
      <c r="T30" s="19">
        <f t="shared" si="0"/>
        <v>0</v>
      </c>
      <c r="U30" s="19">
        <f t="shared" si="0"/>
        <v>0</v>
      </c>
      <c r="V30" s="19">
        <f t="shared" si="0"/>
        <v>0</v>
      </c>
      <c r="W30" s="19">
        <f t="shared" si="0"/>
        <v>0</v>
      </c>
      <c r="X30" s="19">
        <f t="shared" si="0"/>
        <v>0</v>
      </c>
      <c r="Y30" s="19">
        <f t="shared" si="0"/>
        <v>0</v>
      </c>
      <c r="Z30" s="19">
        <f t="shared" si="0"/>
        <v>0</v>
      </c>
      <c r="AA30" s="19">
        <f t="shared" si="0"/>
        <v>0</v>
      </c>
      <c r="AB30" s="19">
        <f t="shared" si="0"/>
        <v>0</v>
      </c>
      <c r="AC30" s="19">
        <f t="shared" si="0"/>
        <v>0</v>
      </c>
      <c r="AD30" s="19">
        <f t="shared" si="0"/>
        <v>0</v>
      </c>
      <c r="AE30" s="19">
        <f t="shared" si="0"/>
        <v>0</v>
      </c>
    </row>
    <row r="31" spans="1:35" customFormat="1" ht="14.25" x14ac:dyDescent="0.45">
      <c r="B31" s="14" t="s">
        <v>1438</v>
      </c>
      <c r="C31" s="14" t="s">
        <v>43</v>
      </c>
      <c r="D31" s="15" t="s">
        <v>2206</v>
      </c>
      <c r="E31" s="16" t="s">
        <v>2194</v>
      </c>
      <c r="F31" s="14" t="s">
        <v>2203</v>
      </c>
      <c r="G31" s="17"/>
      <c r="H31" s="128" t="str">
        <f>Settings!$B$3&amp;".mit.obrpu.stl.scr.1"</f>
        <v>egy.mit.obrpu.stl.scr.1</v>
      </c>
      <c r="K31" s="18"/>
      <c r="L31" s="19">
        <f t="shared" ref="L31:AE31" si="1">L$7*L$11</f>
        <v>0</v>
      </c>
      <c r="M31" s="19">
        <f t="shared" si="1"/>
        <v>0</v>
      </c>
      <c r="N31" s="19">
        <f t="shared" si="1"/>
        <v>0</v>
      </c>
      <c r="O31" s="19">
        <f t="shared" si="1"/>
        <v>0</v>
      </c>
      <c r="P31" s="19">
        <f t="shared" si="1"/>
        <v>0</v>
      </c>
      <c r="Q31" s="19">
        <f t="shared" si="1"/>
        <v>0</v>
      </c>
      <c r="R31" s="19">
        <f t="shared" si="1"/>
        <v>0</v>
      </c>
      <c r="S31" s="19">
        <f t="shared" si="1"/>
        <v>0</v>
      </c>
      <c r="T31" s="19">
        <f t="shared" si="1"/>
        <v>0</v>
      </c>
      <c r="U31" s="19">
        <f t="shared" si="1"/>
        <v>0</v>
      </c>
      <c r="V31" s="19">
        <f t="shared" si="1"/>
        <v>0</v>
      </c>
      <c r="W31" s="19">
        <f t="shared" si="1"/>
        <v>0</v>
      </c>
      <c r="X31" s="19">
        <f t="shared" si="1"/>
        <v>0</v>
      </c>
      <c r="Y31" s="19">
        <f t="shared" si="1"/>
        <v>0</v>
      </c>
      <c r="Z31" s="19">
        <f t="shared" si="1"/>
        <v>0</v>
      </c>
      <c r="AA31" s="19">
        <f t="shared" si="1"/>
        <v>0</v>
      </c>
      <c r="AB31" s="19">
        <f t="shared" si="1"/>
        <v>0</v>
      </c>
      <c r="AC31" s="19">
        <f t="shared" si="1"/>
        <v>0</v>
      </c>
      <c r="AD31" s="19">
        <f t="shared" si="1"/>
        <v>0</v>
      </c>
      <c r="AE31" s="19">
        <f t="shared" si="1"/>
        <v>0</v>
      </c>
    </row>
    <row r="32" spans="1:35" customFormat="1" ht="14.25" x14ac:dyDescent="0.45">
      <c r="B32" s="14" t="s">
        <v>1441</v>
      </c>
      <c r="C32" s="14" t="s">
        <v>43</v>
      </c>
      <c r="D32" s="15" t="s">
        <v>2207</v>
      </c>
      <c r="E32" s="16" t="s">
        <v>2194</v>
      </c>
      <c r="F32" s="14" t="s">
        <v>2203</v>
      </c>
      <c r="G32" s="17"/>
      <c r="H32" s="128" t="str">
        <f>Settings!$B$3&amp;".mit.obrpu.stl.bof.1"</f>
        <v>egy.mit.obrpu.stl.bof.1</v>
      </c>
      <c r="K32" s="18"/>
      <c r="L32" s="19">
        <f t="shared" ref="L32:AE32" si="2">L$7*L$12</f>
        <v>0</v>
      </c>
      <c r="M32" s="19">
        <f t="shared" si="2"/>
        <v>0</v>
      </c>
      <c r="N32" s="19">
        <f t="shared" si="2"/>
        <v>0</v>
      </c>
      <c r="O32" s="19">
        <f t="shared" si="2"/>
        <v>0</v>
      </c>
      <c r="P32" s="19">
        <f t="shared" si="2"/>
        <v>0</v>
      </c>
      <c r="Q32" s="19">
        <f t="shared" si="2"/>
        <v>0</v>
      </c>
      <c r="R32" s="19">
        <f t="shared" si="2"/>
        <v>0</v>
      </c>
      <c r="S32" s="19">
        <f t="shared" si="2"/>
        <v>0</v>
      </c>
      <c r="T32" s="19">
        <f t="shared" si="2"/>
        <v>0</v>
      </c>
      <c r="U32" s="19">
        <f t="shared" si="2"/>
        <v>0</v>
      </c>
      <c r="V32" s="19">
        <f t="shared" si="2"/>
        <v>0</v>
      </c>
      <c r="W32" s="19">
        <f t="shared" si="2"/>
        <v>0</v>
      </c>
      <c r="X32" s="19">
        <f t="shared" si="2"/>
        <v>0</v>
      </c>
      <c r="Y32" s="19">
        <f t="shared" si="2"/>
        <v>0</v>
      </c>
      <c r="Z32" s="19">
        <f t="shared" si="2"/>
        <v>0</v>
      </c>
      <c r="AA32" s="19">
        <f t="shared" si="2"/>
        <v>0</v>
      </c>
      <c r="AB32" s="19">
        <f t="shared" si="2"/>
        <v>0</v>
      </c>
      <c r="AC32" s="19">
        <f t="shared" si="2"/>
        <v>0</v>
      </c>
      <c r="AD32" s="19">
        <f t="shared" si="2"/>
        <v>0</v>
      </c>
      <c r="AE32" s="19">
        <f t="shared" si="2"/>
        <v>0</v>
      </c>
    </row>
    <row r="33" spans="1:35" customFormat="1" ht="14.25" x14ac:dyDescent="0.45">
      <c r="B33" s="14" t="s">
        <v>1444</v>
      </c>
      <c r="C33" s="14" t="s">
        <v>113</v>
      </c>
      <c r="D33" s="15" t="s">
        <v>2208</v>
      </c>
      <c r="E33" s="16" t="s">
        <v>2194</v>
      </c>
      <c r="F33" s="14" t="s">
        <v>2203</v>
      </c>
      <c r="G33" s="17"/>
      <c r="H33" s="128" t="str">
        <f>Settings!$B$3&amp;".mit.obrpu.cmt.dry.1"</f>
        <v>egy.mit.obrpu.cmt.dry.1</v>
      </c>
      <c r="K33" s="18"/>
      <c r="L33" s="19">
        <f t="shared" ref="L33:AE33" si="3">L$7*L$13</f>
        <v>0</v>
      </c>
      <c r="M33" s="19">
        <f t="shared" si="3"/>
        <v>0</v>
      </c>
      <c r="N33" s="19">
        <f t="shared" si="3"/>
        <v>0</v>
      </c>
      <c r="O33" s="19">
        <f t="shared" si="3"/>
        <v>0</v>
      </c>
      <c r="P33" s="19">
        <f t="shared" si="3"/>
        <v>0</v>
      </c>
      <c r="Q33" s="19">
        <f t="shared" si="3"/>
        <v>0</v>
      </c>
      <c r="R33" s="19">
        <f t="shared" si="3"/>
        <v>0</v>
      </c>
      <c r="S33" s="19">
        <f t="shared" si="3"/>
        <v>0</v>
      </c>
      <c r="T33" s="19">
        <f t="shared" si="3"/>
        <v>0</v>
      </c>
      <c r="U33" s="19">
        <f t="shared" si="3"/>
        <v>0</v>
      </c>
      <c r="V33" s="19">
        <f t="shared" si="3"/>
        <v>0</v>
      </c>
      <c r="W33" s="19">
        <f t="shared" si="3"/>
        <v>0</v>
      </c>
      <c r="X33" s="19">
        <f t="shared" si="3"/>
        <v>0</v>
      </c>
      <c r="Y33" s="19">
        <f t="shared" si="3"/>
        <v>0</v>
      </c>
      <c r="Z33" s="19">
        <f t="shared" si="3"/>
        <v>0</v>
      </c>
      <c r="AA33" s="19">
        <f t="shared" si="3"/>
        <v>0</v>
      </c>
      <c r="AB33" s="19">
        <f t="shared" si="3"/>
        <v>0</v>
      </c>
      <c r="AC33" s="19">
        <f t="shared" si="3"/>
        <v>0</v>
      </c>
      <c r="AD33" s="19">
        <f t="shared" si="3"/>
        <v>0</v>
      </c>
      <c r="AE33" s="19">
        <f t="shared" si="3"/>
        <v>0</v>
      </c>
    </row>
    <row r="34" spans="1:35" customFormat="1" ht="14.25" x14ac:dyDescent="0.45">
      <c r="B34" s="14" t="s">
        <v>1447</v>
      </c>
      <c r="C34" s="14" t="s">
        <v>117</v>
      </c>
      <c r="D34" s="15" t="s">
        <v>2209</v>
      </c>
      <c r="E34" s="16" t="s">
        <v>2194</v>
      </c>
      <c r="F34" s="14" t="s">
        <v>2203</v>
      </c>
      <c r="G34" s="17"/>
      <c r="H34" s="128" t="str">
        <f>Settings!$B$3&amp;".mit.obrpu.frt.amc.1"</f>
        <v>egy.mit.obrpu.frt.amc.1</v>
      </c>
      <c r="K34" s="18"/>
      <c r="L34" s="19">
        <f t="shared" ref="L34:AE34" si="4">L$7*L$14</f>
        <v>0</v>
      </c>
      <c r="M34" s="19">
        <f t="shared" si="4"/>
        <v>0</v>
      </c>
      <c r="N34" s="19">
        <f t="shared" si="4"/>
        <v>0</v>
      </c>
      <c r="O34" s="19">
        <f t="shared" si="4"/>
        <v>0</v>
      </c>
      <c r="P34" s="19">
        <f t="shared" si="4"/>
        <v>0</v>
      </c>
      <c r="Q34" s="19">
        <f t="shared" si="4"/>
        <v>0</v>
      </c>
      <c r="R34" s="19">
        <f t="shared" si="4"/>
        <v>0</v>
      </c>
      <c r="S34" s="19">
        <f t="shared" si="4"/>
        <v>0</v>
      </c>
      <c r="T34" s="19">
        <f t="shared" si="4"/>
        <v>0</v>
      </c>
      <c r="U34" s="19">
        <f t="shared" si="4"/>
        <v>0</v>
      </c>
      <c r="V34" s="19">
        <f t="shared" si="4"/>
        <v>0</v>
      </c>
      <c r="W34" s="19">
        <f t="shared" si="4"/>
        <v>0</v>
      </c>
      <c r="X34" s="19">
        <f t="shared" si="4"/>
        <v>0</v>
      </c>
      <c r="Y34" s="19">
        <f t="shared" si="4"/>
        <v>0</v>
      </c>
      <c r="Z34" s="19">
        <f t="shared" si="4"/>
        <v>0</v>
      </c>
      <c r="AA34" s="19">
        <f t="shared" si="4"/>
        <v>0</v>
      </c>
      <c r="AB34" s="19">
        <f t="shared" si="4"/>
        <v>0</v>
      </c>
      <c r="AC34" s="19">
        <f t="shared" si="4"/>
        <v>0</v>
      </c>
      <c r="AD34" s="19">
        <f t="shared" si="4"/>
        <v>0</v>
      </c>
      <c r="AE34" s="19">
        <f t="shared" si="4"/>
        <v>0</v>
      </c>
    </row>
    <row r="35" spans="1:35" customFormat="1" ht="14.25" x14ac:dyDescent="0.45">
      <c r="B35" s="14" t="s">
        <v>1450</v>
      </c>
      <c r="C35" s="14" t="s">
        <v>117</v>
      </c>
      <c r="D35" s="15" t="s">
        <v>2210</v>
      </c>
      <c r="E35" s="16" t="s">
        <v>2194</v>
      </c>
      <c r="F35" s="14" t="s">
        <v>2203</v>
      </c>
      <c r="G35" s="17"/>
      <c r="H35" s="128" t="str">
        <f>Settings!$B$3&amp;".mit.obrpu.frt.ure.1"</f>
        <v>egy.mit.obrpu.frt.ure.1</v>
      </c>
      <c r="K35" s="18"/>
      <c r="L35" s="19">
        <f t="shared" ref="L35:AE35" si="5">L$7*L$15</f>
        <v>0</v>
      </c>
      <c r="M35" s="19">
        <f t="shared" si="5"/>
        <v>0</v>
      </c>
      <c r="N35" s="19">
        <f t="shared" si="5"/>
        <v>0</v>
      </c>
      <c r="O35" s="19">
        <f t="shared" si="5"/>
        <v>0</v>
      </c>
      <c r="P35" s="19">
        <f t="shared" si="5"/>
        <v>0</v>
      </c>
      <c r="Q35" s="19">
        <f t="shared" si="5"/>
        <v>0</v>
      </c>
      <c r="R35" s="19">
        <f t="shared" si="5"/>
        <v>0</v>
      </c>
      <c r="S35" s="19">
        <f t="shared" si="5"/>
        <v>0</v>
      </c>
      <c r="T35" s="19">
        <f t="shared" si="5"/>
        <v>0</v>
      </c>
      <c r="U35" s="19">
        <f t="shared" si="5"/>
        <v>0</v>
      </c>
      <c r="V35" s="19">
        <f t="shared" si="5"/>
        <v>0</v>
      </c>
      <c r="W35" s="19">
        <f t="shared" si="5"/>
        <v>0</v>
      </c>
      <c r="X35" s="19">
        <f t="shared" si="5"/>
        <v>0</v>
      </c>
      <c r="Y35" s="19">
        <f t="shared" si="5"/>
        <v>0</v>
      </c>
      <c r="Z35" s="19">
        <f t="shared" si="5"/>
        <v>0</v>
      </c>
      <c r="AA35" s="19">
        <f t="shared" si="5"/>
        <v>0</v>
      </c>
      <c r="AB35" s="19">
        <f t="shared" si="5"/>
        <v>0</v>
      </c>
      <c r="AC35" s="19">
        <f t="shared" si="5"/>
        <v>0</v>
      </c>
      <c r="AD35" s="19">
        <f t="shared" si="5"/>
        <v>0</v>
      </c>
      <c r="AE35" s="19">
        <f t="shared" si="5"/>
        <v>0</v>
      </c>
    </row>
    <row r="36" spans="1:35" customFormat="1" ht="14.25" x14ac:dyDescent="0.45">
      <c r="B36" s="14" t="s">
        <v>1453</v>
      </c>
      <c r="C36" s="14" t="s">
        <v>117</v>
      </c>
      <c r="D36" s="15" t="s">
        <v>2211</v>
      </c>
      <c r="E36" s="16" t="s">
        <v>2194</v>
      </c>
      <c r="F36" s="14" t="s">
        <v>2203</v>
      </c>
      <c r="G36" s="17"/>
      <c r="H36" s="128" t="str">
        <f>Settings!$B$3&amp;".mit.obrpu.frt.nit.1"</f>
        <v>egy.mit.obrpu.frt.nit.1</v>
      </c>
      <c r="K36" s="18"/>
      <c r="L36" s="19">
        <f t="shared" ref="L36:AE36" si="6">L$7*L$16</f>
        <v>0</v>
      </c>
      <c r="M36" s="19">
        <f t="shared" si="6"/>
        <v>0</v>
      </c>
      <c r="N36" s="19">
        <f t="shared" si="6"/>
        <v>0</v>
      </c>
      <c r="O36" s="19">
        <f t="shared" si="6"/>
        <v>0</v>
      </c>
      <c r="P36" s="19">
        <f t="shared" si="6"/>
        <v>0</v>
      </c>
      <c r="Q36" s="19">
        <f t="shared" si="6"/>
        <v>0</v>
      </c>
      <c r="R36" s="19">
        <f t="shared" si="6"/>
        <v>0</v>
      </c>
      <c r="S36" s="19">
        <f t="shared" si="6"/>
        <v>0</v>
      </c>
      <c r="T36" s="19">
        <f t="shared" si="6"/>
        <v>0</v>
      </c>
      <c r="U36" s="19">
        <f t="shared" si="6"/>
        <v>0</v>
      </c>
      <c r="V36" s="19">
        <f t="shared" si="6"/>
        <v>0</v>
      </c>
      <c r="W36" s="19">
        <f t="shared" si="6"/>
        <v>0</v>
      </c>
      <c r="X36" s="19">
        <f t="shared" si="6"/>
        <v>0</v>
      </c>
      <c r="Y36" s="19">
        <f t="shared" si="6"/>
        <v>0</v>
      </c>
      <c r="Z36" s="19">
        <f t="shared" si="6"/>
        <v>0</v>
      </c>
      <c r="AA36" s="19">
        <f t="shared" si="6"/>
        <v>0</v>
      </c>
      <c r="AB36" s="19">
        <f t="shared" si="6"/>
        <v>0</v>
      </c>
      <c r="AC36" s="19">
        <f t="shared" si="6"/>
        <v>0</v>
      </c>
      <c r="AD36" s="19">
        <f t="shared" si="6"/>
        <v>0</v>
      </c>
      <c r="AE36" s="19">
        <f t="shared" si="6"/>
        <v>0</v>
      </c>
    </row>
    <row r="37" spans="1:35" customFormat="1" ht="14.25" x14ac:dyDescent="0.45">
      <c r="B37" s="14" t="s">
        <v>1456</v>
      </c>
      <c r="C37" s="14" t="s">
        <v>115</v>
      </c>
      <c r="D37" s="15" t="s">
        <v>2212</v>
      </c>
      <c r="E37" s="16" t="s">
        <v>2194</v>
      </c>
      <c r="F37" s="14" t="s">
        <v>2203</v>
      </c>
      <c r="G37" s="17"/>
      <c r="H37" s="128" t="str">
        <f>Settings!$B$3&amp;".mit.obrpu.alu.prp.1"</f>
        <v>egy.mit.obrpu.alu.prp.1</v>
      </c>
      <c r="K37" s="18"/>
      <c r="L37" s="19">
        <f t="shared" ref="L37:AE37" si="7">L$7*L$17</f>
        <v>0</v>
      </c>
      <c r="M37" s="19">
        <f t="shared" si="7"/>
        <v>0</v>
      </c>
      <c r="N37" s="19">
        <f t="shared" si="7"/>
        <v>0</v>
      </c>
      <c r="O37" s="19">
        <f t="shared" si="7"/>
        <v>0</v>
      </c>
      <c r="P37" s="19">
        <f t="shared" si="7"/>
        <v>0</v>
      </c>
      <c r="Q37" s="19">
        <f t="shared" si="7"/>
        <v>0</v>
      </c>
      <c r="R37" s="19">
        <f t="shared" si="7"/>
        <v>0</v>
      </c>
      <c r="S37" s="19">
        <f t="shared" si="7"/>
        <v>0</v>
      </c>
      <c r="T37" s="19">
        <f t="shared" si="7"/>
        <v>0</v>
      </c>
      <c r="U37" s="19">
        <f t="shared" si="7"/>
        <v>0</v>
      </c>
      <c r="V37" s="19">
        <f t="shared" si="7"/>
        <v>0</v>
      </c>
      <c r="W37" s="19">
        <f t="shared" si="7"/>
        <v>0</v>
      </c>
      <c r="X37" s="19">
        <f t="shared" si="7"/>
        <v>0</v>
      </c>
      <c r="Y37" s="19">
        <f t="shared" si="7"/>
        <v>0</v>
      </c>
      <c r="Z37" s="19">
        <f t="shared" si="7"/>
        <v>0</v>
      </c>
      <c r="AA37" s="19">
        <f t="shared" si="7"/>
        <v>0</v>
      </c>
      <c r="AB37" s="19">
        <f t="shared" si="7"/>
        <v>0</v>
      </c>
      <c r="AC37" s="19">
        <f t="shared" si="7"/>
        <v>0</v>
      </c>
      <c r="AD37" s="19">
        <f t="shared" si="7"/>
        <v>0</v>
      </c>
      <c r="AE37" s="19">
        <f t="shared" si="7"/>
        <v>0</v>
      </c>
    </row>
    <row r="39" spans="1:35" customFormat="1" ht="14.25" x14ac:dyDescent="0.45">
      <c r="A39" s="11"/>
      <c r="B39" s="6"/>
      <c r="C39" s="7" t="s">
        <v>2213</v>
      </c>
      <c r="D39" s="6" t="s">
        <v>1488</v>
      </c>
      <c r="E39" s="7" t="s">
        <v>35</v>
      </c>
      <c r="F39" s="7" t="s">
        <v>45</v>
      </c>
      <c r="G39" s="7" t="s">
        <v>37</v>
      </c>
      <c r="H39" s="12" t="s">
        <v>38</v>
      </c>
      <c r="I39" s="6" t="s">
        <v>39</v>
      </c>
      <c r="J39" s="48">
        <v>1</v>
      </c>
      <c r="K39" s="6">
        <v>2021</v>
      </c>
      <c r="L39" s="46">
        <v>2022</v>
      </c>
      <c r="M39" s="6">
        <v>2023</v>
      </c>
      <c r="N39" s="6">
        <v>2024</v>
      </c>
      <c r="O39" s="6">
        <v>2025</v>
      </c>
      <c r="P39" s="6">
        <v>2026</v>
      </c>
      <c r="Q39" s="6">
        <v>2027</v>
      </c>
      <c r="R39" s="6">
        <v>2028</v>
      </c>
      <c r="S39" s="6">
        <v>2029</v>
      </c>
      <c r="T39" s="6">
        <v>2030</v>
      </c>
      <c r="U39" s="6">
        <v>2031</v>
      </c>
      <c r="V39" s="6">
        <v>2032</v>
      </c>
      <c r="W39" s="6">
        <v>2033</v>
      </c>
      <c r="X39" s="6">
        <v>2034</v>
      </c>
      <c r="Y39" s="6">
        <v>2035</v>
      </c>
      <c r="Z39" s="6">
        <v>2036</v>
      </c>
      <c r="AA39" s="6">
        <v>2037</v>
      </c>
      <c r="AB39" s="6">
        <v>2038</v>
      </c>
      <c r="AC39" s="6">
        <v>2039</v>
      </c>
      <c r="AD39" s="6">
        <v>2040</v>
      </c>
      <c r="AE39" s="6">
        <v>2041</v>
      </c>
      <c r="AF39" s="6">
        <v>2042</v>
      </c>
      <c r="AG39" s="6">
        <v>2043</v>
      </c>
      <c r="AH39" s="6">
        <v>2044</v>
      </c>
      <c r="AI39" s="6">
        <v>2045</v>
      </c>
    </row>
    <row r="40" spans="1:35" customFormat="1" ht="14.25" x14ac:dyDescent="0.45">
      <c r="B40" s="14" t="s">
        <v>1435</v>
      </c>
      <c r="C40" s="14" t="s">
        <v>43</v>
      </c>
      <c r="D40" s="15" t="s">
        <v>2214</v>
      </c>
      <c r="E40" s="16" t="s">
        <v>2194</v>
      </c>
      <c r="F40" s="14" t="s">
        <v>2213</v>
      </c>
      <c r="G40" s="17"/>
      <c r="H40" s="128" t="str">
        <f>Settings!$B$3&amp;".mit.obrpt.stl.drg.1"</f>
        <v>egy.mit.obrpt.stl.drg.1</v>
      </c>
      <c r="I40" t="s">
        <v>2215</v>
      </c>
      <c r="K40" s="18"/>
      <c r="L40" s="19">
        <f t="shared" ref="L40:AE40" si="8">MIN(L$30,L$20)</f>
        <v>0</v>
      </c>
      <c r="M40" s="19">
        <f t="shared" si="8"/>
        <v>0</v>
      </c>
      <c r="N40" s="19">
        <f t="shared" si="8"/>
        <v>0</v>
      </c>
      <c r="O40" s="19">
        <f t="shared" si="8"/>
        <v>0</v>
      </c>
      <c r="P40" s="19">
        <f t="shared" si="8"/>
        <v>0</v>
      </c>
      <c r="Q40" s="19">
        <f t="shared" si="8"/>
        <v>0</v>
      </c>
      <c r="R40" s="19">
        <f t="shared" si="8"/>
        <v>0</v>
      </c>
      <c r="S40" s="19">
        <f t="shared" si="8"/>
        <v>0</v>
      </c>
      <c r="T40" s="19">
        <f t="shared" si="8"/>
        <v>0</v>
      </c>
      <c r="U40" s="19">
        <f t="shared" si="8"/>
        <v>0</v>
      </c>
      <c r="V40" s="19">
        <f t="shared" si="8"/>
        <v>0</v>
      </c>
      <c r="W40" s="19">
        <f t="shared" si="8"/>
        <v>0</v>
      </c>
      <c r="X40" s="19">
        <f t="shared" si="8"/>
        <v>0</v>
      </c>
      <c r="Y40" s="19">
        <f t="shared" si="8"/>
        <v>0</v>
      </c>
      <c r="Z40" s="19">
        <f t="shared" si="8"/>
        <v>0</v>
      </c>
      <c r="AA40" s="19">
        <f t="shared" si="8"/>
        <v>0</v>
      </c>
      <c r="AB40" s="19">
        <f t="shared" si="8"/>
        <v>0</v>
      </c>
      <c r="AC40" s="19">
        <f t="shared" si="8"/>
        <v>0</v>
      </c>
      <c r="AD40" s="19">
        <f t="shared" si="8"/>
        <v>0</v>
      </c>
      <c r="AE40" s="19">
        <f t="shared" si="8"/>
        <v>0</v>
      </c>
    </row>
    <row r="41" spans="1:35" customFormat="1" ht="14.25" x14ac:dyDescent="0.45">
      <c r="B41" s="14" t="s">
        <v>1438</v>
      </c>
      <c r="C41" s="14" t="s">
        <v>43</v>
      </c>
      <c r="D41" s="15" t="s">
        <v>2216</v>
      </c>
      <c r="E41" s="16" t="s">
        <v>2194</v>
      </c>
      <c r="F41" s="14" t="s">
        <v>2213</v>
      </c>
      <c r="G41" s="17"/>
      <c r="H41" s="128" t="str">
        <f>Settings!$B$3&amp;".mit.obrpt.stl.scr.1"</f>
        <v>egy.mit.obrpt.stl.scr.1</v>
      </c>
      <c r="K41" s="18"/>
      <c r="L41" s="19">
        <f t="shared" ref="L41:AE41" si="9">MIN(L$31,L$21)</f>
        <v>0</v>
      </c>
      <c r="M41" s="19">
        <f t="shared" si="9"/>
        <v>0</v>
      </c>
      <c r="N41" s="19">
        <f t="shared" si="9"/>
        <v>0</v>
      </c>
      <c r="O41" s="19">
        <f t="shared" si="9"/>
        <v>0</v>
      </c>
      <c r="P41" s="19">
        <f t="shared" si="9"/>
        <v>0</v>
      </c>
      <c r="Q41" s="19">
        <f t="shared" si="9"/>
        <v>0</v>
      </c>
      <c r="R41" s="19">
        <f t="shared" si="9"/>
        <v>0</v>
      </c>
      <c r="S41" s="19">
        <f t="shared" si="9"/>
        <v>0</v>
      </c>
      <c r="T41" s="19">
        <f t="shared" si="9"/>
        <v>0</v>
      </c>
      <c r="U41" s="19">
        <f t="shared" si="9"/>
        <v>0</v>
      </c>
      <c r="V41" s="19">
        <f t="shared" si="9"/>
        <v>0</v>
      </c>
      <c r="W41" s="19">
        <f t="shared" si="9"/>
        <v>0</v>
      </c>
      <c r="X41" s="19">
        <f t="shared" si="9"/>
        <v>0</v>
      </c>
      <c r="Y41" s="19">
        <f t="shared" si="9"/>
        <v>0</v>
      </c>
      <c r="Z41" s="19">
        <f t="shared" si="9"/>
        <v>0</v>
      </c>
      <c r="AA41" s="19">
        <f t="shared" si="9"/>
        <v>0</v>
      </c>
      <c r="AB41" s="19">
        <f t="shared" si="9"/>
        <v>0</v>
      </c>
      <c r="AC41" s="19">
        <f t="shared" si="9"/>
        <v>0</v>
      </c>
      <c r="AD41" s="19">
        <f t="shared" si="9"/>
        <v>0</v>
      </c>
      <c r="AE41" s="19">
        <f t="shared" si="9"/>
        <v>0</v>
      </c>
    </row>
    <row r="42" spans="1:35" customFormat="1" ht="14.25" x14ac:dyDescent="0.45">
      <c r="B42" s="14" t="s">
        <v>1441</v>
      </c>
      <c r="C42" s="14" t="s">
        <v>43</v>
      </c>
      <c r="D42" s="15" t="s">
        <v>2217</v>
      </c>
      <c r="E42" s="16" t="s">
        <v>2194</v>
      </c>
      <c r="F42" s="14" t="s">
        <v>2213</v>
      </c>
      <c r="G42" s="17"/>
      <c r="H42" s="128" t="str">
        <f>Settings!$B$3&amp;".mit.obrpt.stl.bof.1"</f>
        <v>egy.mit.obrpt.stl.bof.1</v>
      </c>
      <c r="K42" s="18"/>
      <c r="L42" s="19">
        <f t="shared" ref="L42:AE42" si="10">MIN(L$32,L$22)</f>
        <v>0</v>
      </c>
      <c r="M42" s="19">
        <f t="shared" si="10"/>
        <v>0</v>
      </c>
      <c r="N42" s="19">
        <f t="shared" si="10"/>
        <v>0</v>
      </c>
      <c r="O42" s="19">
        <f t="shared" si="10"/>
        <v>0</v>
      </c>
      <c r="P42" s="19">
        <f t="shared" si="10"/>
        <v>0</v>
      </c>
      <c r="Q42" s="19">
        <f t="shared" si="10"/>
        <v>0</v>
      </c>
      <c r="R42" s="19">
        <f t="shared" si="10"/>
        <v>0</v>
      </c>
      <c r="S42" s="19">
        <f t="shared" si="10"/>
        <v>0</v>
      </c>
      <c r="T42" s="19">
        <f t="shared" si="10"/>
        <v>0</v>
      </c>
      <c r="U42" s="19">
        <f t="shared" si="10"/>
        <v>0</v>
      </c>
      <c r="V42" s="19">
        <f t="shared" si="10"/>
        <v>0</v>
      </c>
      <c r="W42" s="19">
        <f t="shared" si="10"/>
        <v>0</v>
      </c>
      <c r="X42" s="19">
        <f t="shared" si="10"/>
        <v>0</v>
      </c>
      <c r="Y42" s="19">
        <f t="shared" si="10"/>
        <v>0</v>
      </c>
      <c r="Z42" s="19">
        <f t="shared" si="10"/>
        <v>0</v>
      </c>
      <c r="AA42" s="19">
        <f t="shared" si="10"/>
        <v>0</v>
      </c>
      <c r="AB42" s="19">
        <f t="shared" si="10"/>
        <v>0</v>
      </c>
      <c r="AC42" s="19">
        <f t="shared" si="10"/>
        <v>0</v>
      </c>
      <c r="AD42" s="19">
        <f t="shared" si="10"/>
        <v>0</v>
      </c>
      <c r="AE42" s="19">
        <f t="shared" si="10"/>
        <v>0</v>
      </c>
    </row>
    <row r="43" spans="1:35" customFormat="1" ht="14.25" x14ac:dyDescent="0.45">
      <c r="B43" s="14" t="s">
        <v>1444</v>
      </c>
      <c r="C43" s="14" t="s">
        <v>113</v>
      </c>
      <c r="D43" s="15" t="s">
        <v>2218</v>
      </c>
      <c r="E43" s="16" t="s">
        <v>2194</v>
      </c>
      <c r="F43" s="14" t="s">
        <v>2213</v>
      </c>
      <c r="G43" s="17"/>
      <c r="H43" s="128" t="str">
        <f>Settings!$B$3&amp;".mit.obrpt.cmt.dry.1"</f>
        <v>egy.mit.obrpt.cmt.dry.1</v>
      </c>
      <c r="K43" s="18"/>
      <c r="L43" s="19">
        <f t="shared" ref="L43:AE43" si="11">MIN(L$33,L$23)</f>
        <v>0</v>
      </c>
      <c r="M43" s="19">
        <f t="shared" si="11"/>
        <v>0</v>
      </c>
      <c r="N43" s="19">
        <f t="shared" si="11"/>
        <v>0</v>
      </c>
      <c r="O43" s="19">
        <f t="shared" si="11"/>
        <v>0</v>
      </c>
      <c r="P43" s="19">
        <f t="shared" si="11"/>
        <v>0</v>
      </c>
      <c r="Q43" s="19">
        <f t="shared" si="11"/>
        <v>0</v>
      </c>
      <c r="R43" s="19">
        <f t="shared" si="11"/>
        <v>0</v>
      </c>
      <c r="S43" s="19">
        <f t="shared" si="11"/>
        <v>0</v>
      </c>
      <c r="T43" s="19">
        <f t="shared" si="11"/>
        <v>0</v>
      </c>
      <c r="U43" s="19">
        <f t="shared" si="11"/>
        <v>0</v>
      </c>
      <c r="V43" s="19">
        <f t="shared" si="11"/>
        <v>0</v>
      </c>
      <c r="W43" s="19">
        <f t="shared" si="11"/>
        <v>0</v>
      </c>
      <c r="X43" s="19">
        <f t="shared" si="11"/>
        <v>0</v>
      </c>
      <c r="Y43" s="19">
        <f t="shared" si="11"/>
        <v>0</v>
      </c>
      <c r="Z43" s="19">
        <f t="shared" si="11"/>
        <v>0</v>
      </c>
      <c r="AA43" s="19">
        <f t="shared" si="11"/>
        <v>0</v>
      </c>
      <c r="AB43" s="19">
        <f t="shared" si="11"/>
        <v>0</v>
      </c>
      <c r="AC43" s="19">
        <f t="shared" si="11"/>
        <v>0</v>
      </c>
      <c r="AD43" s="19">
        <f t="shared" si="11"/>
        <v>0</v>
      </c>
      <c r="AE43" s="19">
        <f t="shared" si="11"/>
        <v>0</v>
      </c>
    </row>
    <row r="44" spans="1:35" customFormat="1" ht="14.25" x14ac:dyDescent="0.45">
      <c r="B44" s="14" t="s">
        <v>1447</v>
      </c>
      <c r="C44" s="14" t="s">
        <v>117</v>
      </c>
      <c r="D44" s="15" t="s">
        <v>2219</v>
      </c>
      <c r="E44" s="16" t="s">
        <v>2194</v>
      </c>
      <c r="F44" s="14" t="s">
        <v>2213</v>
      </c>
      <c r="G44" s="17"/>
      <c r="H44" s="128" t="str">
        <f>Settings!$B$3&amp;".mit.obrpt.frt.amc.1"</f>
        <v>egy.mit.obrpt.frt.amc.1</v>
      </c>
      <c r="K44" s="18"/>
      <c r="L44" s="19">
        <f t="shared" ref="L44:AE44" si="12">MIN(L$34,L$24)</f>
        <v>0</v>
      </c>
      <c r="M44" s="19">
        <f t="shared" si="12"/>
        <v>0</v>
      </c>
      <c r="N44" s="19">
        <f t="shared" si="12"/>
        <v>0</v>
      </c>
      <c r="O44" s="19">
        <f t="shared" si="12"/>
        <v>0</v>
      </c>
      <c r="P44" s="19">
        <f t="shared" si="12"/>
        <v>0</v>
      </c>
      <c r="Q44" s="19">
        <f t="shared" si="12"/>
        <v>0</v>
      </c>
      <c r="R44" s="19">
        <f t="shared" si="12"/>
        <v>0</v>
      </c>
      <c r="S44" s="19">
        <f t="shared" si="12"/>
        <v>0</v>
      </c>
      <c r="T44" s="19">
        <f t="shared" si="12"/>
        <v>0</v>
      </c>
      <c r="U44" s="19">
        <f t="shared" si="12"/>
        <v>0</v>
      </c>
      <c r="V44" s="19">
        <f t="shared" si="12"/>
        <v>0</v>
      </c>
      <c r="W44" s="19">
        <f t="shared" si="12"/>
        <v>0</v>
      </c>
      <c r="X44" s="19">
        <f t="shared" si="12"/>
        <v>0</v>
      </c>
      <c r="Y44" s="19">
        <f t="shared" si="12"/>
        <v>0</v>
      </c>
      <c r="Z44" s="19">
        <f t="shared" si="12"/>
        <v>0</v>
      </c>
      <c r="AA44" s="19">
        <f t="shared" si="12"/>
        <v>0</v>
      </c>
      <c r="AB44" s="19">
        <f t="shared" si="12"/>
        <v>0</v>
      </c>
      <c r="AC44" s="19">
        <f t="shared" si="12"/>
        <v>0</v>
      </c>
      <c r="AD44" s="19">
        <f t="shared" si="12"/>
        <v>0</v>
      </c>
      <c r="AE44" s="19">
        <f t="shared" si="12"/>
        <v>0</v>
      </c>
    </row>
    <row r="45" spans="1:35" customFormat="1" ht="14.25" x14ac:dyDescent="0.45">
      <c r="B45" s="14" t="s">
        <v>1450</v>
      </c>
      <c r="C45" s="14" t="s">
        <v>117</v>
      </c>
      <c r="D45" s="15" t="s">
        <v>2220</v>
      </c>
      <c r="E45" s="16" t="s">
        <v>2194</v>
      </c>
      <c r="F45" s="14" t="s">
        <v>2213</v>
      </c>
      <c r="G45" s="17"/>
      <c r="H45" s="128" t="str">
        <f>Settings!$B$3&amp;".mit.obrpt.frt.ure.1"</f>
        <v>egy.mit.obrpt.frt.ure.1</v>
      </c>
      <c r="K45" s="18"/>
      <c r="L45" s="19">
        <f t="shared" ref="L45:AE45" si="13">MIN(L$35,L$25)</f>
        <v>0</v>
      </c>
      <c r="M45" s="19">
        <f t="shared" si="13"/>
        <v>0</v>
      </c>
      <c r="N45" s="19">
        <f t="shared" si="13"/>
        <v>0</v>
      </c>
      <c r="O45" s="19">
        <f t="shared" si="13"/>
        <v>0</v>
      </c>
      <c r="P45" s="19">
        <f t="shared" si="13"/>
        <v>0</v>
      </c>
      <c r="Q45" s="19">
        <f t="shared" si="13"/>
        <v>0</v>
      </c>
      <c r="R45" s="19">
        <f t="shared" si="13"/>
        <v>0</v>
      </c>
      <c r="S45" s="19">
        <f t="shared" si="13"/>
        <v>0</v>
      </c>
      <c r="T45" s="19">
        <f t="shared" si="13"/>
        <v>0</v>
      </c>
      <c r="U45" s="19">
        <f t="shared" si="13"/>
        <v>0</v>
      </c>
      <c r="V45" s="19">
        <f t="shared" si="13"/>
        <v>0</v>
      </c>
      <c r="W45" s="19">
        <f t="shared" si="13"/>
        <v>0</v>
      </c>
      <c r="X45" s="19">
        <f t="shared" si="13"/>
        <v>0</v>
      </c>
      <c r="Y45" s="19">
        <f t="shared" si="13"/>
        <v>0</v>
      </c>
      <c r="Z45" s="19">
        <f t="shared" si="13"/>
        <v>0</v>
      </c>
      <c r="AA45" s="19">
        <f t="shared" si="13"/>
        <v>0</v>
      </c>
      <c r="AB45" s="19">
        <f t="shared" si="13"/>
        <v>0</v>
      </c>
      <c r="AC45" s="19">
        <f t="shared" si="13"/>
        <v>0</v>
      </c>
      <c r="AD45" s="19">
        <f t="shared" si="13"/>
        <v>0</v>
      </c>
      <c r="AE45" s="19">
        <f t="shared" si="13"/>
        <v>0</v>
      </c>
    </row>
    <row r="46" spans="1:35" customFormat="1" ht="14.25" x14ac:dyDescent="0.45">
      <c r="B46" s="14" t="s">
        <v>1453</v>
      </c>
      <c r="C46" s="14" t="s">
        <v>117</v>
      </c>
      <c r="D46" s="15" t="s">
        <v>2221</v>
      </c>
      <c r="E46" s="16" t="s">
        <v>2194</v>
      </c>
      <c r="F46" s="14" t="s">
        <v>2213</v>
      </c>
      <c r="G46" s="17"/>
      <c r="H46" s="128" t="str">
        <f>Settings!$B$3&amp;".mit.obrpt.frt.nit.1"</f>
        <v>egy.mit.obrpt.frt.nit.1</v>
      </c>
      <c r="K46" s="18"/>
      <c r="L46" s="19">
        <f t="shared" ref="L46:AE46" si="14">MIN(L$36,L$26)</f>
        <v>0</v>
      </c>
      <c r="M46" s="19">
        <f t="shared" si="14"/>
        <v>0</v>
      </c>
      <c r="N46" s="19">
        <f t="shared" si="14"/>
        <v>0</v>
      </c>
      <c r="O46" s="19">
        <f t="shared" si="14"/>
        <v>0</v>
      </c>
      <c r="P46" s="19">
        <f t="shared" si="14"/>
        <v>0</v>
      </c>
      <c r="Q46" s="19">
        <f t="shared" si="14"/>
        <v>0</v>
      </c>
      <c r="R46" s="19">
        <f t="shared" si="14"/>
        <v>0</v>
      </c>
      <c r="S46" s="19">
        <f t="shared" si="14"/>
        <v>0</v>
      </c>
      <c r="T46" s="19">
        <f t="shared" si="14"/>
        <v>0</v>
      </c>
      <c r="U46" s="19">
        <f t="shared" si="14"/>
        <v>0</v>
      </c>
      <c r="V46" s="19">
        <f t="shared" si="14"/>
        <v>0</v>
      </c>
      <c r="W46" s="19">
        <f t="shared" si="14"/>
        <v>0</v>
      </c>
      <c r="X46" s="19">
        <f t="shared" si="14"/>
        <v>0</v>
      </c>
      <c r="Y46" s="19">
        <f t="shared" si="14"/>
        <v>0</v>
      </c>
      <c r="Z46" s="19">
        <f t="shared" si="14"/>
        <v>0</v>
      </c>
      <c r="AA46" s="19">
        <f t="shared" si="14"/>
        <v>0</v>
      </c>
      <c r="AB46" s="19">
        <f t="shared" si="14"/>
        <v>0</v>
      </c>
      <c r="AC46" s="19">
        <f t="shared" si="14"/>
        <v>0</v>
      </c>
      <c r="AD46" s="19">
        <f t="shared" si="14"/>
        <v>0</v>
      </c>
      <c r="AE46" s="19">
        <f t="shared" si="14"/>
        <v>0</v>
      </c>
    </row>
    <row r="47" spans="1:35" customFormat="1" ht="14.25" x14ac:dyDescent="0.45">
      <c r="B47" s="14" t="s">
        <v>1456</v>
      </c>
      <c r="C47" s="14" t="s">
        <v>115</v>
      </c>
      <c r="D47" s="15" t="s">
        <v>2222</v>
      </c>
      <c r="E47" s="16" t="s">
        <v>2194</v>
      </c>
      <c r="F47" s="14" t="s">
        <v>2213</v>
      </c>
      <c r="G47" s="17"/>
      <c r="H47" s="128" t="str">
        <f>Settings!$B$3&amp;".mit.obrpt.alu.prp.1"</f>
        <v>egy.mit.obrpt.alu.prp.1</v>
      </c>
      <c r="K47" s="18"/>
      <c r="L47" s="19">
        <f t="shared" ref="L47:AE47" si="15">MIN(L$37,L$27)</f>
        <v>0</v>
      </c>
      <c r="M47" s="19">
        <f t="shared" si="15"/>
        <v>0</v>
      </c>
      <c r="N47" s="19">
        <f t="shared" si="15"/>
        <v>0</v>
      </c>
      <c r="O47" s="19">
        <f t="shared" si="15"/>
        <v>0</v>
      </c>
      <c r="P47" s="19">
        <f t="shared" si="15"/>
        <v>0</v>
      </c>
      <c r="Q47" s="19">
        <f t="shared" si="15"/>
        <v>0</v>
      </c>
      <c r="R47" s="19">
        <f t="shared" si="15"/>
        <v>0</v>
      </c>
      <c r="S47" s="19">
        <f t="shared" si="15"/>
        <v>0</v>
      </c>
      <c r="T47" s="19">
        <f t="shared" si="15"/>
        <v>0</v>
      </c>
      <c r="U47" s="19">
        <f t="shared" si="15"/>
        <v>0</v>
      </c>
      <c r="V47" s="19">
        <f t="shared" si="15"/>
        <v>0</v>
      </c>
      <c r="W47" s="19">
        <f t="shared" si="15"/>
        <v>0</v>
      </c>
      <c r="X47" s="19">
        <f t="shared" si="15"/>
        <v>0</v>
      </c>
      <c r="Y47" s="19">
        <f t="shared" si="15"/>
        <v>0</v>
      </c>
      <c r="Z47" s="19">
        <f t="shared" si="15"/>
        <v>0</v>
      </c>
      <c r="AA47" s="19">
        <f t="shared" si="15"/>
        <v>0</v>
      </c>
      <c r="AB47" s="19">
        <f t="shared" si="15"/>
        <v>0</v>
      </c>
      <c r="AC47" s="19">
        <f t="shared" si="15"/>
        <v>0</v>
      </c>
      <c r="AD47" s="19">
        <f t="shared" si="15"/>
        <v>0</v>
      </c>
      <c r="AE47" s="19">
        <f t="shared" si="15"/>
        <v>0</v>
      </c>
    </row>
    <row r="49" spans="1:35" customFormat="1" ht="14.25" x14ac:dyDescent="0.45">
      <c r="A49" s="11"/>
      <c r="B49" s="6"/>
      <c r="C49" s="7" t="s">
        <v>2223</v>
      </c>
      <c r="D49" s="6" t="s">
        <v>1488</v>
      </c>
      <c r="E49" s="7" t="s">
        <v>35</v>
      </c>
      <c r="F49" s="7" t="s">
        <v>45</v>
      </c>
      <c r="G49" s="7" t="s">
        <v>37</v>
      </c>
      <c r="H49" s="12" t="s">
        <v>38</v>
      </c>
      <c r="I49" s="6" t="s">
        <v>39</v>
      </c>
      <c r="J49" s="48">
        <v>1</v>
      </c>
      <c r="K49" s="6">
        <v>2021</v>
      </c>
      <c r="L49" s="46">
        <v>2022</v>
      </c>
      <c r="M49" s="6">
        <v>2023</v>
      </c>
      <c r="N49" s="6">
        <v>2024</v>
      </c>
      <c r="O49" s="6">
        <v>2025</v>
      </c>
      <c r="P49" s="6">
        <v>2026</v>
      </c>
      <c r="Q49" s="6">
        <v>2027</v>
      </c>
      <c r="R49" s="6">
        <v>2028</v>
      </c>
      <c r="S49" s="6">
        <v>2029</v>
      </c>
      <c r="T49" s="6">
        <v>2030</v>
      </c>
      <c r="U49" s="6">
        <v>2031</v>
      </c>
      <c r="V49" s="6">
        <v>2032</v>
      </c>
      <c r="W49" s="6">
        <v>2033</v>
      </c>
      <c r="X49" s="6">
        <v>2034</v>
      </c>
      <c r="Y49" s="6">
        <v>2035</v>
      </c>
      <c r="Z49" s="6">
        <v>2036</v>
      </c>
      <c r="AA49" s="6">
        <v>2037</v>
      </c>
      <c r="AB49" s="6">
        <v>2038</v>
      </c>
      <c r="AC49" s="6">
        <v>2039</v>
      </c>
      <c r="AD49" s="6">
        <v>2040</v>
      </c>
      <c r="AE49" s="6">
        <v>2041</v>
      </c>
      <c r="AF49" s="6">
        <v>2042</v>
      </c>
      <c r="AG49" s="6">
        <v>2043</v>
      </c>
      <c r="AH49" s="6">
        <v>2044</v>
      </c>
      <c r="AI49" s="6">
        <v>2045</v>
      </c>
    </row>
    <row r="50" spans="1:35" customFormat="1" ht="14.25" x14ac:dyDescent="0.45">
      <c r="B50" s="14" t="s">
        <v>1435</v>
      </c>
      <c r="C50" s="14" t="s">
        <v>43</v>
      </c>
      <c r="D50" s="15" t="s">
        <v>2224</v>
      </c>
      <c r="E50" s="16" t="s">
        <v>2194</v>
      </c>
      <c r="F50" s="14" t="s">
        <v>2223</v>
      </c>
      <c r="G50" s="17"/>
      <c r="H50" s="128" t="str">
        <f>Settings!$B$3&amp;".mit.ccnet.stl.drg.1"</f>
        <v>egy.mit.ccnet.stl.drg.1</v>
      </c>
      <c r="K50" s="18"/>
      <c r="L50" s="19">
        <f t="shared" ref="L50:AE50" si="16">L$20-L$40</f>
        <v>0</v>
      </c>
      <c r="M50" s="19">
        <f t="shared" si="16"/>
        <v>0</v>
      </c>
      <c r="N50" s="19">
        <f t="shared" si="16"/>
        <v>0</v>
      </c>
      <c r="O50" s="19">
        <f t="shared" si="16"/>
        <v>0</v>
      </c>
      <c r="P50" s="19">
        <f t="shared" si="16"/>
        <v>0</v>
      </c>
      <c r="Q50" s="19">
        <f t="shared" si="16"/>
        <v>0</v>
      </c>
      <c r="R50" s="19">
        <f t="shared" si="16"/>
        <v>0</v>
      </c>
      <c r="S50" s="19">
        <f t="shared" si="16"/>
        <v>0</v>
      </c>
      <c r="T50" s="19">
        <f t="shared" si="16"/>
        <v>0</v>
      </c>
      <c r="U50" s="19">
        <f t="shared" si="16"/>
        <v>0</v>
      </c>
      <c r="V50" s="19">
        <f t="shared" si="16"/>
        <v>0</v>
      </c>
      <c r="W50" s="19">
        <f t="shared" si="16"/>
        <v>0</v>
      </c>
      <c r="X50" s="19">
        <f t="shared" si="16"/>
        <v>0</v>
      </c>
      <c r="Y50" s="19">
        <f t="shared" si="16"/>
        <v>0</v>
      </c>
      <c r="Z50" s="19">
        <f t="shared" si="16"/>
        <v>0</v>
      </c>
      <c r="AA50" s="19">
        <f t="shared" si="16"/>
        <v>0</v>
      </c>
      <c r="AB50" s="19">
        <f t="shared" si="16"/>
        <v>0</v>
      </c>
      <c r="AC50" s="19">
        <f t="shared" si="16"/>
        <v>0</v>
      </c>
      <c r="AD50" s="19">
        <f t="shared" si="16"/>
        <v>0</v>
      </c>
      <c r="AE50" s="19">
        <f t="shared" si="16"/>
        <v>0</v>
      </c>
    </row>
    <row r="51" spans="1:35" customFormat="1" ht="14.25" x14ac:dyDescent="0.45">
      <c r="B51" s="14" t="s">
        <v>1438</v>
      </c>
      <c r="C51" s="14" t="s">
        <v>43</v>
      </c>
      <c r="D51" s="15" t="s">
        <v>2225</v>
      </c>
      <c r="E51" s="16" t="s">
        <v>2194</v>
      </c>
      <c r="F51" s="14" t="s">
        <v>2223</v>
      </c>
      <c r="G51" s="17"/>
      <c r="H51" s="128" t="str">
        <f>Settings!$B$3&amp;".mit.ccnet.stl.scr.1"</f>
        <v>egy.mit.ccnet.stl.scr.1</v>
      </c>
      <c r="K51" s="18"/>
      <c r="L51" s="19">
        <f t="shared" ref="L51:AE51" si="17">L$21-L$41</f>
        <v>0</v>
      </c>
      <c r="M51" s="19">
        <f t="shared" si="17"/>
        <v>0</v>
      </c>
      <c r="N51" s="19">
        <f t="shared" si="17"/>
        <v>0</v>
      </c>
      <c r="O51" s="19">
        <f t="shared" si="17"/>
        <v>0</v>
      </c>
      <c r="P51" s="19">
        <f t="shared" si="17"/>
        <v>0</v>
      </c>
      <c r="Q51" s="19">
        <f t="shared" si="17"/>
        <v>0</v>
      </c>
      <c r="R51" s="19">
        <f t="shared" si="17"/>
        <v>0</v>
      </c>
      <c r="S51" s="19">
        <f t="shared" si="17"/>
        <v>0</v>
      </c>
      <c r="T51" s="19">
        <f t="shared" si="17"/>
        <v>0</v>
      </c>
      <c r="U51" s="19">
        <f t="shared" si="17"/>
        <v>0</v>
      </c>
      <c r="V51" s="19">
        <f t="shared" si="17"/>
        <v>0</v>
      </c>
      <c r="W51" s="19">
        <f t="shared" si="17"/>
        <v>0</v>
      </c>
      <c r="X51" s="19">
        <f t="shared" si="17"/>
        <v>0</v>
      </c>
      <c r="Y51" s="19">
        <f t="shared" si="17"/>
        <v>0</v>
      </c>
      <c r="Z51" s="19">
        <f t="shared" si="17"/>
        <v>0</v>
      </c>
      <c r="AA51" s="19">
        <f t="shared" si="17"/>
        <v>0</v>
      </c>
      <c r="AB51" s="19">
        <f t="shared" si="17"/>
        <v>0</v>
      </c>
      <c r="AC51" s="19">
        <f t="shared" si="17"/>
        <v>0</v>
      </c>
      <c r="AD51" s="19">
        <f t="shared" si="17"/>
        <v>0</v>
      </c>
      <c r="AE51" s="19">
        <f t="shared" si="17"/>
        <v>0</v>
      </c>
    </row>
    <row r="52" spans="1:35" customFormat="1" ht="14.25" x14ac:dyDescent="0.45">
      <c r="B52" s="14" t="s">
        <v>1441</v>
      </c>
      <c r="C52" s="14" t="s">
        <v>43</v>
      </c>
      <c r="D52" s="15" t="s">
        <v>2226</v>
      </c>
      <c r="E52" s="16" t="s">
        <v>2194</v>
      </c>
      <c r="F52" s="14" t="s">
        <v>2223</v>
      </c>
      <c r="G52" s="17"/>
      <c r="H52" s="128" t="str">
        <f>Settings!$B$3&amp;".mit.ccnet.stl.bof.1"</f>
        <v>egy.mit.ccnet.stl.bof.1</v>
      </c>
      <c r="K52" s="18"/>
      <c r="L52" s="19">
        <f t="shared" ref="L52:AE52" si="18">L$22-L$42</f>
        <v>0</v>
      </c>
      <c r="M52" s="19">
        <f t="shared" si="18"/>
        <v>0</v>
      </c>
      <c r="N52" s="19">
        <f t="shared" si="18"/>
        <v>0</v>
      </c>
      <c r="O52" s="19">
        <f t="shared" si="18"/>
        <v>0</v>
      </c>
      <c r="P52" s="19">
        <f t="shared" si="18"/>
        <v>0</v>
      </c>
      <c r="Q52" s="19">
        <f t="shared" si="18"/>
        <v>0</v>
      </c>
      <c r="R52" s="19">
        <f t="shared" si="18"/>
        <v>0</v>
      </c>
      <c r="S52" s="19">
        <f t="shared" si="18"/>
        <v>0</v>
      </c>
      <c r="T52" s="19">
        <f t="shared" si="18"/>
        <v>0</v>
      </c>
      <c r="U52" s="19">
        <f t="shared" si="18"/>
        <v>0</v>
      </c>
      <c r="V52" s="19">
        <f t="shared" si="18"/>
        <v>0</v>
      </c>
      <c r="W52" s="19">
        <f t="shared" si="18"/>
        <v>0</v>
      </c>
      <c r="X52" s="19">
        <f t="shared" si="18"/>
        <v>0</v>
      </c>
      <c r="Y52" s="19">
        <f t="shared" si="18"/>
        <v>0</v>
      </c>
      <c r="Z52" s="19">
        <f t="shared" si="18"/>
        <v>0</v>
      </c>
      <c r="AA52" s="19">
        <f t="shared" si="18"/>
        <v>0</v>
      </c>
      <c r="AB52" s="19">
        <f t="shared" si="18"/>
        <v>0</v>
      </c>
      <c r="AC52" s="19">
        <f t="shared" si="18"/>
        <v>0</v>
      </c>
      <c r="AD52" s="19">
        <f t="shared" si="18"/>
        <v>0</v>
      </c>
      <c r="AE52" s="19">
        <f t="shared" si="18"/>
        <v>0</v>
      </c>
    </row>
    <row r="53" spans="1:35" customFormat="1" ht="14.25" x14ac:dyDescent="0.45">
      <c r="B53" s="14" t="s">
        <v>1444</v>
      </c>
      <c r="C53" s="14" t="s">
        <v>113</v>
      </c>
      <c r="D53" s="15" t="s">
        <v>2227</v>
      </c>
      <c r="E53" s="16" t="s">
        <v>2194</v>
      </c>
      <c r="F53" s="14" t="s">
        <v>2223</v>
      </c>
      <c r="G53" s="17"/>
      <c r="H53" s="128" t="str">
        <f>Settings!$B$3&amp;".mit.ccnet.cmt.dry.1"</f>
        <v>egy.mit.ccnet.cmt.dry.1</v>
      </c>
      <c r="K53" s="18"/>
      <c r="L53" s="19">
        <f t="shared" ref="L53:AE53" si="19">L$23-L$43</f>
        <v>0</v>
      </c>
      <c r="M53" s="19">
        <f t="shared" si="19"/>
        <v>0</v>
      </c>
      <c r="N53" s="19">
        <f t="shared" si="19"/>
        <v>0</v>
      </c>
      <c r="O53" s="19">
        <f t="shared" si="19"/>
        <v>0</v>
      </c>
      <c r="P53" s="19">
        <f t="shared" si="19"/>
        <v>0</v>
      </c>
      <c r="Q53" s="19">
        <f t="shared" si="19"/>
        <v>0</v>
      </c>
      <c r="R53" s="19">
        <f t="shared" si="19"/>
        <v>0</v>
      </c>
      <c r="S53" s="19">
        <f t="shared" si="19"/>
        <v>0</v>
      </c>
      <c r="T53" s="19">
        <f t="shared" si="19"/>
        <v>0</v>
      </c>
      <c r="U53" s="19">
        <f t="shared" si="19"/>
        <v>0</v>
      </c>
      <c r="V53" s="19">
        <f t="shared" si="19"/>
        <v>0</v>
      </c>
      <c r="W53" s="19">
        <f t="shared" si="19"/>
        <v>0</v>
      </c>
      <c r="X53" s="19">
        <f t="shared" si="19"/>
        <v>0</v>
      </c>
      <c r="Y53" s="19">
        <f t="shared" si="19"/>
        <v>0</v>
      </c>
      <c r="Z53" s="19">
        <f t="shared" si="19"/>
        <v>0</v>
      </c>
      <c r="AA53" s="19">
        <f t="shared" si="19"/>
        <v>0</v>
      </c>
      <c r="AB53" s="19">
        <f t="shared" si="19"/>
        <v>0</v>
      </c>
      <c r="AC53" s="19">
        <f t="shared" si="19"/>
        <v>0</v>
      </c>
      <c r="AD53" s="19">
        <f t="shared" si="19"/>
        <v>0</v>
      </c>
      <c r="AE53" s="19">
        <f t="shared" si="19"/>
        <v>0</v>
      </c>
    </row>
    <row r="54" spans="1:35" customFormat="1" ht="14.25" x14ac:dyDescent="0.45">
      <c r="B54" s="14" t="s">
        <v>1447</v>
      </c>
      <c r="C54" s="14" t="s">
        <v>117</v>
      </c>
      <c r="D54" s="15" t="s">
        <v>2228</v>
      </c>
      <c r="E54" s="16" t="s">
        <v>2194</v>
      </c>
      <c r="F54" s="14" t="s">
        <v>2223</v>
      </c>
      <c r="G54" s="17"/>
      <c r="H54" s="128" t="str">
        <f>Settings!$B$3&amp;".mit.ccnet.frt.amc.1"</f>
        <v>egy.mit.ccnet.frt.amc.1</v>
      </c>
      <c r="K54" s="18"/>
      <c r="L54" s="19">
        <f t="shared" ref="L54:AE54" si="20">L$24-L$44</f>
        <v>0</v>
      </c>
      <c r="M54" s="19">
        <f t="shared" si="20"/>
        <v>0</v>
      </c>
      <c r="N54" s="19">
        <f t="shared" si="20"/>
        <v>0</v>
      </c>
      <c r="O54" s="19">
        <f t="shared" si="20"/>
        <v>0</v>
      </c>
      <c r="P54" s="19">
        <f t="shared" si="20"/>
        <v>0</v>
      </c>
      <c r="Q54" s="19">
        <f t="shared" si="20"/>
        <v>0</v>
      </c>
      <c r="R54" s="19">
        <f t="shared" si="20"/>
        <v>0</v>
      </c>
      <c r="S54" s="19">
        <f t="shared" si="20"/>
        <v>0</v>
      </c>
      <c r="T54" s="19">
        <f t="shared" si="20"/>
        <v>0</v>
      </c>
      <c r="U54" s="19">
        <f t="shared" si="20"/>
        <v>0</v>
      </c>
      <c r="V54" s="19">
        <f t="shared" si="20"/>
        <v>0</v>
      </c>
      <c r="W54" s="19">
        <f t="shared" si="20"/>
        <v>0</v>
      </c>
      <c r="X54" s="19">
        <f t="shared" si="20"/>
        <v>0</v>
      </c>
      <c r="Y54" s="19">
        <f t="shared" si="20"/>
        <v>0</v>
      </c>
      <c r="Z54" s="19">
        <f t="shared" si="20"/>
        <v>0</v>
      </c>
      <c r="AA54" s="19">
        <f t="shared" si="20"/>
        <v>0</v>
      </c>
      <c r="AB54" s="19">
        <f t="shared" si="20"/>
        <v>0</v>
      </c>
      <c r="AC54" s="19">
        <f t="shared" si="20"/>
        <v>0</v>
      </c>
      <c r="AD54" s="19">
        <f t="shared" si="20"/>
        <v>0</v>
      </c>
      <c r="AE54" s="19">
        <f t="shared" si="20"/>
        <v>0</v>
      </c>
    </row>
    <row r="55" spans="1:35" customFormat="1" ht="14.25" x14ac:dyDescent="0.45">
      <c r="B55" s="14" t="s">
        <v>1450</v>
      </c>
      <c r="C55" s="14" t="s">
        <v>117</v>
      </c>
      <c r="D55" s="15" t="s">
        <v>2229</v>
      </c>
      <c r="E55" s="16" t="s">
        <v>2194</v>
      </c>
      <c r="F55" s="14" t="s">
        <v>2223</v>
      </c>
      <c r="G55" s="17"/>
      <c r="H55" s="128" t="str">
        <f>Settings!$B$3&amp;".mit.ccnet.frt.ure.1"</f>
        <v>egy.mit.ccnet.frt.ure.1</v>
      </c>
      <c r="K55" s="18"/>
      <c r="L55" s="19">
        <f t="shared" ref="L55:AE55" si="21">L$25-L$45</f>
        <v>0</v>
      </c>
      <c r="M55" s="19">
        <f t="shared" si="21"/>
        <v>0</v>
      </c>
      <c r="N55" s="19">
        <f t="shared" si="21"/>
        <v>0</v>
      </c>
      <c r="O55" s="19">
        <f t="shared" si="21"/>
        <v>0</v>
      </c>
      <c r="P55" s="19">
        <f t="shared" si="21"/>
        <v>0</v>
      </c>
      <c r="Q55" s="19">
        <f t="shared" si="21"/>
        <v>0</v>
      </c>
      <c r="R55" s="19">
        <f t="shared" si="21"/>
        <v>0</v>
      </c>
      <c r="S55" s="19">
        <f t="shared" si="21"/>
        <v>0</v>
      </c>
      <c r="T55" s="19">
        <f t="shared" si="21"/>
        <v>0</v>
      </c>
      <c r="U55" s="19">
        <f t="shared" si="21"/>
        <v>0</v>
      </c>
      <c r="V55" s="19">
        <f t="shared" si="21"/>
        <v>0</v>
      </c>
      <c r="W55" s="19">
        <f t="shared" si="21"/>
        <v>0</v>
      </c>
      <c r="X55" s="19">
        <f t="shared" si="21"/>
        <v>0</v>
      </c>
      <c r="Y55" s="19">
        <f t="shared" si="21"/>
        <v>0</v>
      </c>
      <c r="Z55" s="19">
        <f t="shared" si="21"/>
        <v>0</v>
      </c>
      <c r="AA55" s="19">
        <f t="shared" si="21"/>
        <v>0</v>
      </c>
      <c r="AB55" s="19">
        <f t="shared" si="21"/>
        <v>0</v>
      </c>
      <c r="AC55" s="19">
        <f t="shared" si="21"/>
        <v>0</v>
      </c>
      <c r="AD55" s="19">
        <f t="shared" si="21"/>
        <v>0</v>
      </c>
      <c r="AE55" s="19">
        <f t="shared" si="21"/>
        <v>0</v>
      </c>
    </row>
    <row r="56" spans="1:35" customFormat="1" ht="14.25" x14ac:dyDescent="0.45">
      <c r="B56" s="14" t="s">
        <v>1453</v>
      </c>
      <c r="C56" s="14" t="s">
        <v>117</v>
      </c>
      <c r="D56" s="15" t="s">
        <v>2230</v>
      </c>
      <c r="E56" s="16" t="s">
        <v>2194</v>
      </c>
      <c r="F56" s="14" t="s">
        <v>2223</v>
      </c>
      <c r="G56" s="17"/>
      <c r="H56" s="128" t="str">
        <f>Settings!$B$3&amp;".mit.ccnet.frt.nit.1"</f>
        <v>egy.mit.ccnet.frt.nit.1</v>
      </c>
      <c r="K56" s="18"/>
      <c r="L56" s="19">
        <f t="shared" ref="L56:AE56" si="22">L$26-L$46</f>
        <v>0</v>
      </c>
      <c r="M56" s="19">
        <f t="shared" si="22"/>
        <v>0</v>
      </c>
      <c r="N56" s="19">
        <f t="shared" si="22"/>
        <v>0</v>
      </c>
      <c r="O56" s="19">
        <f t="shared" si="22"/>
        <v>0</v>
      </c>
      <c r="P56" s="19">
        <f t="shared" si="22"/>
        <v>0</v>
      </c>
      <c r="Q56" s="19">
        <f t="shared" si="22"/>
        <v>0</v>
      </c>
      <c r="R56" s="19">
        <f t="shared" si="22"/>
        <v>0</v>
      </c>
      <c r="S56" s="19">
        <f t="shared" si="22"/>
        <v>0</v>
      </c>
      <c r="T56" s="19">
        <f t="shared" si="22"/>
        <v>0</v>
      </c>
      <c r="U56" s="19">
        <f t="shared" si="22"/>
        <v>0</v>
      </c>
      <c r="V56" s="19">
        <f t="shared" si="22"/>
        <v>0</v>
      </c>
      <c r="W56" s="19">
        <f t="shared" si="22"/>
        <v>0</v>
      </c>
      <c r="X56" s="19">
        <f t="shared" si="22"/>
        <v>0</v>
      </c>
      <c r="Y56" s="19">
        <f t="shared" si="22"/>
        <v>0</v>
      </c>
      <c r="Z56" s="19">
        <f t="shared" si="22"/>
        <v>0</v>
      </c>
      <c r="AA56" s="19">
        <f t="shared" si="22"/>
        <v>0</v>
      </c>
      <c r="AB56" s="19">
        <f t="shared" si="22"/>
        <v>0</v>
      </c>
      <c r="AC56" s="19">
        <f t="shared" si="22"/>
        <v>0</v>
      </c>
      <c r="AD56" s="19">
        <f t="shared" si="22"/>
        <v>0</v>
      </c>
      <c r="AE56" s="19">
        <f t="shared" si="22"/>
        <v>0</v>
      </c>
    </row>
    <row r="57" spans="1:35" customFormat="1" ht="14.25" x14ac:dyDescent="0.45">
      <c r="B57" s="14" t="s">
        <v>1456</v>
      </c>
      <c r="C57" s="14" t="s">
        <v>115</v>
      </c>
      <c r="D57" s="15" t="s">
        <v>2231</v>
      </c>
      <c r="E57" s="16" t="s">
        <v>2194</v>
      </c>
      <c r="F57" s="14" t="s">
        <v>2223</v>
      </c>
      <c r="G57" s="17"/>
      <c r="H57" s="128" t="str">
        <f>Settings!$B$3&amp;".mit.ccnet.alu.prp.1"</f>
        <v>egy.mit.ccnet.alu.prp.1</v>
      </c>
      <c r="K57" s="18"/>
      <c r="L57" s="19">
        <f t="shared" ref="L57:AE57" si="23">L$27-L$47</f>
        <v>0</v>
      </c>
      <c r="M57" s="19">
        <f t="shared" si="23"/>
        <v>0</v>
      </c>
      <c r="N57" s="19">
        <f t="shared" si="23"/>
        <v>0</v>
      </c>
      <c r="O57" s="19">
        <f t="shared" si="23"/>
        <v>0</v>
      </c>
      <c r="P57" s="19">
        <f t="shared" si="23"/>
        <v>0</v>
      </c>
      <c r="Q57" s="19">
        <f t="shared" si="23"/>
        <v>0</v>
      </c>
      <c r="R57" s="19">
        <f t="shared" si="23"/>
        <v>0</v>
      </c>
      <c r="S57" s="19">
        <f t="shared" si="23"/>
        <v>0</v>
      </c>
      <c r="T57" s="19">
        <f t="shared" si="23"/>
        <v>0</v>
      </c>
      <c r="U57" s="19">
        <f t="shared" si="23"/>
        <v>0</v>
      </c>
      <c r="V57" s="19">
        <f t="shared" si="23"/>
        <v>0</v>
      </c>
      <c r="W57" s="19">
        <f t="shared" si="23"/>
        <v>0</v>
      </c>
      <c r="X57" s="19">
        <f t="shared" si="23"/>
        <v>0</v>
      </c>
      <c r="Y57" s="19">
        <f t="shared" si="23"/>
        <v>0</v>
      </c>
      <c r="Z57" s="19">
        <f t="shared" si="23"/>
        <v>0</v>
      </c>
      <c r="AA57" s="19">
        <f t="shared" si="23"/>
        <v>0</v>
      </c>
      <c r="AB57" s="19">
        <f t="shared" si="23"/>
        <v>0</v>
      </c>
      <c r="AC57" s="19">
        <f t="shared" si="23"/>
        <v>0</v>
      </c>
      <c r="AD57" s="19">
        <f t="shared" si="23"/>
        <v>0</v>
      </c>
      <c r="AE57" s="19">
        <f t="shared" si="23"/>
        <v>0</v>
      </c>
    </row>
    <row r="59" spans="1:35" customFormat="1" ht="14.25" x14ac:dyDescent="0.45">
      <c r="A59" s="11"/>
      <c r="B59" s="6"/>
      <c r="C59" s="7" t="s">
        <v>2232</v>
      </c>
      <c r="D59" s="6" t="s">
        <v>1488</v>
      </c>
      <c r="E59" s="7" t="s">
        <v>35</v>
      </c>
      <c r="F59" s="7" t="s">
        <v>45</v>
      </c>
      <c r="G59" s="7" t="s">
        <v>37</v>
      </c>
      <c r="H59" s="12" t="s">
        <v>38</v>
      </c>
      <c r="I59" s="6" t="s">
        <v>39</v>
      </c>
      <c r="J59" s="48">
        <v>1</v>
      </c>
      <c r="K59" s="6">
        <v>2021</v>
      </c>
      <c r="L59" s="46">
        <v>2022</v>
      </c>
      <c r="M59" s="6">
        <v>2023</v>
      </c>
      <c r="N59" s="6">
        <v>2024</v>
      </c>
      <c r="O59" s="6">
        <v>2025</v>
      </c>
      <c r="P59" s="6">
        <v>2026</v>
      </c>
      <c r="Q59" s="6">
        <v>2027</v>
      </c>
      <c r="R59" s="6">
        <v>2028</v>
      </c>
      <c r="S59" s="6">
        <v>2029</v>
      </c>
      <c r="T59" s="6">
        <v>2030</v>
      </c>
      <c r="U59" s="6">
        <v>2031</v>
      </c>
      <c r="V59" s="6">
        <v>2032</v>
      </c>
      <c r="W59" s="6">
        <v>2033</v>
      </c>
      <c r="X59" s="6">
        <v>2034</v>
      </c>
      <c r="Y59" s="6">
        <v>2035</v>
      </c>
      <c r="Z59" s="6">
        <v>2036</v>
      </c>
      <c r="AA59" s="6">
        <v>2037</v>
      </c>
      <c r="AB59" s="6">
        <v>2038</v>
      </c>
      <c r="AC59" s="6">
        <v>2039</v>
      </c>
      <c r="AD59" s="6">
        <v>2040</v>
      </c>
      <c r="AE59" s="6">
        <v>2041</v>
      </c>
      <c r="AF59" s="6">
        <v>2042</v>
      </c>
      <c r="AG59" s="6">
        <v>2043</v>
      </c>
      <c r="AH59" s="6">
        <v>2044</v>
      </c>
      <c r="AI59" s="6">
        <v>2045</v>
      </c>
    </row>
    <row r="60" spans="1:35" customFormat="1" ht="14.25" x14ac:dyDescent="0.45">
      <c r="B60" s="14" t="s">
        <v>1435</v>
      </c>
      <c r="C60" s="14" t="s">
        <v>43</v>
      </c>
      <c r="D60" s="15" t="s">
        <v>2233</v>
      </c>
      <c r="E60" s="16" t="s">
        <v>79</v>
      </c>
      <c r="F60" s="14" t="s">
        <v>2232</v>
      </c>
      <c r="G60" s="17"/>
      <c r="H60" s="128" t="str">
        <f>Settings!$B$3&amp;".mit.ppin.stl.drg.1"</f>
        <v>egy.mit.ppin.stl.drg.1</v>
      </c>
      <c r="I60" t="s">
        <v>2234</v>
      </c>
      <c r="K60" s="18"/>
      <c r="L60" s="19">
        <f>IF(Mitigation_Industry!L$288&lt;=0,0,L$50/Mitigation_Industry!L$288)</f>
        <v>0</v>
      </c>
      <c r="M60" s="19">
        <f>IF(Mitigation_Industry!M$288&lt;=0,0,M$50/Mitigation_Industry!M$288)</f>
        <v>0</v>
      </c>
      <c r="N60" s="19">
        <f>IF(Mitigation_Industry!N$288&lt;=0,0,N$50/Mitigation_Industry!N$288)</f>
        <v>0</v>
      </c>
      <c r="O60" s="19">
        <f>IF(Mitigation_Industry!O$288&lt;=0,0,O$50/Mitigation_Industry!O$288)</f>
        <v>0</v>
      </c>
      <c r="P60" s="19">
        <f>IF(Mitigation_Industry!P$288&lt;=0,0,P$50/Mitigation_Industry!P$288)</f>
        <v>0</v>
      </c>
      <c r="Q60" s="19">
        <f>IF(Mitigation_Industry!Q$288&lt;=0,0,Q$50/Mitigation_Industry!Q$288)</f>
        <v>0</v>
      </c>
      <c r="R60" s="19">
        <f>IF(Mitigation_Industry!R$288&lt;=0,0,R$50/Mitigation_Industry!R$288)</f>
        <v>0</v>
      </c>
      <c r="S60" s="19">
        <f>IF(Mitigation_Industry!S$288&lt;=0,0,S$50/Mitigation_Industry!S$288)</f>
        <v>0</v>
      </c>
      <c r="T60" s="19">
        <f>IF(Mitigation_Industry!T$288&lt;=0,0,T$50/Mitigation_Industry!T$288)</f>
        <v>0</v>
      </c>
      <c r="U60" s="19">
        <f>IF(Mitigation_Industry!U$288&lt;=0,0,U$50/Mitigation_Industry!U$288)</f>
        <v>0</v>
      </c>
      <c r="V60" s="19">
        <f>IF(Mitigation_Industry!V$288&lt;=0,0,V$50/Mitigation_Industry!V$288)</f>
        <v>0</v>
      </c>
      <c r="W60" s="19">
        <f>IF(Mitigation_Industry!W$288&lt;=0,0,W$50/Mitigation_Industry!W$288)</f>
        <v>0</v>
      </c>
      <c r="X60" s="19">
        <f>IF(Mitigation_Industry!X$288&lt;=0,0,X$50/Mitigation_Industry!X$288)</f>
        <v>0</v>
      </c>
      <c r="Y60" s="19">
        <f>IF(Mitigation_Industry!Y$288&lt;=0,0,Y$50/Mitigation_Industry!Y$288)</f>
        <v>0</v>
      </c>
      <c r="Z60" s="19">
        <f>IF(Mitigation_Industry!Z$288&lt;=0,0,Z$50/Mitigation_Industry!Z$288)</f>
        <v>0</v>
      </c>
      <c r="AA60" s="19">
        <f>IF(Mitigation_Industry!AA$288&lt;=0,0,AA$50/Mitigation_Industry!AA$288)</f>
        <v>0</v>
      </c>
      <c r="AB60" s="19">
        <f>IF(Mitigation_Industry!AB$288&lt;=0,0,AB$50/Mitigation_Industry!AB$288)</f>
        <v>0</v>
      </c>
      <c r="AC60" s="19">
        <f>IF(Mitigation_Industry!AC$288&lt;=0,0,AC$50/Mitigation_Industry!AC$288)</f>
        <v>0</v>
      </c>
      <c r="AD60" s="19">
        <f>IF(Mitigation_Industry!AD$288&lt;=0,0,AD$50/Mitigation_Industry!AD$288)</f>
        <v>0</v>
      </c>
      <c r="AE60" s="19">
        <f>IF(Mitigation_Industry!AE$288&lt;=0,0,AE$50/Mitigation_Industry!AE$288)</f>
        <v>0</v>
      </c>
    </row>
    <row r="61" spans="1:35" customFormat="1" ht="14.25" x14ac:dyDescent="0.45">
      <c r="B61" s="14" t="s">
        <v>1438</v>
      </c>
      <c r="C61" s="14" t="s">
        <v>43</v>
      </c>
      <c r="D61" s="15" t="s">
        <v>2235</v>
      </c>
      <c r="E61" s="16" t="s">
        <v>79</v>
      </c>
      <c r="F61" s="14" t="s">
        <v>2232</v>
      </c>
      <c r="G61" s="17"/>
      <c r="H61" s="128" t="str">
        <f>Settings!$B$3&amp;".mit.ppin.stl.scr.1"</f>
        <v>egy.mit.ppin.stl.scr.1</v>
      </c>
      <c r="K61" s="18"/>
      <c r="L61" s="19">
        <f>IF(Mitigation_Industry!L$289&lt;=0,0,L$51/Mitigation_Industry!L$289)</f>
        <v>0</v>
      </c>
      <c r="M61" s="19">
        <f>IF(Mitigation_Industry!M$289&lt;=0,0,M$51/Mitigation_Industry!M$289)</f>
        <v>0</v>
      </c>
      <c r="N61" s="19">
        <f>IF(Mitigation_Industry!N$289&lt;=0,0,N$51/Mitigation_Industry!N$289)</f>
        <v>0</v>
      </c>
      <c r="O61" s="19">
        <f>IF(Mitigation_Industry!O$289&lt;=0,0,O$51/Mitigation_Industry!O$289)</f>
        <v>0</v>
      </c>
      <c r="P61" s="19">
        <f>IF(Mitigation_Industry!P$289&lt;=0,0,P$51/Mitigation_Industry!P$289)</f>
        <v>0</v>
      </c>
      <c r="Q61" s="19">
        <f>IF(Mitigation_Industry!Q$289&lt;=0,0,Q$51/Mitigation_Industry!Q$289)</f>
        <v>0</v>
      </c>
      <c r="R61" s="19">
        <f>IF(Mitigation_Industry!R$289&lt;=0,0,R$51/Mitigation_Industry!R$289)</f>
        <v>0</v>
      </c>
      <c r="S61" s="19">
        <f>IF(Mitigation_Industry!S$289&lt;=0,0,S$51/Mitigation_Industry!S$289)</f>
        <v>0</v>
      </c>
      <c r="T61" s="19">
        <f>IF(Mitigation_Industry!T$289&lt;=0,0,T$51/Mitigation_Industry!T$289)</f>
        <v>0</v>
      </c>
      <c r="U61" s="19">
        <f>IF(Mitigation_Industry!U$289&lt;=0,0,U$51/Mitigation_Industry!U$289)</f>
        <v>0</v>
      </c>
      <c r="V61" s="19">
        <f>IF(Mitigation_Industry!V$289&lt;=0,0,V$51/Mitigation_Industry!V$289)</f>
        <v>0</v>
      </c>
      <c r="W61" s="19">
        <f>IF(Mitigation_Industry!W$289&lt;=0,0,W$51/Mitigation_Industry!W$289)</f>
        <v>0</v>
      </c>
      <c r="X61" s="19">
        <f>IF(Mitigation_Industry!X$289&lt;=0,0,X$51/Mitigation_Industry!X$289)</f>
        <v>0</v>
      </c>
      <c r="Y61" s="19">
        <f>IF(Mitigation_Industry!Y$289&lt;=0,0,Y$51/Mitigation_Industry!Y$289)</f>
        <v>0</v>
      </c>
      <c r="Z61" s="19">
        <f>IF(Mitigation_Industry!Z$289&lt;=0,0,Z$51/Mitigation_Industry!Z$289)</f>
        <v>0</v>
      </c>
      <c r="AA61" s="19">
        <f>IF(Mitigation_Industry!AA$289&lt;=0,0,AA$51/Mitigation_Industry!AA$289)</f>
        <v>0</v>
      </c>
      <c r="AB61" s="19">
        <f>IF(Mitigation_Industry!AB$289&lt;=0,0,AB$51/Mitigation_Industry!AB$289)</f>
        <v>0</v>
      </c>
      <c r="AC61" s="19">
        <f>IF(Mitigation_Industry!AC$289&lt;=0,0,AC$51/Mitigation_Industry!AC$289)</f>
        <v>0</v>
      </c>
      <c r="AD61" s="19">
        <f>IF(Mitigation_Industry!AD$289&lt;=0,0,AD$51/Mitigation_Industry!AD$289)</f>
        <v>0</v>
      </c>
      <c r="AE61" s="19">
        <f>IF(Mitigation_Industry!AE$289&lt;=0,0,AE$51/Mitigation_Industry!AE$289)</f>
        <v>0</v>
      </c>
    </row>
    <row r="62" spans="1:35" customFormat="1" ht="14.25" x14ac:dyDescent="0.45">
      <c r="B62" s="14" t="s">
        <v>1441</v>
      </c>
      <c r="C62" s="14" t="s">
        <v>43</v>
      </c>
      <c r="D62" s="15" t="s">
        <v>2236</v>
      </c>
      <c r="E62" s="16" t="s">
        <v>79</v>
      </c>
      <c r="F62" s="14" t="s">
        <v>2232</v>
      </c>
      <c r="G62" s="17"/>
      <c r="H62" s="128" t="str">
        <f>Settings!$B$3&amp;".mit.ppin.stl.bof.1"</f>
        <v>egy.mit.ppin.stl.bof.1</v>
      </c>
      <c r="K62" s="18"/>
      <c r="L62" s="19">
        <f>IF(Mitigation_Industry!L$290&lt;=0,0,L$52/Mitigation_Industry!L$290)</f>
        <v>0</v>
      </c>
      <c r="M62" s="19">
        <f>IF(Mitigation_Industry!M$290&lt;=0,0,M$52/Mitigation_Industry!M$290)</f>
        <v>0</v>
      </c>
      <c r="N62" s="19">
        <f>IF(Mitigation_Industry!N$290&lt;=0,0,N$52/Mitigation_Industry!N$290)</f>
        <v>0</v>
      </c>
      <c r="O62" s="19">
        <f>IF(Mitigation_Industry!O$290&lt;=0,0,O$52/Mitigation_Industry!O$290)</f>
        <v>0</v>
      </c>
      <c r="P62" s="19">
        <f>IF(Mitigation_Industry!P$290&lt;=0,0,P$52/Mitigation_Industry!P$290)</f>
        <v>0</v>
      </c>
      <c r="Q62" s="19">
        <f>IF(Mitigation_Industry!Q$290&lt;=0,0,Q$52/Mitigation_Industry!Q$290)</f>
        <v>0</v>
      </c>
      <c r="R62" s="19">
        <f>IF(Mitigation_Industry!R$290&lt;=0,0,R$52/Mitigation_Industry!R$290)</f>
        <v>0</v>
      </c>
      <c r="S62" s="19">
        <f>IF(Mitigation_Industry!S$290&lt;=0,0,S$52/Mitigation_Industry!S$290)</f>
        <v>0</v>
      </c>
      <c r="T62" s="19">
        <f>IF(Mitigation_Industry!T$290&lt;=0,0,T$52/Mitigation_Industry!T$290)</f>
        <v>0</v>
      </c>
      <c r="U62" s="19">
        <f>IF(Mitigation_Industry!U$290&lt;=0,0,U$52/Mitigation_Industry!U$290)</f>
        <v>0</v>
      </c>
      <c r="V62" s="19">
        <f>IF(Mitigation_Industry!V$290&lt;=0,0,V$52/Mitigation_Industry!V$290)</f>
        <v>0</v>
      </c>
      <c r="W62" s="19">
        <f>IF(Mitigation_Industry!W$290&lt;=0,0,W$52/Mitigation_Industry!W$290)</f>
        <v>0</v>
      </c>
      <c r="X62" s="19">
        <f>IF(Mitigation_Industry!X$290&lt;=0,0,X$52/Mitigation_Industry!X$290)</f>
        <v>0</v>
      </c>
      <c r="Y62" s="19">
        <f>IF(Mitigation_Industry!Y$290&lt;=0,0,Y$52/Mitigation_Industry!Y$290)</f>
        <v>0</v>
      </c>
      <c r="Z62" s="19">
        <f>IF(Mitigation_Industry!Z$290&lt;=0,0,Z$52/Mitigation_Industry!Z$290)</f>
        <v>0</v>
      </c>
      <c r="AA62" s="19">
        <f>IF(Mitigation_Industry!AA$290&lt;=0,0,AA$52/Mitigation_Industry!AA$290)</f>
        <v>0</v>
      </c>
      <c r="AB62" s="19">
        <f>IF(Mitigation_Industry!AB$290&lt;=0,0,AB$52/Mitigation_Industry!AB$290)</f>
        <v>0</v>
      </c>
      <c r="AC62" s="19">
        <f>IF(Mitigation_Industry!AC$290&lt;=0,0,AC$52/Mitigation_Industry!AC$290)</f>
        <v>0</v>
      </c>
      <c r="AD62" s="19">
        <f>IF(Mitigation_Industry!AD$290&lt;=0,0,AD$52/Mitigation_Industry!AD$290)</f>
        <v>0</v>
      </c>
      <c r="AE62" s="19">
        <f>IF(Mitigation_Industry!AE$290&lt;=0,0,AE$52/Mitigation_Industry!AE$290)</f>
        <v>0</v>
      </c>
    </row>
    <row r="63" spans="1:35" customFormat="1" ht="14.25" x14ac:dyDescent="0.45">
      <c r="B63" s="14" t="s">
        <v>1444</v>
      </c>
      <c r="C63" s="14" t="s">
        <v>113</v>
      </c>
      <c r="D63" s="15" t="s">
        <v>2237</v>
      </c>
      <c r="E63" s="16" t="s">
        <v>79</v>
      </c>
      <c r="F63" s="14" t="s">
        <v>2232</v>
      </c>
      <c r="G63" s="17"/>
      <c r="H63" s="128" t="str">
        <f>Settings!$B$3&amp;".mit.ppin.cmt.dry.1"</f>
        <v>egy.mit.ppin.cmt.dry.1</v>
      </c>
      <c r="K63" s="18"/>
      <c r="L63" s="19">
        <f>IF(Mitigation_Industry!L$291&lt;=0,0,L$53/Mitigation_Industry!L$291)</f>
        <v>0</v>
      </c>
      <c r="M63" s="19">
        <f>IF(Mitigation_Industry!M$291&lt;=0,0,M$53/Mitigation_Industry!M$291)</f>
        <v>0</v>
      </c>
      <c r="N63" s="19">
        <f>IF(Mitigation_Industry!N$291&lt;=0,0,N$53/Mitigation_Industry!N$291)</f>
        <v>0</v>
      </c>
      <c r="O63" s="19">
        <f>IF(Mitigation_Industry!O$291&lt;=0,0,O$53/Mitigation_Industry!O$291)</f>
        <v>0</v>
      </c>
      <c r="P63" s="19">
        <f>IF(Mitigation_Industry!P$291&lt;=0,0,P$53/Mitigation_Industry!P$291)</f>
        <v>0</v>
      </c>
      <c r="Q63" s="19">
        <f>IF(Mitigation_Industry!Q$291&lt;=0,0,Q$53/Mitigation_Industry!Q$291)</f>
        <v>0</v>
      </c>
      <c r="R63" s="19">
        <f>IF(Mitigation_Industry!R$291&lt;=0,0,R$53/Mitigation_Industry!R$291)</f>
        <v>0</v>
      </c>
      <c r="S63" s="19">
        <f>IF(Mitigation_Industry!S$291&lt;=0,0,S$53/Mitigation_Industry!S$291)</f>
        <v>0</v>
      </c>
      <c r="T63" s="19">
        <f>IF(Mitigation_Industry!T$291&lt;=0,0,T$53/Mitigation_Industry!T$291)</f>
        <v>0</v>
      </c>
      <c r="U63" s="19">
        <f>IF(Mitigation_Industry!U$291&lt;=0,0,U$53/Mitigation_Industry!U$291)</f>
        <v>0</v>
      </c>
      <c r="V63" s="19">
        <f>IF(Mitigation_Industry!V$291&lt;=0,0,V$53/Mitigation_Industry!V$291)</f>
        <v>0</v>
      </c>
      <c r="W63" s="19">
        <f>IF(Mitigation_Industry!W$291&lt;=0,0,W$53/Mitigation_Industry!W$291)</f>
        <v>0</v>
      </c>
      <c r="X63" s="19">
        <f>IF(Mitigation_Industry!X$291&lt;=0,0,X$53/Mitigation_Industry!X$291)</f>
        <v>0</v>
      </c>
      <c r="Y63" s="19">
        <f>IF(Mitigation_Industry!Y$291&lt;=0,0,Y$53/Mitigation_Industry!Y$291)</f>
        <v>0</v>
      </c>
      <c r="Z63" s="19">
        <f>IF(Mitigation_Industry!Z$291&lt;=0,0,Z$53/Mitigation_Industry!Z$291)</f>
        <v>0</v>
      </c>
      <c r="AA63" s="19">
        <f>IF(Mitigation_Industry!AA$291&lt;=0,0,AA$53/Mitigation_Industry!AA$291)</f>
        <v>0</v>
      </c>
      <c r="AB63" s="19">
        <f>IF(Mitigation_Industry!AB$291&lt;=0,0,AB$53/Mitigation_Industry!AB$291)</f>
        <v>0</v>
      </c>
      <c r="AC63" s="19">
        <f>IF(Mitigation_Industry!AC$291&lt;=0,0,AC$53/Mitigation_Industry!AC$291)</f>
        <v>0</v>
      </c>
      <c r="AD63" s="19">
        <f>IF(Mitigation_Industry!AD$291&lt;=0,0,AD$53/Mitigation_Industry!AD$291)</f>
        <v>0</v>
      </c>
      <c r="AE63" s="19">
        <f>IF(Mitigation_Industry!AE$291&lt;=0,0,AE$53/Mitigation_Industry!AE$291)</f>
        <v>0</v>
      </c>
    </row>
    <row r="64" spans="1:35" customFormat="1" ht="14.25" x14ac:dyDescent="0.45">
      <c r="B64" s="14" t="s">
        <v>1447</v>
      </c>
      <c r="C64" s="14" t="s">
        <v>117</v>
      </c>
      <c r="D64" s="15" t="s">
        <v>2238</v>
      </c>
      <c r="E64" s="16" t="s">
        <v>79</v>
      </c>
      <c r="F64" s="14" t="s">
        <v>2232</v>
      </c>
      <c r="G64" s="17"/>
      <c r="H64" s="128" t="str">
        <f>Settings!$B$3&amp;".mit.ppin.frt.amc.1"</f>
        <v>egy.mit.ppin.frt.amc.1</v>
      </c>
      <c r="K64" s="18"/>
      <c r="L64" s="19">
        <f>IF(Mitigation_Industry!L$292&lt;=0,0,L$54/Mitigation_Industry!L$292)</f>
        <v>0</v>
      </c>
      <c r="M64" s="19">
        <f>IF(Mitigation_Industry!M$292&lt;=0,0,M$54/Mitigation_Industry!M$292)</f>
        <v>0</v>
      </c>
      <c r="N64" s="19">
        <f>IF(Mitigation_Industry!N$292&lt;=0,0,N$54/Mitigation_Industry!N$292)</f>
        <v>0</v>
      </c>
      <c r="O64" s="19">
        <f>IF(Mitigation_Industry!O$292&lt;=0,0,O$54/Mitigation_Industry!O$292)</f>
        <v>0</v>
      </c>
      <c r="P64" s="19">
        <f>IF(Mitigation_Industry!P$292&lt;=0,0,P$54/Mitigation_Industry!P$292)</f>
        <v>0</v>
      </c>
      <c r="Q64" s="19">
        <f>IF(Mitigation_Industry!Q$292&lt;=0,0,Q$54/Mitigation_Industry!Q$292)</f>
        <v>0</v>
      </c>
      <c r="R64" s="19">
        <f>IF(Mitigation_Industry!R$292&lt;=0,0,R$54/Mitigation_Industry!R$292)</f>
        <v>0</v>
      </c>
      <c r="S64" s="19">
        <f>IF(Mitigation_Industry!S$292&lt;=0,0,S$54/Mitigation_Industry!S$292)</f>
        <v>0</v>
      </c>
      <c r="T64" s="19">
        <f>IF(Mitigation_Industry!T$292&lt;=0,0,T$54/Mitigation_Industry!T$292)</f>
        <v>0</v>
      </c>
      <c r="U64" s="19">
        <f>IF(Mitigation_Industry!U$292&lt;=0,0,U$54/Mitigation_Industry!U$292)</f>
        <v>0</v>
      </c>
      <c r="V64" s="19">
        <f>IF(Mitigation_Industry!V$292&lt;=0,0,V$54/Mitigation_Industry!V$292)</f>
        <v>0</v>
      </c>
      <c r="W64" s="19">
        <f>IF(Mitigation_Industry!W$292&lt;=0,0,W$54/Mitigation_Industry!W$292)</f>
        <v>0</v>
      </c>
      <c r="X64" s="19">
        <f>IF(Mitigation_Industry!X$292&lt;=0,0,X$54/Mitigation_Industry!X$292)</f>
        <v>0</v>
      </c>
      <c r="Y64" s="19">
        <f>IF(Mitigation_Industry!Y$292&lt;=0,0,Y$54/Mitigation_Industry!Y$292)</f>
        <v>0</v>
      </c>
      <c r="Z64" s="19">
        <f>IF(Mitigation_Industry!Z$292&lt;=0,0,Z$54/Mitigation_Industry!Z$292)</f>
        <v>0</v>
      </c>
      <c r="AA64" s="19">
        <f>IF(Mitigation_Industry!AA$292&lt;=0,0,AA$54/Mitigation_Industry!AA$292)</f>
        <v>0</v>
      </c>
      <c r="AB64" s="19">
        <f>IF(Mitigation_Industry!AB$292&lt;=0,0,AB$54/Mitigation_Industry!AB$292)</f>
        <v>0</v>
      </c>
      <c r="AC64" s="19">
        <f>IF(Mitigation_Industry!AC$292&lt;=0,0,AC$54/Mitigation_Industry!AC$292)</f>
        <v>0</v>
      </c>
      <c r="AD64" s="19">
        <f>IF(Mitigation_Industry!AD$292&lt;=0,0,AD$54/Mitigation_Industry!AD$292)</f>
        <v>0</v>
      </c>
      <c r="AE64" s="19">
        <f>IF(Mitigation_Industry!AE$292&lt;=0,0,AE$54/Mitigation_Industry!AE$292)</f>
        <v>0</v>
      </c>
    </row>
    <row r="65" spans="1:35" customFormat="1" ht="14.25" x14ac:dyDescent="0.45">
      <c r="B65" s="14" t="s">
        <v>1450</v>
      </c>
      <c r="C65" s="14" t="s">
        <v>117</v>
      </c>
      <c r="D65" s="15" t="s">
        <v>2239</v>
      </c>
      <c r="E65" s="16" t="s">
        <v>79</v>
      </c>
      <c r="F65" s="14" t="s">
        <v>2232</v>
      </c>
      <c r="G65" s="17"/>
      <c r="H65" s="128" t="str">
        <f>Settings!$B$3&amp;".mit.ppin.frt.ure.1"</f>
        <v>egy.mit.ppin.frt.ure.1</v>
      </c>
      <c r="K65" s="18"/>
      <c r="L65" s="19">
        <f>IF(Mitigation_Industry!L$293&lt;=0,0,L$55/Mitigation_Industry!L$293)</f>
        <v>0</v>
      </c>
      <c r="M65" s="19">
        <f>IF(Mitigation_Industry!M$293&lt;=0,0,M$55/Mitigation_Industry!M$293)</f>
        <v>0</v>
      </c>
      <c r="N65" s="19">
        <f>IF(Mitigation_Industry!N$293&lt;=0,0,N$55/Mitigation_Industry!N$293)</f>
        <v>0</v>
      </c>
      <c r="O65" s="19">
        <f>IF(Mitigation_Industry!O$293&lt;=0,0,O$55/Mitigation_Industry!O$293)</f>
        <v>0</v>
      </c>
      <c r="P65" s="19">
        <f>IF(Mitigation_Industry!P$293&lt;=0,0,P$55/Mitigation_Industry!P$293)</f>
        <v>0</v>
      </c>
      <c r="Q65" s="19">
        <f>IF(Mitigation_Industry!Q$293&lt;=0,0,Q$55/Mitigation_Industry!Q$293)</f>
        <v>0</v>
      </c>
      <c r="R65" s="19">
        <f>IF(Mitigation_Industry!R$293&lt;=0,0,R$55/Mitigation_Industry!R$293)</f>
        <v>0</v>
      </c>
      <c r="S65" s="19">
        <f>IF(Mitigation_Industry!S$293&lt;=0,0,S$55/Mitigation_Industry!S$293)</f>
        <v>0</v>
      </c>
      <c r="T65" s="19">
        <f>IF(Mitigation_Industry!T$293&lt;=0,0,T$55/Mitigation_Industry!T$293)</f>
        <v>0</v>
      </c>
      <c r="U65" s="19">
        <f>IF(Mitigation_Industry!U$293&lt;=0,0,U$55/Mitigation_Industry!U$293)</f>
        <v>0</v>
      </c>
      <c r="V65" s="19">
        <f>IF(Mitigation_Industry!V$293&lt;=0,0,V$55/Mitigation_Industry!V$293)</f>
        <v>0</v>
      </c>
      <c r="W65" s="19">
        <f>IF(Mitigation_Industry!W$293&lt;=0,0,W$55/Mitigation_Industry!W$293)</f>
        <v>0</v>
      </c>
      <c r="X65" s="19">
        <f>IF(Mitigation_Industry!X$293&lt;=0,0,X$55/Mitigation_Industry!X$293)</f>
        <v>0</v>
      </c>
      <c r="Y65" s="19">
        <f>IF(Mitigation_Industry!Y$293&lt;=0,0,Y$55/Mitigation_Industry!Y$293)</f>
        <v>0</v>
      </c>
      <c r="Z65" s="19">
        <f>IF(Mitigation_Industry!Z$293&lt;=0,0,Z$55/Mitigation_Industry!Z$293)</f>
        <v>0</v>
      </c>
      <c r="AA65" s="19">
        <f>IF(Mitigation_Industry!AA$293&lt;=0,0,AA$55/Mitigation_Industry!AA$293)</f>
        <v>0</v>
      </c>
      <c r="AB65" s="19">
        <f>IF(Mitigation_Industry!AB$293&lt;=0,0,AB$55/Mitigation_Industry!AB$293)</f>
        <v>0</v>
      </c>
      <c r="AC65" s="19">
        <f>IF(Mitigation_Industry!AC$293&lt;=0,0,AC$55/Mitigation_Industry!AC$293)</f>
        <v>0</v>
      </c>
      <c r="AD65" s="19">
        <f>IF(Mitigation_Industry!AD$293&lt;=0,0,AD$55/Mitigation_Industry!AD$293)</f>
        <v>0</v>
      </c>
      <c r="AE65" s="19">
        <f>IF(Mitigation_Industry!AE$293&lt;=0,0,AE$55/Mitigation_Industry!AE$293)</f>
        <v>0</v>
      </c>
    </row>
    <row r="66" spans="1:35" customFormat="1" ht="14.25" x14ac:dyDescent="0.45">
      <c r="B66" s="14" t="s">
        <v>1453</v>
      </c>
      <c r="C66" s="14" t="s">
        <v>117</v>
      </c>
      <c r="D66" s="15" t="s">
        <v>2240</v>
      </c>
      <c r="E66" s="16" t="s">
        <v>79</v>
      </c>
      <c r="F66" s="14" t="s">
        <v>2232</v>
      </c>
      <c r="G66" s="17"/>
      <c r="H66" s="128" t="str">
        <f>Settings!$B$3&amp;".mit.ppin.frt.nit.1"</f>
        <v>egy.mit.ppin.frt.nit.1</v>
      </c>
      <c r="K66" s="18"/>
      <c r="L66" s="19">
        <f>IF(Mitigation_Industry!L$294&lt;=0,0,L$56/Mitigation_Industry!L$294)</f>
        <v>0</v>
      </c>
      <c r="M66" s="19">
        <f>IF(Mitigation_Industry!M$294&lt;=0,0,M$56/Mitigation_Industry!M$294)</f>
        <v>0</v>
      </c>
      <c r="N66" s="19">
        <f>IF(Mitigation_Industry!N$294&lt;=0,0,N$56/Mitigation_Industry!N$294)</f>
        <v>0</v>
      </c>
      <c r="O66" s="19">
        <f>IF(Mitigation_Industry!O$294&lt;=0,0,O$56/Mitigation_Industry!O$294)</f>
        <v>0</v>
      </c>
      <c r="P66" s="19">
        <f>IF(Mitigation_Industry!P$294&lt;=0,0,P$56/Mitigation_Industry!P$294)</f>
        <v>0</v>
      </c>
      <c r="Q66" s="19">
        <f>IF(Mitigation_Industry!Q$294&lt;=0,0,Q$56/Mitigation_Industry!Q$294)</f>
        <v>0</v>
      </c>
      <c r="R66" s="19">
        <f>IF(Mitigation_Industry!R$294&lt;=0,0,R$56/Mitigation_Industry!R$294)</f>
        <v>0</v>
      </c>
      <c r="S66" s="19">
        <f>IF(Mitigation_Industry!S$294&lt;=0,0,S$56/Mitigation_Industry!S$294)</f>
        <v>0</v>
      </c>
      <c r="T66" s="19">
        <f>IF(Mitigation_Industry!T$294&lt;=0,0,T$56/Mitigation_Industry!T$294)</f>
        <v>0</v>
      </c>
      <c r="U66" s="19">
        <f>IF(Mitigation_Industry!U$294&lt;=0,0,U$56/Mitigation_Industry!U$294)</f>
        <v>0</v>
      </c>
      <c r="V66" s="19">
        <f>IF(Mitigation_Industry!V$294&lt;=0,0,V$56/Mitigation_Industry!V$294)</f>
        <v>0</v>
      </c>
      <c r="W66" s="19">
        <f>IF(Mitigation_Industry!W$294&lt;=0,0,W$56/Mitigation_Industry!W$294)</f>
        <v>0</v>
      </c>
      <c r="X66" s="19">
        <f>IF(Mitigation_Industry!X$294&lt;=0,0,X$56/Mitigation_Industry!X$294)</f>
        <v>0</v>
      </c>
      <c r="Y66" s="19">
        <f>IF(Mitigation_Industry!Y$294&lt;=0,0,Y$56/Mitigation_Industry!Y$294)</f>
        <v>0</v>
      </c>
      <c r="Z66" s="19">
        <f>IF(Mitigation_Industry!Z$294&lt;=0,0,Z$56/Mitigation_Industry!Z$294)</f>
        <v>0</v>
      </c>
      <c r="AA66" s="19">
        <f>IF(Mitigation_Industry!AA$294&lt;=0,0,AA$56/Mitigation_Industry!AA$294)</f>
        <v>0</v>
      </c>
      <c r="AB66" s="19">
        <f>IF(Mitigation_Industry!AB$294&lt;=0,0,AB$56/Mitigation_Industry!AB$294)</f>
        <v>0</v>
      </c>
      <c r="AC66" s="19">
        <f>IF(Mitigation_Industry!AC$294&lt;=0,0,AC$56/Mitigation_Industry!AC$294)</f>
        <v>0</v>
      </c>
      <c r="AD66" s="19">
        <f>IF(Mitigation_Industry!AD$294&lt;=0,0,AD$56/Mitigation_Industry!AD$294)</f>
        <v>0</v>
      </c>
      <c r="AE66" s="19">
        <f>IF(Mitigation_Industry!AE$294&lt;=0,0,AE$56/Mitigation_Industry!AE$294)</f>
        <v>0</v>
      </c>
    </row>
    <row r="67" spans="1:35" customFormat="1" ht="14.25" x14ac:dyDescent="0.45">
      <c r="B67" s="14" t="s">
        <v>1456</v>
      </c>
      <c r="C67" s="14" t="s">
        <v>115</v>
      </c>
      <c r="D67" s="15" t="s">
        <v>2241</v>
      </c>
      <c r="E67" s="16" t="s">
        <v>79</v>
      </c>
      <c r="F67" s="14" t="s">
        <v>2232</v>
      </c>
      <c r="G67" s="17"/>
      <c r="H67" s="128" t="str">
        <f>Settings!$B$3&amp;".mit.ppin.alu.prp.1"</f>
        <v>egy.mit.ppin.alu.prp.1</v>
      </c>
      <c r="K67" s="18"/>
      <c r="L67" s="19">
        <f>IF(Mitigation_Industry!L$295&lt;=0,0,L$57/Mitigation_Industry!L$295)</f>
        <v>0</v>
      </c>
      <c r="M67" s="19">
        <f>IF(Mitigation_Industry!M$295&lt;=0,0,M$57/Mitigation_Industry!M$295)</f>
        <v>0</v>
      </c>
      <c r="N67" s="19">
        <f>IF(Mitigation_Industry!N$295&lt;=0,0,N$57/Mitigation_Industry!N$295)</f>
        <v>0</v>
      </c>
      <c r="O67" s="19">
        <f>IF(Mitigation_Industry!O$295&lt;=0,0,O$57/Mitigation_Industry!O$295)</f>
        <v>0</v>
      </c>
      <c r="P67" s="19">
        <f>IF(Mitigation_Industry!P$295&lt;=0,0,P$57/Mitigation_Industry!P$295)</f>
        <v>0</v>
      </c>
      <c r="Q67" s="19">
        <f>IF(Mitigation_Industry!Q$295&lt;=0,0,Q$57/Mitigation_Industry!Q$295)</f>
        <v>0</v>
      </c>
      <c r="R67" s="19">
        <f>IF(Mitigation_Industry!R$295&lt;=0,0,R$57/Mitigation_Industry!R$295)</f>
        <v>0</v>
      </c>
      <c r="S67" s="19">
        <f>IF(Mitigation_Industry!S$295&lt;=0,0,S$57/Mitigation_Industry!S$295)</f>
        <v>0</v>
      </c>
      <c r="T67" s="19">
        <f>IF(Mitigation_Industry!T$295&lt;=0,0,T$57/Mitigation_Industry!T$295)</f>
        <v>0</v>
      </c>
      <c r="U67" s="19">
        <f>IF(Mitigation_Industry!U$295&lt;=0,0,U$57/Mitigation_Industry!U$295)</f>
        <v>0</v>
      </c>
      <c r="V67" s="19">
        <f>IF(Mitigation_Industry!V$295&lt;=0,0,V$57/Mitigation_Industry!V$295)</f>
        <v>0</v>
      </c>
      <c r="W67" s="19">
        <f>IF(Mitigation_Industry!W$295&lt;=0,0,W$57/Mitigation_Industry!W$295)</f>
        <v>0</v>
      </c>
      <c r="X67" s="19">
        <f>IF(Mitigation_Industry!X$295&lt;=0,0,X$57/Mitigation_Industry!X$295)</f>
        <v>0</v>
      </c>
      <c r="Y67" s="19">
        <f>IF(Mitigation_Industry!Y$295&lt;=0,0,Y$57/Mitigation_Industry!Y$295)</f>
        <v>0</v>
      </c>
      <c r="Z67" s="19">
        <f>IF(Mitigation_Industry!Z$295&lt;=0,0,Z$57/Mitigation_Industry!Z$295)</f>
        <v>0</v>
      </c>
      <c r="AA67" s="19">
        <f>IF(Mitigation_Industry!AA$295&lt;=0,0,AA$57/Mitigation_Industry!AA$295)</f>
        <v>0</v>
      </c>
      <c r="AB67" s="19">
        <f>IF(Mitigation_Industry!AB$295&lt;=0,0,AB$57/Mitigation_Industry!AB$295)</f>
        <v>0</v>
      </c>
      <c r="AC67" s="19">
        <f>IF(Mitigation_Industry!AC$295&lt;=0,0,AC$57/Mitigation_Industry!AC$295)</f>
        <v>0</v>
      </c>
      <c r="AD67" s="19">
        <f>IF(Mitigation_Industry!AD$295&lt;=0,0,AD$57/Mitigation_Industry!AD$295)</f>
        <v>0</v>
      </c>
      <c r="AE67" s="19">
        <f>IF(Mitigation_Industry!AE$295&lt;=0,0,AE$57/Mitigation_Industry!AE$295)</f>
        <v>0</v>
      </c>
    </row>
    <row r="69" spans="1:35" customFormat="1" ht="14.25" x14ac:dyDescent="0.45">
      <c r="A69" s="11"/>
      <c r="B69" s="6"/>
      <c r="C69" s="7" t="s">
        <v>2242</v>
      </c>
      <c r="D69" s="6" t="s">
        <v>1488</v>
      </c>
      <c r="E69" s="7" t="s">
        <v>35</v>
      </c>
      <c r="F69" s="7" t="s">
        <v>45</v>
      </c>
      <c r="G69" s="7" t="s">
        <v>37</v>
      </c>
      <c r="H69" s="12" t="s">
        <v>38</v>
      </c>
      <c r="I69" s="6" t="s">
        <v>39</v>
      </c>
      <c r="J69" s="48">
        <v>1</v>
      </c>
      <c r="K69" s="6">
        <v>2021</v>
      </c>
      <c r="L69" s="46">
        <v>2022</v>
      </c>
      <c r="M69" s="6">
        <v>2023</v>
      </c>
      <c r="N69" s="6">
        <v>2024</v>
      </c>
      <c r="O69" s="6">
        <v>2025</v>
      </c>
      <c r="P69" s="6">
        <v>2026</v>
      </c>
      <c r="Q69" s="6">
        <v>2027</v>
      </c>
      <c r="R69" s="6">
        <v>2028</v>
      </c>
      <c r="S69" s="6">
        <v>2029</v>
      </c>
      <c r="T69" s="6">
        <v>2030</v>
      </c>
      <c r="U69" s="6">
        <v>2031</v>
      </c>
      <c r="V69" s="6">
        <v>2032</v>
      </c>
      <c r="W69" s="6">
        <v>2033</v>
      </c>
      <c r="X69" s="6">
        <v>2034</v>
      </c>
      <c r="Y69" s="6">
        <v>2035</v>
      </c>
      <c r="Z69" s="6">
        <v>2036</v>
      </c>
      <c r="AA69" s="6">
        <v>2037</v>
      </c>
      <c r="AB69" s="6">
        <v>2038</v>
      </c>
      <c r="AC69" s="6">
        <v>2039</v>
      </c>
      <c r="AD69" s="6">
        <v>2040</v>
      </c>
      <c r="AE69" s="6">
        <v>2041</v>
      </c>
      <c r="AF69" s="6">
        <v>2042</v>
      </c>
      <c r="AG69" s="6">
        <v>2043</v>
      </c>
      <c r="AH69" s="6">
        <v>2044</v>
      </c>
      <c r="AI69" s="6">
        <v>2045</v>
      </c>
    </row>
    <row r="70" spans="1:35" customFormat="1" ht="14.25" x14ac:dyDescent="0.45">
      <c r="B70" s="14" t="s">
        <v>1435</v>
      </c>
      <c r="C70" s="14" t="s">
        <v>43</v>
      </c>
      <c r="D70" s="15" t="s">
        <v>2243</v>
      </c>
      <c r="E70" s="16" t="s">
        <v>1854</v>
      </c>
      <c r="F70" s="14" t="s">
        <v>2242</v>
      </c>
      <c r="G70" s="17"/>
      <c r="H70" s="128" t="str">
        <f>Settings!$B$3&amp;".mit.obr.stl.drg.1"</f>
        <v>egy.mit.obr.stl.drg.1</v>
      </c>
      <c r="I70" t="s">
        <v>2244</v>
      </c>
      <c r="K70" s="18"/>
      <c r="L70" s="19">
        <f>L$40*Mitigation_Industry!L$276/1000</f>
        <v>0</v>
      </c>
      <c r="M70" s="19">
        <f>M$40*Mitigation_Industry!M$276/1000</f>
        <v>0</v>
      </c>
      <c r="N70" s="19">
        <f>N$40*Mitigation_Industry!N$276/1000</f>
        <v>0</v>
      </c>
      <c r="O70" s="19">
        <f>O$40*Mitigation_Industry!O$276/1000</f>
        <v>0</v>
      </c>
      <c r="P70" s="19">
        <f>P$40*Mitigation_Industry!P$276/1000</f>
        <v>0</v>
      </c>
      <c r="Q70" s="19">
        <f>Q$40*Mitigation_Industry!Q$276/1000</f>
        <v>0</v>
      </c>
      <c r="R70" s="19">
        <f>R$40*Mitigation_Industry!R$276/1000</f>
        <v>0</v>
      </c>
      <c r="S70" s="19">
        <f>S$40*Mitigation_Industry!S$276/1000</f>
        <v>0</v>
      </c>
      <c r="T70" s="19">
        <f>T$40*Mitigation_Industry!T$276/1000</f>
        <v>0</v>
      </c>
      <c r="U70" s="19">
        <f>U$40*Mitigation_Industry!U$276/1000</f>
        <v>0</v>
      </c>
      <c r="V70" s="19">
        <f>V$40*Mitigation_Industry!V$276/1000</f>
        <v>0</v>
      </c>
      <c r="W70" s="19">
        <f>W$40*Mitigation_Industry!W$276/1000</f>
        <v>0</v>
      </c>
      <c r="X70" s="19">
        <f>X$40*Mitigation_Industry!X$276/1000</f>
        <v>0</v>
      </c>
      <c r="Y70" s="19">
        <f>Y$40*Mitigation_Industry!Y$276/1000</f>
        <v>0</v>
      </c>
      <c r="Z70" s="19">
        <f>Z$40*Mitigation_Industry!Z$276/1000</f>
        <v>0</v>
      </c>
      <c r="AA70" s="19">
        <f>AA$40*Mitigation_Industry!AA$276/1000</f>
        <v>0</v>
      </c>
      <c r="AB70" s="19">
        <f>AB$40*Mitigation_Industry!AB$276/1000</f>
        <v>0</v>
      </c>
      <c r="AC70" s="19">
        <f>AC$40*Mitigation_Industry!AC$276/1000</f>
        <v>0</v>
      </c>
      <c r="AD70" s="19">
        <f>AD$40*Mitigation_Industry!AD$276/1000</f>
        <v>0</v>
      </c>
      <c r="AE70" s="19">
        <f>AE$40*Mitigation_Industry!AE$276/1000</f>
        <v>0</v>
      </c>
    </row>
    <row r="71" spans="1:35" customFormat="1" ht="14.25" x14ac:dyDescent="0.45">
      <c r="B71" s="14" t="s">
        <v>1438</v>
      </c>
      <c r="C71" s="14" t="s">
        <v>43</v>
      </c>
      <c r="D71" s="15" t="s">
        <v>2245</v>
      </c>
      <c r="E71" s="16" t="s">
        <v>1854</v>
      </c>
      <c r="F71" s="14" t="s">
        <v>2242</v>
      </c>
      <c r="G71" s="17"/>
      <c r="H71" s="128" t="str">
        <f>Settings!$B$3&amp;".mit.obr.stl.scr.1"</f>
        <v>egy.mit.obr.stl.scr.1</v>
      </c>
      <c r="K71" s="18"/>
      <c r="L71" s="19">
        <f>L$41*Mitigation_Industry!L$277/1000</f>
        <v>0</v>
      </c>
      <c r="M71" s="19">
        <f>M$41*Mitigation_Industry!M$277/1000</f>
        <v>0</v>
      </c>
      <c r="N71" s="19">
        <f>N$41*Mitigation_Industry!N$277/1000</f>
        <v>0</v>
      </c>
      <c r="O71" s="19">
        <f>O$41*Mitigation_Industry!O$277/1000</f>
        <v>0</v>
      </c>
      <c r="P71" s="19">
        <f>P$41*Mitigation_Industry!P$277/1000</f>
        <v>0</v>
      </c>
      <c r="Q71" s="19">
        <f>Q$41*Mitigation_Industry!Q$277/1000</f>
        <v>0</v>
      </c>
      <c r="R71" s="19">
        <f>R$41*Mitigation_Industry!R$277/1000</f>
        <v>0</v>
      </c>
      <c r="S71" s="19">
        <f>S$41*Mitigation_Industry!S$277/1000</f>
        <v>0</v>
      </c>
      <c r="T71" s="19">
        <f>T$41*Mitigation_Industry!T$277/1000</f>
        <v>0</v>
      </c>
      <c r="U71" s="19">
        <f>U$41*Mitigation_Industry!U$277/1000</f>
        <v>0</v>
      </c>
      <c r="V71" s="19">
        <f>V$41*Mitigation_Industry!V$277/1000</f>
        <v>0</v>
      </c>
      <c r="W71" s="19">
        <f>W$41*Mitigation_Industry!W$277/1000</f>
        <v>0</v>
      </c>
      <c r="X71" s="19">
        <f>X$41*Mitigation_Industry!X$277/1000</f>
        <v>0</v>
      </c>
      <c r="Y71" s="19">
        <f>Y$41*Mitigation_Industry!Y$277/1000</f>
        <v>0</v>
      </c>
      <c r="Z71" s="19">
        <f>Z$41*Mitigation_Industry!Z$277/1000</f>
        <v>0</v>
      </c>
      <c r="AA71" s="19">
        <f>AA$41*Mitigation_Industry!AA$277/1000</f>
        <v>0</v>
      </c>
      <c r="AB71" s="19">
        <f>AB$41*Mitigation_Industry!AB$277/1000</f>
        <v>0</v>
      </c>
      <c r="AC71" s="19">
        <f>AC$41*Mitigation_Industry!AC$277/1000</f>
        <v>0</v>
      </c>
      <c r="AD71" s="19">
        <f>AD$41*Mitigation_Industry!AD$277/1000</f>
        <v>0</v>
      </c>
      <c r="AE71" s="19">
        <f>AE$41*Mitigation_Industry!AE$277/1000</f>
        <v>0</v>
      </c>
    </row>
    <row r="72" spans="1:35" customFormat="1" ht="14.25" x14ac:dyDescent="0.45">
      <c r="B72" s="14" t="s">
        <v>1441</v>
      </c>
      <c r="C72" s="14" t="s">
        <v>43</v>
      </c>
      <c r="D72" s="15" t="s">
        <v>2246</v>
      </c>
      <c r="E72" s="16" t="s">
        <v>1854</v>
      </c>
      <c r="F72" s="14" t="s">
        <v>2242</v>
      </c>
      <c r="G72" s="17"/>
      <c r="H72" s="128" t="str">
        <f>Settings!$B$3&amp;".mit.obr.stl.bof.1"</f>
        <v>egy.mit.obr.stl.bof.1</v>
      </c>
      <c r="K72" s="18"/>
      <c r="L72" s="19">
        <f>L$42*Mitigation_Industry!L$278/1000</f>
        <v>0</v>
      </c>
      <c r="M72" s="19">
        <f>M$42*Mitigation_Industry!M$278/1000</f>
        <v>0</v>
      </c>
      <c r="N72" s="19">
        <f>N$42*Mitigation_Industry!N$278/1000</f>
        <v>0</v>
      </c>
      <c r="O72" s="19">
        <f>O$42*Mitigation_Industry!O$278/1000</f>
        <v>0</v>
      </c>
      <c r="P72" s="19">
        <f>P$42*Mitigation_Industry!P$278/1000</f>
        <v>0</v>
      </c>
      <c r="Q72" s="19">
        <f>Q$42*Mitigation_Industry!Q$278/1000</f>
        <v>0</v>
      </c>
      <c r="R72" s="19">
        <f>R$42*Mitigation_Industry!R$278/1000</f>
        <v>0</v>
      </c>
      <c r="S72" s="19">
        <f>S$42*Mitigation_Industry!S$278/1000</f>
        <v>0</v>
      </c>
      <c r="T72" s="19">
        <f>T$42*Mitigation_Industry!T$278/1000</f>
        <v>0</v>
      </c>
      <c r="U72" s="19">
        <f>U$42*Mitigation_Industry!U$278/1000</f>
        <v>0</v>
      </c>
      <c r="V72" s="19">
        <f>V$42*Mitigation_Industry!V$278/1000</f>
        <v>0</v>
      </c>
      <c r="W72" s="19">
        <f>W$42*Mitigation_Industry!W$278/1000</f>
        <v>0</v>
      </c>
      <c r="X72" s="19">
        <f>X$42*Mitigation_Industry!X$278/1000</f>
        <v>0</v>
      </c>
      <c r="Y72" s="19">
        <f>Y$42*Mitigation_Industry!Y$278/1000</f>
        <v>0</v>
      </c>
      <c r="Z72" s="19">
        <f>Z$42*Mitigation_Industry!Z$278/1000</f>
        <v>0</v>
      </c>
      <c r="AA72" s="19">
        <f>AA$42*Mitigation_Industry!AA$278/1000</f>
        <v>0</v>
      </c>
      <c r="AB72" s="19">
        <f>AB$42*Mitigation_Industry!AB$278/1000</f>
        <v>0</v>
      </c>
      <c r="AC72" s="19">
        <f>AC$42*Mitigation_Industry!AC$278/1000</f>
        <v>0</v>
      </c>
      <c r="AD72" s="19">
        <f>AD$42*Mitigation_Industry!AD$278/1000</f>
        <v>0</v>
      </c>
      <c r="AE72" s="19">
        <f>AE$42*Mitigation_Industry!AE$278/1000</f>
        <v>0</v>
      </c>
    </row>
    <row r="73" spans="1:35" customFormat="1" ht="14.25" x14ac:dyDescent="0.45">
      <c r="B73" s="14" t="s">
        <v>1444</v>
      </c>
      <c r="C73" s="14" t="s">
        <v>113</v>
      </c>
      <c r="D73" s="15" t="s">
        <v>2247</v>
      </c>
      <c r="E73" s="16" t="s">
        <v>1854</v>
      </c>
      <c r="F73" s="14" t="s">
        <v>2242</v>
      </c>
      <c r="G73" s="17"/>
      <c r="H73" s="128" t="str">
        <f>Settings!$B$3&amp;".mit.obr.cmt.dry.1"</f>
        <v>egy.mit.obr.cmt.dry.1</v>
      </c>
      <c r="K73" s="18"/>
      <c r="L73" s="19">
        <f>L$43*Mitigation_Industry!L$279/1000</f>
        <v>0</v>
      </c>
      <c r="M73" s="19">
        <f>M$43*Mitigation_Industry!M$279/1000</f>
        <v>0</v>
      </c>
      <c r="N73" s="19">
        <f>N$43*Mitigation_Industry!N$279/1000</f>
        <v>0</v>
      </c>
      <c r="O73" s="19">
        <f>O$43*Mitigation_Industry!O$279/1000</f>
        <v>0</v>
      </c>
      <c r="P73" s="19">
        <f>P$43*Mitigation_Industry!P$279/1000</f>
        <v>0</v>
      </c>
      <c r="Q73" s="19">
        <f>Q$43*Mitigation_Industry!Q$279/1000</f>
        <v>0</v>
      </c>
      <c r="R73" s="19">
        <f>R$43*Mitigation_Industry!R$279/1000</f>
        <v>0</v>
      </c>
      <c r="S73" s="19">
        <f>S$43*Mitigation_Industry!S$279/1000</f>
        <v>0</v>
      </c>
      <c r="T73" s="19">
        <f>T$43*Mitigation_Industry!T$279/1000</f>
        <v>0</v>
      </c>
      <c r="U73" s="19">
        <f>U$43*Mitigation_Industry!U$279/1000</f>
        <v>0</v>
      </c>
      <c r="V73" s="19">
        <f>V$43*Mitigation_Industry!V$279/1000</f>
        <v>0</v>
      </c>
      <c r="W73" s="19">
        <f>W$43*Mitigation_Industry!W$279/1000</f>
        <v>0</v>
      </c>
      <c r="X73" s="19">
        <f>X$43*Mitigation_Industry!X$279/1000</f>
        <v>0</v>
      </c>
      <c r="Y73" s="19">
        <f>Y$43*Mitigation_Industry!Y$279/1000</f>
        <v>0</v>
      </c>
      <c r="Z73" s="19">
        <f>Z$43*Mitigation_Industry!Z$279/1000</f>
        <v>0</v>
      </c>
      <c r="AA73" s="19">
        <f>AA$43*Mitigation_Industry!AA$279/1000</f>
        <v>0</v>
      </c>
      <c r="AB73" s="19">
        <f>AB$43*Mitigation_Industry!AB$279/1000</f>
        <v>0</v>
      </c>
      <c r="AC73" s="19">
        <f>AC$43*Mitigation_Industry!AC$279/1000</f>
        <v>0</v>
      </c>
      <c r="AD73" s="19">
        <f>AD$43*Mitigation_Industry!AD$279/1000</f>
        <v>0</v>
      </c>
      <c r="AE73" s="19">
        <f>AE$43*Mitigation_Industry!AE$279/1000</f>
        <v>0</v>
      </c>
    </row>
    <row r="74" spans="1:35" customFormat="1" ht="14.25" x14ac:dyDescent="0.45">
      <c r="B74" s="14" t="s">
        <v>1447</v>
      </c>
      <c r="C74" s="14" t="s">
        <v>117</v>
      </c>
      <c r="D74" s="15" t="s">
        <v>2248</v>
      </c>
      <c r="E74" s="16" t="s">
        <v>1854</v>
      </c>
      <c r="F74" s="14" t="s">
        <v>2242</v>
      </c>
      <c r="G74" s="17"/>
      <c r="H74" s="128" t="str">
        <f>Settings!$B$3&amp;".mit.obr.frt.amc.1"</f>
        <v>egy.mit.obr.frt.amc.1</v>
      </c>
      <c r="K74" s="18"/>
      <c r="L74" s="19">
        <f>L$44*Mitigation_Industry!L$280/1000</f>
        <v>0</v>
      </c>
      <c r="M74" s="19">
        <f>M$44*Mitigation_Industry!M$280/1000</f>
        <v>0</v>
      </c>
      <c r="N74" s="19">
        <f>N$44*Mitigation_Industry!N$280/1000</f>
        <v>0</v>
      </c>
      <c r="O74" s="19">
        <f>O$44*Mitigation_Industry!O$280/1000</f>
        <v>0</v>
      </c>
      <c r="P74" s="19">
        <f>P$44*Mitigation_Industry!P$280/1000</f>
        <v>0</v>
      </c>
      <c r="Q74" s="19">
        <f>Q$44*Mitigation_Industry!Q$280/1000</f>
        <v>0</v>
      </c>
      <c r="R74" s="19">
        <f>R$44*Mitigation_Industry!R$280/1000</f>
        <v>0</v>
      </c>
      <c r="S74" s="19">
        <f>S$44*Mitigation_Industry!S$280/1000</f>
        <v>0</v>
      </c>
      <c r="T74" s="19">
        <f>T$44*Mitigation_Industry!T$280/1000</f>
        <v>0</v>
      </c>
      <c r="U74" s="19">
        <f>U$44*Mitigation_Industry!U$280/1000</f>
        <v>0</v>
      </c>
      <c r="V74" s="19">
        <f>V$44*Mitigation_Industry!V$280/1000</f>
        <v>0</v>
      </c>
      <c r="W74" s="19">
        <f>W$44*Mitigation_Industry!W$280/1000</f>
        <v>0</v>
      </c>
      <c r="X74" s="19">
        <f>X$44*Mitigation_Industry!X$280/1000</f>
        <v>0</v>
      </c>
      <c r="Y74" s="19">
        <f>Y$44*Mitigation_Industry!Y$280/1000</f>
        <v>0</v>
      </c>
      <c r="Z74" s="19">
        <f>Z$44*Mitigation_Industry!Z$280/1000</f>
        <v>0</v>
      </c>
      <c r="AA74" s="19">
        <f>AA$44*Mitigation_Industry!AA$280/1000</f>
        <v>0</v>
      </c>
      <c r="AB74" s="19">
        <f>AB$44*Mitigation_Industry!AB$280/1000</f>
        <v>0</v>
      </c>
      <c r="AC74" s="19">
        <f>AC$44*Mitigation_Industry!AC$280/1000</f>
        <v>0</v>
      </c>
      <c r="AD74" s="19">
        <f>AD$44*Mitigation_Industry!AD$280/1000</f>
        <v>0</v>
      </c>
      <c r="AE74" s="19">
        <f>AE$44*Mitigation_Industry!AE$280/1000</f>
        <v>0</v>
      </c>
    </row>
    <row r="75" spans="1:35" customFormat="1" ht="14.25" x14ac:dyDescent="0.45">
      <c r="B75" s="14" t="s">
        <v>1450</v>
      </c>
      <c r="C75" s="14" t="s">
        <v>117</v>
      </c>
      <c r="D75" s="15" t="s">
        <v>2249</v>
      </c>
      <c r="E75" s="16" t="s">
        <v>1854</v>
      </c>
      <c r="F75" s="14" t="s">
        <v>2242</v>
      </c>
      <c r="G75" s="17"/>
      <c r="H75" s="128" t="str">
        <f>Settings!$B$3&amp;".mit.obr.frt.ure.1"</f>
        <v>egy.mit.obr.frt.ure.1</v>
      </c>
      <c r="K75" s="18"/>
      <c r="L75" s="19">
        <f>L$45*Mitigation_Industry!L$281/1000</f>
        <v>0</v>
      </c>
      <c r="M75" s="19">
        <f>M$45*Mitigation_Industry!M$281/1000</f>
        <v>0</v>
      </c>
      <c r="N75" s="19">
        <f>N$45*Mitigation_Industry!N$281/1000</f>
        <v>0</v>
      </c>
      <c r="O75" s="19">
        <f>O$45*Mitigation_Industry!O$281/1000</f>
        <v>0</v>
      </c>
      <c r="P75" s="19">
        <f>P$45*Mitigation_Industry!P$281/1000</f>
        <v>0</v>
      </c>
      <c r="Q75" s="19">
        <f>Q$45*Mitigation_Industry!Q$281/1000</f>
        <v>0</v>
      </c>
      <c r="R75" s="19">
        <f>R$45*Mitigation_Industry!R$281/1000</f>
        <v>0</v>
      </c>
      <c r="S75" s="19">
        <f>S$45*Mitigation_Industry!S$281/1000</f>
        <v>0</v>
      </c>
      <c r="T75" s="19">
        <f>T$45*Mitigation_Industry!T$281/1000</f>
        <v>0</v>
      </c>
      <c r="U75" s="19">
        <f>U$45*Mitigation_Industry!U$281/1000</f>
        <v>0</v>
      </c>
      <c r="V75" s="19">
        <f>V$45*Mitigation_Industry!V$281/1000</f>
        <v>0</v>
      </c>
      <c r="W75" s="19">
        <f>W$45*Mitigation_Industry!W$281/1000</f>
        <v>0</v>
      </c>
      <c r="X75" s="19">
        <f>X$45*Mitigation_Industry!X$281/1000</f>
        <v>0</v>
      </c>
      <c r="Y75" s="19">
        <f>Y$45*Mitigation_Industry!Y$281/1000</f>
        <v>0</v>
      </c>
      <c r="Z75" s="19">
        <f>Z$45*Mitigation_Industry!Z$281/1000</f>
        <v>0</v>
      </c>
      <c r="AA75" s="19">
        <f>AA$45*Mitigation_Industry!AA$281/1000</f>
        <v>0</v>
      </c>
      <c r="AB75" s="19">
        <f>AB$45*Mitigation_Industry!AB$281/1000</f>
        <v>0</v>
      </c>
      <c r="AC75" s="19">
        <f>AC$45*Mitigation_Industry!AC$281/1000</f>
        <v>0</v>
      </c>
      <c r="AD75" s="19">
        <f>AD$45*Mitigation_Industry!AD$281/1000</f>
        <v>0</v>
      </c>
      <c r="AE75" s="19">
        <f>AE$45*Mitigation_Industry!AE$281/1000</f>
        <v>0</v>
      </c>
    </row>
    <row r="76" spans="1:35" customFormat="1" ht="14.25" x14ac:dyDescent="0.45">
      <c r="B76" s="14" t="s">
        <v>1453</v>
      </c>
      <c r="C76" s="14" t="s">
        <v>117</v>
      </c>
      <c r="D76" s="15" t="s">
        <v>2250</v>
      </c>
      <c r="E76" s="16" t="s">
        <v>1854</v>
      </c>
      <c r="F76" s="14" t="s">
        <v>2242</v>
      </c>
      <c r="G76" s="17"/>
      <c r="H76" s="128" t="str">
        <f>Settings!$B$3&amp;".mit.obr.frt.nit.1"</f>
        <v>egy.mit.obr.frt.nit.1</v>
      </c>
      <c r="K76" s="18"/>
      <c r="L76" s="19">
        <f>L$46*Mitigation_Industry!L$282/1000</f>
        <v>0</v>
      </c>
      <c r="M76" s="19">
        <f>M$46*Mitigation_Industry!M$282/1000</f>
        <v>0</v>
      </c>
      <c r="N76" s="19">
        <f>N$46*Mitigation_Industry!N$282/1000</f>
        <v>0</v>
      </c>
      <c r="O76" s="19">
        <f>O$46*Mitigation_Industry!O$282/1000</f>
        <v>0</v>
      </c>
      <c r="P76" s="19">
        <f>P$46*Mitigation_Industry!P$282/1000</f>
        <v>0</v>
      </c>
      <c r="Q76" s="19">
        <f>Q$46*Mitigation_Industry!Q$282/1000</f>
        <v>0</v>
      </c>
      <c r="R76" s="19">
        <f>R$46*Mitigation_Industry!R$282/1000</f>
        <v>0</v>
      </c>
      <c r="S76" s="19">
        <f>S$46*Mitigation_Industry!S$282/1000</f>
        <v>0</v>
      </c>
      <c r="T76" s="19">
        <f>T$46*Mitigation_Industry!T$282/1000</f>
        <v>0</v>
      </c>
      <c r="U76" s="19">
        <f>U$46*Mitigation_Industry!U$282/1000</f>
        <v>0</v>
      </c>
      <c r="V76" s="19">
        <f>V$46*Mitigation_Industry!V$282/1000</f>
        <v>0</v>
      </c>
      <c r="W76" s="19">
        <f>W$46*Mitigation_Industry!W$282/1000</f>
        <v>0</v>
      </c>
      <c r="X76" s="19">
        <f>X$46*Mitigation_Industry!X$282/1000</f>
        <v>0</v>
      </c>
      <c r="Y76" s="19">
        <f>Y$46*Mitigation_Industry!Y$282/1000</f>
        <v>0</v>
      </c>
      <c r="Z76" s="19">
        <f>Z$46*Mitigation_Industry!Z$282/1000</f>
        <v>0</v>
      </c>
      <c r="AA76" s="19">
        <f>AA$46*Mitigation_Industry!AA$282/1000</f>
        <v>0</v>
      </c>
      <c r="AB76" s="19">
        <f>AB$46*Mitigation_Industry!AB$282/1000</f>
        <v>0</v>
      </c>
      <c r="AC76" s="19">
        <f>AC$46*Mitigation_Industry!AC$282/1000</f>
        <v>0</v>
      </c>
      <c r="AD76" s="19">
        <f>AD$46*Mitigation_Industry!AD$282/1000</f>
        <v>0</v>
      </c>
      <c r="AE76" s="19">
        <f>AE$46*Mitigation_Industry!AE$282/1000</f>
        <v>0</v>
      </c>
    </row>
    <row r="77" spans="1:35" customFormat="1" ht="14.25" x14ac:dyDescent="0.45">
      <c r="B77" s="14" t="s">
        <v>1456</v>
      </c>
      <c r="C77" s="14" t="s">
        <v>115</v>
      </c>
      <c r="D77" s="15" t="s">
        <v>2251</v>
      </c>
      <c r="E77" s="16" t="s">
        <v>1854</v>
      </c>
      <c r="F77" s="14" t="s">
        <v>2242</v>
      </c>
      <c r="G77" s="17"/>
      <c r="H77" s="128" t="str">
        <f>Settings!$B$3&amp;".mit.obr.alu.prp.1"</f>
        <v>egy.mit.obr.alu.prp.1</v>
      </c>
      <c r="K77" s="18"/>
      <c r="L77" s="19">
        <f>L$47*Mitigation_Industry!L$283/1000</f>
        <v>0</v>
      </c>
      <c r="M77" s="19">
        <f>M$47*Mitigation_Industry!M$283/1000</f>
        <v>0</v>
      </c>
      <c r="N77" s="19">
        <f>N$47*Mitigation_Industry!N$283/1000</f>
        <v>0</v>
      </c>
      <c r="O77" s="19">
        <f>O$47*Mitigation_Industry!O$283/1000</f>
        <v>0</v>
      </c>
      <c r="P77" s="19">
        <f>P$47*Mitigation_Industry!P$283/1000</f>
        <v>0</v>
      </c>
      <c r="Q77" s="19">
        <f>Q$47*Mitigation_Industry!Q$283/1000</f>
        <v>0</v>
      </c>
      <c r="R77" s="19">
        <f>R$47*Mitigation_Industry!R$283/1000</f>
        <v>0</v>
      </c>
      <c r="S77" s="19">
        <f>S$47*Mitigation_Industry!S$283/1000</f>
        <v>0</v>
      </c>
      <c r="T77" s="19">
        <f>T$47*Mitigation_Industry!T$283/1000</f>
        <v>0</v>
      </c>
      <c r="U77" s="19">
        <f>U$47*Mitigation_Industry!U$283/1000</f>
        <v>0</v>
      </c>
      <c r="V77" s="19">
        <f>V$47*Mitigation_Industry!V$283/1000</f>
        <v>0</v>
      </c>
      <c r="W77" s="19">
        <f>W$47*Mitigation_Industry!W$283/1000</f>
        <v>0</v>
      </c>
      <c r="X77" s="19">
        <f>X$47*Mitigation_Industry!X$283/1000</f>
        <v>0</v>
      </c>
      <c r="Y77" s="19">
        <f>Y$47*Mitigation_Industry!Y$283/1000</f>
        <v>0</v>
      </c>
      <c r="Z77" s="19">
        <f>Z$47*Mitigation_Industry!Z$283/1000</f>
        <v>0</v>
      </c>
      <c r="AA77" s="19">
        <f>AA$47*Mitigation_Industry!AA$283/1000</f>
        <v>0</v>
      </c>
      <c r="AB77" s="19">
        <f>AB$47*Mitigation_Industry!AB$283/1000</f>
        <v>0</v>
      </c>
      <c r="AC77" s="19">
        <f>AC$47*Mitigation_Industry!AC$283/1000</f>
        <v>0</v>
      </c>
      <c r="AD77" s="19">
        <f>AD$47*Mitigation_Industry!AD$283/1000</f>
        <v>0</v>
      </c>
      <c r="AE77" s="19">
        <f>AE$47*Mitigation_Industry!AE$283/1000</f>
        <v>0</v>
      </c>
    </row>
    <row r="78" spans="1:35" customFormat="1" ht="14.25" x14ac:dyDescent="0.45">
      <c r="B78" s="14" t="s">
        <v>110</v>
      </c>
      <c r="C78" s="14"/>
      <c r="D78" s="25" t="s">
        <v>2252</v>
      </c>
      <c r="E78" s="16" t="s">
        <v>1854</v>
      </c>
      <c r="F78" s="14" t="s">
        <v>2242</v>
      </c>
      <c r="H78" s="128" t="str">
        <f>Settings!$B$3&amp;".mit.obr.cbam.tot.1"</f>
        <v>egy.mit.obr.cbam.tot.1</v>
      </c>
      <c r="L78" s="130">
        <f t="shared" ref="L78:AE78" si="24">SUM(L70:L77)</f>
        <v>0</v>
      </c>
      <c r="M78" s="130">
        <f t="shared" si="24"/>
        <v>0</v>
      </c>
      <c r="N78" s="130">
        <f t="shared" si="24"/>
        <v>0</v>
      </c>
      <c r="O78" s="130">
        <f t="shared" si="24"/>
        <v>0</v>
      </c>
      <c r="P78" s="130">
        <f t="shared" si="24"/>
        <v>0</v>
      </c>
      <c r="Q78" s="130">
        <f t="shared" si="24"/>
        <v>0</v>
      </c>
      <c r="R78" s="130">
        <f t="shared" si="24"/>
        <v>0</v>
      </c>
      <c r="S78" s="130">
        <f t="shared" si="24"/>
        <v>0</v>
      </c>
      <c r="T78" s="130">
        <f t="shared" si="24"/>
        <v>0</v>
      </c>
      <c r="U78" s="130">
        <f t="shared" si="24"/>
        <v>0</v>
      </c>
      <c r="V78" s="130">
        <f t="shared" si="24"/>
        <v>0</v>
      </c>
      <c r="W78" s="130">
        <f t="shared" si="24"/>
        <v>0</v>
      </c>
      <c r="X78" s="130">
        <f t="shared" si="24"/>
        <v>0</v>
      </c>
      <c r="Y78" s="130">
        <f t="shared" si="24"/>
        <v>0</v>
      </c>
      <c r="Z78" s="130">
        <f t="shared" si="24"/>
        <v>0</v>
      </c>
      <c r="AA78" s="130">
        <f t="shared" si="24"/>
        <v>0</v>
      </c>
      <c r="AB78" s="130">
        <f t="shared" si="24"/>
        <v>0</v>
      </c>
      <c r="AC78" s="130">
        <f t="shared" si="24"/>
        <v>0</v>
      </c>
      <c r="AD78" s="130">
        <f t="shared" si="24"/>
        <v>0</v>
      </c>
      <c r="AE78" s="130">
        <f t="shared" si="24"/>
        <v>0</v>
      </c>
    </row>
    <row r="80" spans="1:35" customFormat="1" ht="14.25" x14ac:dyDescent="0.45">
      <c r="A80" s="11"/>
      <c r="B80" s="6"/>
      <c r="C80" s="7" t="s">
        <v>43</v>
      </c>
      <c r="D80" s="6" t="s">
        <v>1488</v>
      </c>
      <c r="E80" s="7" t="s">
        <v>35</v>
      </c>
      <c r="F80" s="7" t="s">
        <v>45</v>
      </c>
      <c r="G80" s="7" t="s">
        <v>37</v>
      </c>
      <c r="H80" s="12" t="s">
        <v>38</v>
      </c>
      <c r="I80" s="6" t="s">
        <v>39</v>
      </c>
      <c r="J80" s="48">
        <v>1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110</v>
      </c>
      <c r="C81" s="14" t="s">
        <v>43</v>
      </c>
      <c r="D81" s="25" t="s">
        <v>2253</v>
      </c>
      <c r="E81" s="16" t="s">
        <v>1854</v>
      </c>
      <c r="F81" s="14" t="s">
        <v>2242</v>
      </c>
      <c r="H81" s="128" t="str">
        <f>Settings!$B$3&amp;".mit.obr.ind.irn.1"</f>
        <v>egy.mit.obr.ind.irn.1</v>
      </c>
      <c r="I81" t="s">
        <v>2254</v>
      </c>
      <c r="L81" s="130">
        <f t="shared" ref="L81:AE81" si="25">L$70+L$71+L$72</f>
        <v>0</v>
      </c>
      <c r="M81" s="130">
        <f t="shared" si="25"/>
        <v>0</v>
      </c>
      <c r="N81" s="130">
        <f t="shared" si="25"/>
        <v>0</v>
      </c>
      <c r="O81" s="130">
        <f t="shared" si="25"/>
        <v>0</v>
      </c>
      <c r="P81" s="130">
        <f t="shared" si="25"/>
        <v>0</v>
      </c>
      <c r="Q81" s="130">
        <f t="shared" si="25"/>
        <v>0</v>
      </c>
      <c r="R81" s="130">
        <f t="shared" si="25"/>
        <v>0</v>
      </c>
      <c r="S81" s="130">
        <f t="shared" si="25"/>
        <v>0</v>
      </c>
      <c r="T81" s="130">
        <f t="shared" si="25"/>
        <v>0</v>
      </c>
      <c r="U81" s="130">
        <f t="shared" si="25"/>
        <v>0</v>
      </c>
      <c r="V81" s="130">
        <f t="shared" si="25"/>
        <v>0</v>
      </c>
      <c r="W81" s="130">
        <f t="shared" si="25"/>
        <v>0</v>
      </c>
      <c r="X81" s="130">
        <f t="shared" si="25"/>
        <v>0</v>
      </c>
      <c r="Y81" s="130">
        <f t="shared" si="25"/>
        <v>0</v>
      </c>
      <c r="Z81" s="130">
        <f t="shared" si="25"/>
        <v>0</v>
      </c>
      <c r="AA81" s="130">
        <f t="shared" si="25"/>
        <v>0</v>
      </c>
      <c r="AB81" s="130">
        <f t="shared" si="25"/>
        <v>0</v>
      </c>
      <c r="AC81" s="130">
        <f t="shared" si="25"/>
        <v>0</v>
      </c>
      <c r="AD81" s="130">
        <f t="shared" si="25"/>
        <v>0</v>
      </c>
      <c r="AE81" s="130">
        <f t="shared" si="25"/>
        <v>0</v>
      </c>
    </row>
    <row r="82" spans="1:35" customFormat="1" ht="14.25" x14ac:dyDescent="0.45">
      <c r="B82" s="14" t="s">
        <v>110</v>
      </c>
      <c r="C82" s="14" t="s">
        <v>43</v>
      </c>
      <c r="D82" s="25" t="s">
        <v>2255</v>
      </c>
      <c r="E82" s="16" t="s">
        <v>1854</v>
      </c>
      <c r="F82" s="14" t="s">
        <v>2256</v>
      </c>
      <c r="H82" s="128" t="str">
        <f>Settings!$B$3&amp;".mit.ccf.ind.irn.1"</f>
        <v>egy.mit.ccf.ind.irn.1</v>
      </c>
      <c r="L82" s="130">
        <f>L$20*Mitigation_Industry!L$276/1000+L$21*Mitigation_Industry!L$277/1000+L$22*Mitigation_Industry!L$278/1000</f>
        <v>0</v>
      </c>
      <c r="M82" s="130">
        <f>M$20*Mitigation_Industry!M$276/1000+M$21*Mitigation_Industry!M$277/1000+M$22*Mitigation_Industry!M$278/1000</f>
        <v>0</v>
      </c>
      <c r="N82" s="130">
        <f>N$20*Mitigation_Industry!N$276/1000+N$21*Mitigation_Industry!N$277/1000+N$22*Mitigation_Industry!N$278/1000</f>
        <v>0</v>
      </c>
      <c r="O82" s="130">
        <f>O$20*Mitigation_Industry!O$276/1000+O$21*Mitigation_Industry!O$277/1000+O$22*Mitigation_Industry!O$278/1000</f>
        <v>0</v>
      </c>
      <c r="P82" s="130">
        <f>P$20*Mitigation_Industry!P$276/1000+P$21*Mitigation_Industry!P$277/1000+P$22*Mitigation_Industry!P$278/1000</f>
        <v>0</v>
      </c>
      <c r="Q82" s="130">
        <f>Q$20*Mitigation_Industry!Q$276/1000+Q$21*Mitigation_Industry!Q$277/1000+Q$22*Mitigation_Industry!Q$278/1000</f>
        <v>0</v>
      </c>
      <c r="R82" s="130">
        <f>R$20*Mitigation_Industry!R$276/1000+R$21*Mitigation_Industry!R$277/1000+R$22*Mitigation_Industry!R$278/1000</f>
        <v>0</v>
      </c>
      <c r="S82" s="130">
        <f>S$20*Mitigation_Industry!S$276/1000+S$21*Mitigation_Industry!S$277/1000+S$22*Mitigation_Industry!S$278/1000</f>
        <v>0</v>
      </c>
      <c r="T82" s="130">
        <f>T$20*Mitigation_Industry!T$276/1000+T$21*Mitigation_Industry!T$277/1000+T$22*Mitigation_Industry!T$278/1000</f>
        <v>0</v>
      </c>
      <c r="U82" s="130">
        <f>U$20*Mitigation_Industry!U$276/1000+U$21*Mitigation_Industry!U$277/1000+U$22*Mitigation_Industry!U$278/1000</f>
        <v>0</v>
      </c>
      <c r="V82" s="130">
        <f>V$20*Mitigation_Industry!V$276/1000+V$21*Mitigation_Industry!V$277/1000+V$22*Mitigation_Industry!V$278/1000</f>
        <v>0</v>
      </c>
      <c r="W82" s="130">
        <f>W$20*Mitigation_Industry!W$276/1000+W$21*Mitigation_Industry!W$277/1000+W$22*Mitigation_Industry!W$278/1000</f>
        <v>0</v>
      </c>
      <c r="X82" s="130">
        <f>X$20*Mitigation_Industry!X$276/1000+X$21*Mitigation_Industry!X$277/1000+X$22*Mitigation_Industry!X$278/1000</f>
        <v>0</v>
      </c>
      <c r="Y82" s="130">
        <f>Y$20*Mitigation_Industry!Y$276/1000+Y$21*Mitigation_Industry!Y$277/1000+Y$22*Mitigation_Industry!Y$278/1000</f>
        <v>0</v>
      </c>
      <c r="Z82" s="130">
        <f>Z$20*Mitigation_Industry!Z$276/1000+Z$21*Mitigation_Industry!Z$277/1000+Z$22*Mitigation_Industry!Z$278/1000</f>
        <v>0</v>
      </c>
      <c r="AA82" s="130">
        <f>AA$20*Mitigation_Industry!AA$276/1000+AA$21*Mitigation_Industry!AA$277/1000+AA$22*Mitigation_Industry!AA$278/1000</f>
        <v>0</v>
      </c>
      <c r="AB82" s="130">
        <f>AB$20*Mitigation_Industry!AB$276/1000+AB$21*Mitigation_Industry!AB$277/1000+AB$22*Mitigation_Industry!AB$278/1000</f>
        <v>0</v>
      </c>
      <c r="AC82" s="130">
        <f>AC$20*Mitigation_Industry!AC$276/1000+AC$21*Mitigation_Industry!AC$277/1000+AC$22*Mitigation_Industry!AC$278/1000</f>
        <v>0</v>
      </c>
      <c r="AD82" s="130">
        <f>AD$20*Mitigation_Industry!AD$276/1000+AD$21*Mitigation_Industry!AD$277/1000+AD$22*Mitigation_Industry!AD$278/1000</f>
        <v>0</v>
      </c>
      <c r="AE82" s="130">
        <f>AE$20*Mitigation_Industry!AE$276/1000+AE$21*Mitigation_Industry!AE$277/1000+AE$22*Mitigation_Industry!AE$278/1000</f>
        <v>0</v>
      </c>
    </row>
    <row r="83" spans="1:35" customFormat="1" ht="14.25" x14ac:dyDescent="0.45">
      <c r="B83" s="14" t="s">
        <v>110</v>
      </c>
      <c r="C83" s="14" t="s">
        <v>43</v>
      </c>
      <c r="D83" s="25" t="s">
        <v>2257</v>
      </c>
      <c r="E83" s="16" t="s">
        <v>79</v>
      </c>
      <c r="F83" s="14" t="s">
        <v>2258</v>
      </c>
      <c r="H83" s="128" t="str">
        <f>Settings!$B$3&amp;".mit.rsh.ind.irn.1"</f>
        <v>egy.mit.rsh.ind.irn.1</v>
      </c>
      <c r="I83" t="s">
        <v>2259</v>
      </c>
      <c r="L83" s="130">
        <f t="shared" ref="L83:AE83" si="26">IF(L$82&lt;=0,0,MIN(1,L$81/L$82))</f>
        <v>0</v>
      </c>
      <c r="M83" s="130">
        <f t="shared" si="26"/>
        <v>0</v>
      </c>
      <c r="N83" s="130">
        <f t="shared" si="26"/>
        <v>0</v>
      </c>
      <c r="O83" s="130">
        <f t="shared" si="26"/>
        <v>0</v>
      </c>
      <c r="P83" s="130">
        <f t="shared" si="26"/>
        <v>0</v>
      </c>
      <c r="Q83" s="130">
        <f t="shared" si="26"/>
        <v>0</v>
      </c>
      <c r="R83" s="130">
        <f t="shared" si="26"/>
        <v>0</v>
      </c>
      <c r="S83" s="130">
        <f t="shared" si="26"/>
        <v>0</v>
      </c>
      <c r="T83" s="130">
        <f t="shared" si="26"/>
        <v>0</v>
      </c>
      <c r="U83" s="130">
        <f t="shared" si="26"/>
        <v>0</v>
      </c>
      <c r="V83" s="130">
        <f t="shared" si="26"/>
        <v>0</v>
      </c>
      <c r="W83" s="130">
        <f t="shared" si="26"/>
        <v>0</v>
      </c>
      <c r="X83" s="130">
        <f t="shared" si="26"/>
        <v>0</v>
      </c>
      <c r="Y83" s="130">
        <f t="shared" si="26"/>
        <v>0</v>
      </c>
      <c r="Z83" s="130">
        <f t="shared" si="26"/>
        <v>0</v>
      </c>
      <c r="AA83" s="130">
        <f t="shared" si="26"/>
        <v>0</v>
      </c>
      <c r="AB83" s="130">
        <f t="shared" si="26"/>
        <v>0</v>
      </c>
      <c r="AC83" s="130">
        <f t="shared" si="26"/>
        <v>0</v>
      </c>
      <c r="AD83" s="130">
        <f t="shared" si="26"/>
        <v>0</v>
      </c>
      <c r="AE83" s="130">
        <f t="shared" si="26"/>
        <v>0</v>
      </c>
    </row>
    <row r="84" spans="1:35" customFormat="1" ht="14.25" x14ac:dyDescent="0.45">
      <c r="B84" s="14" t="s">
        <v>49</v>
      </c>
      <c r="C84" s="14" t="s">
        <v>43</v>
      </c>
      <c r="D84" s="15" t="s">
        <v>2260</v>
      </c>
      <c r="E84" s="16" t="s">
        <v>51</v>
      </c>
      <c r="F84" s="14" t="s">
        <v>2261</v>
      </c>
      <c r="G84" s="17"/>
      <c r="H84" s="128" t="str">
        <f>Settings!$B$3&amp;".mit.atpn.irn.coa.e.1"</f>
        <v>egy.mit.atpn.irn.coa.e.1</v>
      </c>
      <c r="I84" t="s">
        <v>2262</v>
      </c>
      <c r="K84" s="18"/>
      <c r="L84" s="19">
        <f>Mitigation_Industry!L$17-(Mitigation_Industry!L$17-Mitigation_Industry!L$7)*L$83</f>
        <v>10.5233613454312</v>
      </c>
      <c r="M84" s="19">
        <f>Mitigation_Industry!M$17-(Mitigation_Industry!M$17-Mitigation_Industry!M$7)*M$83</f>
        <v>10.2995608274442</v>
      </c>
      <c r="N84" s="19">
        <f>Mitigation_Industry!N$17-(Mitigation_Industry!N$17-Mitigation_Industry!N$7)*N$83</f>
        <v>9.5775283595382597</v>
      </c>
      <c r="O84" s="19">
        <f>Mitigation_Industry!O$17-(Mitigation_Industry!O$17-Mitigation_Industry!O$7)*O$83</f>
        <v>8.4854782869580507</v>
      </c>
      <c r="P84" s="19">
        <f>Mitigation_Industry!P$17-(Mitigation_Industry!P$17-Mitigation_Industry!P$7)*P$83</f>
        <v>9.0871922352498604</v>
      </c>
      <c r="Q84" s="19">
        <f>Mitigation_Industry!Q$17-(Mitigation_Industry!Q$17-Mitigation_Industry!Q$7)*Q$83</f>
        <v>9.2229237289326793</v>
      </c>
      <c r="R84" s="19">
        <f>Mitigation_Industry!R$17-(Mitigation_Industry!R$17-Mitigation_Industry!R$7)*R$83</f>
        <v>9.1585649555096893</v>
      </c>
      <c r="S84" s="19">
        <f>Mitigation_Industry!S$17-(Mitigation_Industry!S$17-Mitigation_Industry!S$7)*S$83</f>
        <v>9.0895478773973792</v>
      </c>
      <c r="T84" s="19">
        <f>Mitigation_Industry!T$17-(Mitigation_Industry!T$17-Mitigation_Industry!T$7)*T$83</f>
        <v>9.0156816660228305</v>
      </c>
      <c r="U84" s="19">
        <f>Mitigation_Industry!U$17-(Mitigation_Industry!U$17-Mitigation_Industry!U$7)*U$83</f>
        <v>8.9443977655571096</v>
      </c>
      <c r="V84" s="19">
        <f>Mitigation_Industry!V$17-(Mitigation_Industry!V$17-Mitigation_Industry!V$7)*V$83</f>
        <v>8.9443977655571096</v>
      </c>
      <c r="W84" s="19">
        <f>Mitigation_Industry!W$17-(Mitigation_Industry!W$17-Mitigation_Industry!W$7)*W$83</f>
        <v>8.9443977655571096</v>
      </c>
      <c r="X84" s="19">
        <f>Mitigation_Industry!X$17-(Mitigation_Industry!X$17-Mitigation_Industry!X$7)*X$83</f>
        <v>8.9443977655571096</v>
      </c>
      <c r="Y84" s="19">
        <f>Mitigation_Industry!Y$17-(Mitigation_Industry!Y$17-Mitigation_Industry!Y$7)*Y$83</f>
        <v>8.9443977655571096</v>
      </c>
      <c r="Z84" s="19">
        <f>Mitigation_Industry!Z$17-(Mitigation_Industry!Z$17-Mitigation_Industry!Z$7)*Z$83</f>
        <v>8.9443977655571096</v>
      </c>
      <c r="AA84" s="19">
        <f>Mitigation_Industry!AA$17-(Mitigation_Industry!AA$17-Mitigation_Industry!AA$7)*AA$83</f>
        <v>8.9443977655571096</v>
      </c>
      <c r="AB84" s="19">
        <f>Mitigation_Industry!AB$17-(Mitigation_Industry!AB$17-Mitigation_Industry!AB$7)*AB$83</f>
        <v>8.9443977655571096</v>
      </c>
      <c r="AC84" s="19">
        <f>Mitigation_Industry!AC$17-(Mitigation_Industry!AC$17-Mitigation_Industry!AC$7)*AC$83</f>
        <v>8.9443977655571096</v>
      </c>
      <c r="AD84" s="19">
        <f>Mitigation_Industry!AD$17-(Mitigation_Industry!AD$17-Mitigation_Industry!AD$7)*AD$83</f>
        <v>8.9443977655571096</v>
      </c>
      <c r="AE84" s="19">
        <f>Mitigation_Industry!AE$17-(Mitigation_Industry!AE$17-Mitigation_Industry!AE$7)*AE$83</f>
        <v>8.9443977655571096</v>
      </c>
    </row>
    <row r="85" spans="1:35" customFormat="1" ht="14.25" x14ac:dyDescent="0.45">
      <c r="B85" s="14" t="s">
        <v>53</v>
      </c>
      <c r="C85" s="14" t="s">
        <v>43</v>
      </c>
      <c r="D85" s="15" t="s">
        <v>2263</v>
      </c>
      <c r="E85" s="16" t="s">
        <v>51</v>
      </c>
      <c r="F85" s="14" t="s">
        <v>2261</v>
      </c>
      <c r="G85" s="17"/>
      <c r="H85" s="128" t="str">
        <f>Settings!$B$3&amp;".mit.atpn.irn.nga.e.1"</f>
        <v>egy.mit.atpn.irn.nga.e.1</v>
      </c>
      <c r="I85" t="s">
        <v>2264</v>
      </c>
      <c r="K85" s="18"/>
      <c r="L85" s="19">
        <f>Mitigation_Industry!L$18-(Mitigation_Industry!L$18-Mitigation_Industry!L$8)*L$83</f>
        <v>5.4510150816191896</v>
      </c>
      <c r="M85" s="19">
        <f>Mitigation_Industry!M$18-(Mitigation_Industry!M$18-Mitigation_Industry!M$8)*M$83</f>
        <v>5.1193563062624801</v>
      </c>
      <c r="N85" s="19">
        <f>Mitigation_Industry!N$18-(Mitigation_Industry!N$18-Mitigation_Industry!N$8)*N$83</f>
        <v>5.08218458640407</v>
      </c>
      <c r="O85" s="19">
        <f>Mitigation_Industry!O$18-(Mitigation_Industry!O$18-Mitigation_Industry!O$8)*O$83</f>
        <v>5.08218458640407</v>
      </c>
      <c r="P85" s="19">
        <f>Mitigation_Industry!P$18-(Mitigation_Industry!P$18-Mitigation_Industry!P$8)*P$83</f>
        <v>5.08218458640407</v>
      </c>
      <c r="Q85" s="19">
        <f>Mitigation_Industry!Q$18-(Mitigation_Industry!Q$18-Mitigation_Industry!Q$8)*Q$83</f>
        <v>5.08218458640407</v>
      </c>
      <c r="R85" s="19">
        <f>Mitigation_Industry!R$18-(Mitigation_Industry!R$18-Mitigation_Industry!R$8)*R$83</f>
        <v>5.08218458640407</v>
      </c>
      <c r="S85" s="19">
        <f>Mitigation_Industry!S$18-(Mitigation_Industry!S$18-Mitigation_Industry!S$8)*S$83</f>
        <v>5.08218458640407</v>
      </c>
      <c r="T85" s="19">
        <f>Mitigation_Industry!T$18-(Mitigation_Industry!T$18-Mitigation_Industry!T$8)*T$83</f>
        <v>5.08218458640407</v>
      </c>
      <c r="U85" s="19">
        <f>Mitigation_Industry!U$18-(Mitigation_Industry!U$18-Mitigation_Industry!U$8)*U$83</f>
        <v>5.08218458640407</v>
      </c>
      <c r="V85" s="19">
        <f>Mitigation_Industry!V$18-(Mitigation_Industry!V$18-Mitigation_Industry!V$8)*V$83</f>
        <v>5.08218458640407</v>
      </c>
      <c r="W85" s="19">
        <f>Mitigation_Industry!W$18-(Mitigation_Industry!W$18-Mitigation_Industry!W$8)*W$83</f>
        <v>5.08218458640407</v>
      </c>
      <c r="X85" s="19">
        <f>Mitigation_Industry!X$18-(Mitigation_Industry!X$18-Mitigation_Industry!X$8)*X$83</f>
        <v>5.08218458640407</v>
      </c>
      <c r="Y85" s="19">
        <f>Mitigation_Industry!Y$18-(Mitigation_Industry!Y$18-Mitigation_Industry!Y$8)*Y$83</f>
        <v>5.08218458640407</v>
      </c>
      <c r="Z85" s="19">
        <f>Mitigation_Industry!Z$18-(Mitigation_Industry!Z$18-Mitigation_Industry!Z$8)*Z$83</f>
        <v>5.08218458640407</v>
      </c>
      <c r="AA85" s="19">
        <f>Mitigation_Industry!AA$18-(Mitigation_Industry!AA$18-Mitigation_Industry!AA$8)*AA$83</f>
        <v>5.08218458640407</v>
      </c>
      <c r="AB85" s="19">
        <f>Mitigation_Industry!AB$18-(Mitigation_Industry!AB$18-Mitigation_Industry!AB$8)*AB$83</f>
        <v>5.08218458640407</v>
      </c>
      <c r="AC85" s="19">
        <f>Mitigation_Industry!AC$18-(Mitigation_Industry!AC$18-Mitigation_Industry!AC$8)*AC$83</f>
        <v>5.08218458640407</v>
      </c>
      <c r="AD85" s="19">
        <f>Mitigation_Industry!AD$18-(Mitigation_Industry!AD$18-Mitigation_Industry!AD$8)*AD$83</f>
        <v>5.08218458640407</v>
      </c>
      <c r="AE85" s="19">
        <f>Mitigation_Industry!AE$18-(Mitigation_Industry!AE$18-Mitigation_Industry!AE$8)*AE$83</f>
        <v>5.08218458640407</v>
      </c>
    </row>
    <row r="86" spans="1:35" customFormat="1" ht="14.25" x14ac:dyDescent="0.45">
      <c r="B86" s="14" t="s">
        <v>55</v>
      </c>
      <c r="C86" s="14" t="s">
        <v>43</v>
      </c>
      <c r="D86" s="15" t="s">
        <v>2265</v>
      </c>
      <c r="E86" s="16" t="s">
        <v>57</v>
      </c>
      <c r="F86" s="14" t="s">
        <v>2261</v>
      </c>
      <c r="G86" s="17"/>
      <c r="H86" s="128" t="str">
        <f>Settings!$B$3&amp;".mit.atpn.irn.gso.e.1"</f>
        <v>egy.mit.atpn.irn.gso.e.1</v>
      </c>
      <c r="I86" t="s">
        <v>2266</v>
      </c>
      <c r="K86" s="18"/>
      <c r="L86" s="19">
        <f>Mitigation_Industry!L$19-(Mitigation_Industry!L$19-Mitigation_Industry!L$9)*L$83</f>
        <v>0.61197797679140598</v>
      </c>
      <c r="M86" s="19">
        <f>Mitigation_Industry!M$19-(Mitigation_Industry!M$19-Mitigation_Industry!M$9)*M$83</f>
        <v>0.61180974964187596</v>
      </c>
      <c r="N86" s="19">
        <f>Mitigation_Industry!N$19-(Mitigation_Industry!N$19-Mitigation_Industry!N$9)*N$83</f>
        <v>0.60358310017790595</v>
      </c>
      <c r="O86" s="19">
        <f>Mitigation_Industry!O$19-(Mitigation_Industry!O$19-Mitigation_Industry!O$9)*O$83</f>
        <v>0.60358310017790595</v>
      </c>
      <c r="P86" s="19">
        <f>Mitigation_Industry!P$19-(Mitigation_Industry!P$19-Mitigation_Industry!P$9)*P$83</f>
        <v>0.60358310017790595</v>
      </c>
      <c r="Q86" s="19">
        <f>Mitigation_Industry!Q$19-(Mitigation_Industry!Q$19-Mitigation_Industry!Q$9)*Q$83</f>
        <v>0.60358310017790595</v>
      </c>
      <c r="R86" s="19">
        <f>Mitigation_Industry!R$19-(Mitigation_Industry!R$19-Mitigation_Industry!R$9)*R$83</f>
        <v>0.60358310017790595</v>
      </c>
      <c r="S86" s="19">
        <f>Mitigation_Industry!S$19-(Mitigation_Industry!S$19-Mitigation_Industry!S$9)*S$83</f>
        <v>0.60358310017790595</v>
      </c>
      <c r="T86" s="19">
        <f>Mitigation_Industry!T$19-(Mitigation_Industry!T$19-Mitigation_Industry!T$9)*T$83</f>
        <v>0.60358310017790595</v>
      </c>
      <c r="U86" s="19">
        <f>Mitigation_Industry!U$19-(Mitigation_Industry!U$19-Mitigation_Industry!U$9)*U$83</f>
        <v>0.60358310017790595</v>
      </c>
      <c r="V86" s="19">
        <f>Mitigation_Industry!V$19-(Mitigation_Industry!V$19-Mitigation_Industry!V$9)*V$83</f>
        <v>0.60358310017790595</v>
      </c>
      <c r="W86" s="19">
        <f>Mitigation_Industry!W$19-(Mitigation_Industry!W$19-Mitigation_Industry!W$9)*W$83</f>
        <v>0.60358310017790595</v>
      </c>
      <c r="X86" s="19">
        <f>Mitigation_Industry!X$19-(Mitigation_Industry!X$19-Mitigation_Industry!X$9)*X$83</f>
        <v>0.60358310017790595</v>
      </c>
      <c r="Y86" s="19">
        <f>Mitigation_Industry!Y$19-(Mitigation_Industry!Y$19-Mitigation_Industry!Y$9)*Y$83</f>
        <v>0.60358310017790595</v>
      </c>
      <c r="Z86" s="19">
        <f>Mitigation_Industry!Z$19-(Mitigation_Industry!Z$19-Mitigation_Industry!Z$9)*Z$83</f>
        <v>0.60358310017790595</v>
      </c>
      <c r="AA86" s="19">
        <f>Mitigation_Industry!AA$19-(Mitigation_Industry!AA$19-Mitigation_Industry!AA$9)*AA$83</f>
        <v>0.60358310017790595</v>
      </c>
      <c r="AB86" s="19">
        <f>Mitigation_Industry!AB$19-(Mitigation_Industry!AB$19-Mitigation_Industry!AB$9)*AB$83</f>
        <v>0.60358310017790595</v>
      </c>
      <c r="AC86" s="19">
        <f>Mitigation_Industry!AC$19-(Mitigation_Industry!AC$19-Mitigation_Industry!AC$9)*AC$83</f>
        <v>0.60358310017790595</v>
      </c>
      <c r="AD86" s="19">
        <f>Mitigation_Industry!AD$19-(Mitigation_Industry!AD$19-Mitigation_Industry!AD$9)*AD$83</f>
        <v>0.60358310017790595</v>
      </c>
      <c r="AE86" s="19">
        <f>Mitigation_Industry!AE$19-(Mitigation_Industry!AE$19-Mitigation_Industry!AE$9)*AE$83</f>
        <v>0.60358310017790595</v>
      </c>
    </row>
    <row r="87" spans="1:35" customFormat="1" ht="14.25" x14ac:dyDescent="0.45">
      <c r="B87" s="14" t="s">
        <v>58</v>
      </c>
      <c r="C87" s="14" t="s">
        <v>43</v>
      </c>
      <c r="D87" s="15" t="s">
        <v>2267</v>
      </c>
      <c r="E87" s="16" t="s">
        <v>57</v>
      </c>
      <c r="F87" s="14" t="s">
        <v>2261</v>
      </c>
      <c r="G87" s="17"/>
      <c r="H87" s="128" t="str">
        <f>Settings!$B$3&amp;".mit.atpn.irn.die.e.1"</f>
        <v>egy.mit.atpn.irn.die.e.1</v>
      </c>
      <c r="I87" t="s">
        <v>2268</v>
      </c>
      <c r="K87" s="18"/>
      <c r="L87" s="19">
        <f>Mitigation_Industry!L$20-(Mitigation_Industry!L$20-Mitigation_Industry!L$10)*L$83</f>
        <v>0.49458873084106802</v>
      </c>
      <c r="M87" s="19">
        <f>Mitigation_Industry!M$20-(Mitigation_Industry!M$20-Mitigation_Industry!M$10)*M$83</f>
        <v>0.50778654720250105</v>
      </c>
      <c r="N87" s="19">
        <f>Mitigation_Industry!N$20-(Mitigation_Industry!N$20-Mitigation_Industry!N$10)*N$83</f>
        <v>0.47043642679561698</v>
      </c>
      <c r="O87" s="19">
        <f>Mitigation_Industry!O$20-(Mitigation_Industry!O$20-Mitigation_Industry!O$10)*O$83</f>
        <v>0.47043642679561698</v>
      </c>
      <c r="P87" s="19">
        <f>Mitigation_Industry!P$20-(Mitigation_Industry!P$20-Mitigation_Industry!P$10)*P$83</f>
        <v>0.47043642679561698</v>
      </c>
      <c r="Q87" s="19">
        <f>Mitigation_Industry!Q$20-(Mitigation_Industry!Q$20-Mitigation_Industry!Q$10)*Q$83</f>
        <v>0.47043642679561698</v>
      </c>
      <c r="R87" s="19">
        <f>Mitigation_Industry!R$20-(Mitigation_Industry!R$20-Mitigation_Industry!R$10)*R$83</f>
        <v>0.47043642679561698</v>
      </c>
      <c r="S87" s="19">
        <f>Mitigation_Industry!S$20-(Mitigation_Industry!S$20-Mitigation_Industry!S$10)*S$83</f>
        <v>0.47043642679561698</v>
      </c>
      <c r="T87" s="19">
        <f>Mitigation_Industry!T$20-(Mitigation_Industry!T$20-Mitigation_Industry!T$10)*T$83</f>
        <v>0.47043642679561698</v>
      </c>
      <c r="U87" s="19">
        <f>Mitigation_Industry!U$20-(Mitigation_Industry!U$20-Mitigation_Industry!U$10)*U$83</f>
        <v>0.47043642679561698</v>
      </c>
      <c r="V87" s="19">
        <f>Mitigation_Industry!V$20-(Mitigation_Industry!V$20-Mitigation_Industry!V$10)*V$83</f>
        <v>0.47043642679561698</v>
      </c>
      <c r="W87" s="19">
        <f>Mitigation_Industry!W$20-(Mitigation_Industry!W$20-Mitigation_Industry!W$10)*W$83</f>
        <v>0.47043642679561698</v>
      </c>
      <c r="X87" s="19">
        <f>Mitigation_Industry!X$20-(Mitigation_Industry!X$20-Mitigation_Industry!X$10)*X$83</f>
        <v>0.47043642679561698</v>
      </c>
      <c r="Y87" s="19">
        <f>Mitigation_Industry!Y$20-(Mitigation_Industry!Y$20-Mitigation_Industry!Y$10)*Y$83</f>
        <v>0.47043642679561698</v>
      </c>
      <c r="Z87" s="19">
        <f>Mitigation_Industry!Z$20-(Mitigation_Industry!Z$20-Mitigation_Industry!Z$10)*Z$83</f>
        <v>0.47043642679561698</v>
      </c>
      <c r="AA87" s="19">
        <f>Mitigation_Industry!AA$20-(Mitigation_Industry!AA$20-Mitigation_Industry!AA$10)*AA$83</f>
        <v>0.47043642679561698</v>
      </c>
      <c r="AB87" s="19">
        <f>Mitigation_Industry!AB$20-(Mitigation_Industry!AB$20-Mitigation_Industry!AB$10)*AB$83</f>
        <v>0.47043642679561698</v>
      </c>
      <c r="AC87" s="19">
        <f>Mitigation_Industry!AC$20-(Mitigation_Industry!AC$20-Mitigation_Industry!AC$10)*AC$83</f>
        <v>0.47043642679561698</v>
      </c>
      <c r="AD87" s="19">
        <f>Mitigation_Industry!AD$20-(Mitigation_Industry!AD$20-Mitigation_Industry!AD$10)*AD$83</f>
        <v>0.47043642679561698</v>
      </c>
      <c r="AE87" s="19">
        <f>Mitigation_Industry!AE$20-(Mitigation_Industry!AE$20-Mitigation_Industry!AE$10)*AE$83</f>
        <v>0.47043642679561698</v>
      </c>
    </row>
    <row r="88" spans="1:35" customFormat="1" ht="14.25" x14ac:dyDescent="0.45">
      <c r="B88" s="14" t="s">
        <v>60</v>
      </c>
      <c r="C88" s="14" t="s">
        <v>43</v>
      </c>
      <c r="D88" s="15" t="s">
        <v>2269</v>
      </c>
      <c r="E88" s="16" t="s">
        <v>57</v>
      </c>
      <c r="F88" s="14" t="s">
        <v>2261</v>
      </c>
      <c r="G88" s="17"/>
      <c r="H88" s="128" t="str">
        <f>Settings!$B$3&amp;".mit.atpn.irn.lpg.e.1"</f>
        <v>egy.mit.atpn.irn.lpg.e.1</v>
      </c>
      <c r="I88" t="s">
        <v>2270</v>
      </c>
      <c r="K88" s="18"/>
      <c r="L88" s="19">
        <f>Mitigation_Industry!L$21-(Mitigation_Industry!L$21-Mitigation_Industry!L$11)*L$83</f>
        <v>0.15734473625227399</v>
      </c>
      <c r="M88" s="19">
        <f>Mitigation_Industry!M$21-(Mitigation_Industry!M$21-Mitigation_Industry!M$11)*M$83</f>
        <v>0.164484037759277</v>
      </c>
      <c r="N88" s="19">
        <f>Mitigation_Industry!N$21-(Mitigation_Industry!N$21-Mitigation_Industry!N$11)*N$83</f>
        <v>0.15070907780704901</v>
      </c>
      <c r="O88" s="19">
        <f>Mitigation_Industry!O$21-(Mitigation_Industry!O$21-Mitigation_Industry!O$11)*O$83</f>
        <v>0.15070907780704901</v>
      </c>
      <c r="P88" s="19">
        <f>Mitigation_Industry!P$21-(Mitigation_Industry!P$21-Mitigation_Industry!P$11)*P$83</f>
        <v>0.15070907780704901</v>
      </c>
      <c r="Q88" s="19">
        <f>Mitigation_Industry!Q$21-(Mitigation_Industry!Q$21-Mitigation_Industry!Q$11)*Q$83</f>
        <v>0.15070907780704901</v>
      </c>
      <c r="R88" s="19">
        <f>Mitigation_Industry!R$21-(Mitigation_Industry!R$21-Mitigation_Industry!R$11)*R$83</f>
        <v>0.15070907780704901</v>
      </c>
      <c r="S88" s="19">
        <f>Mitigation_Industry!S$21-(Mitigation_Industry!S$21-Mitigation_Industry!S$11)*S$83</f>
        <v>0.15070907780704901</v>
      </c>
      <c r="T88" s="19">
        <f>Mitigation_Industry!T$21-(Mitigation_Industry!T$21-Mitigation_Industry!T$11)*T$83</f>
        <v>0.15070907780704901</v>
      </c>
      <c r="U88" s="19">
        <f>Mitigation_Industry!U$21-(Mitigation_Industry!U$21-Mitigation_Industry!U$11)*U$83</f>
        <v>0.15070907780704901</v>
      </c>
      <c r="V88" s="19">
        <f>Mitigation_Industry!V$21-(Mitigation_Industry!V$21-Mitigation_Industry!V$11)*V$83</f>
        <v>0.15070907780704901</v>
      </c>
      <c r="W88" s="19">
        <f>Mitigation_Industry!W$21-(Mitigation_Industry!W$21-Mitigation_Industry!W$11)*W$83</f>
        <v>0.15070907780704901</v>
      </c>
      <c r="X88" s="19">
        <f>Mitigation_Industry!X$21-(Mitigation_Industry!X$21-Mitigation_Industry!X$11)*X$83</f>
        <v>0.15070907780704901</v>
      </c>
      <c r="Y88" s="19">
        <f>Mitigation_Industry!Y$21-(Mitigation_Industry!Y$21-Mitigation_Industry!Y$11)*Y$83</f>
        <v>0.15070907780704901</v>
      </c>
      <c r="Z88" s="19">
        <f>Mitigation_Industry!Z$21-(Mitigation_Industry!Z$21-Mitigation_Industry!Z$11)*Z$83</f>
        <v>0.15070907780704901</v>
      </c>
      <c r="AA88" s="19">
        <f>Mitigation_Industry!AA$21-(Mitigation_Industry!AA$21-Mitigation_Industry!AA$11)*AA$83</f>
        <v>0.15070907780704901</v>
      </c>
      <c r="AB88" s="19">
        <f>Mitigation_Industry!AB$21-(Mitigation_Industry!AB$21-Mitigation_Industry!AB$11)*AB$83</f>
        <v>0.15070907780704901</v>
      </c>
      <c r="AC88" s="19">
        <f>Mitigation_Industry!AC$21-(Mitigation_Industry!AC$21-Mitigation_Industry!AC$11)*AC$83</f>
        <v>0.15070907780704901</v>
      </c>
      <c r="AD88" s="19">
        <f>Mitigation_Industry!AD$21-(Mitigation_Industry!AD$21-Mitigation_Industry!AD$11)*AD$83</f>
        <v>0.15070907780704901</v>
      </c>
      <c r="AE88" s="19">
        <f>Mitigation_Industry!AE$21-(Mitigation_Industry!AE$21-Mitigation_Industry!AE$11)*AE$83</f>
        <v>0.15070907780704901</v>
      </c>
    </row>
    <row r="89" spans="1:35" customFormat="1" ht="14.25" x14ac:dyDescent="0.45">
      <c r="B89" s="14" t="s">
        <v>62</v>
      </c>
      <c r="C89" s="14" t="s">
        <v>43</v>
      </c>
      <c r="D89" s="15" t="s">
        <v>2271</v>
      </c>
      <c r="E89" s="16" t="s">
        <v>57</v>
      </c>
      <c r="F89" s="14" t="s">
        <v>2261</v>
      </c>
      <c r="G89" s="17"/>
      <c r="H89" s="128" t="str">
        <f>Settings!$B$3&amp;".mit.atpn.irn.ker.e.1"</f>
        <v>egy.mit.atpn.irn.ker.e.1</v>
      </c>
      <c r="I89" t="s">
        <v>2272</v>
      </c>
      <c r="K89" s="18"/>
      <c r="L89" s="19">
        <f>Mitigation_Industry!L$22-(Mitigation_Industry!L$22-Mitigation_Industry!L$12)*L$83</f>
        <v>0.45642817050012802</v>
      </c>
      <c r="M89" s="19">
        <f>Mitigation_Industry!M$22-(Mitigation_Industry!M$22-Mitigation_Industry!M$12)*M$83</f>
        <v>0.43168920195599497</v>
      </c>
      <c r="N89" s="19">
        <f>Mitigation_Industry!N$22-(Mitigation_Industry!N$22-Mitigation_Industry!N$12)*N$83</f>
        <v>0.42507558395597</v>
      </c>
      <c r="O89" s="19">
        <f>Mitigation_Industry!O$22-(Mitigation_Industry!O$22-Mitigation_Industry!O$12)*O$83</f>
        <v>0.42507558395597</v>
      </c>
      <c r="P89" s="19">
        <f>Mitigation_Industry!P$22-(Mitigation_Industry!P$22-Mitigation_Industry!P$12)*P$83</f>
        <v>0.42507558395597</v>
      </c>
      <c r="Q89" s="19">
        <f>Mitigation_Industry!Q$22-(Mitigation_Industry!Q$22-Mitigation_Industry!Q$12)*Q$83</f>
        <v>0.42507558395597</v>
      </c>
      <c r="R89" s="19">
        <f>Mitigation_Industry!R$22-(Mitigation_Industry!R$22-Mitigation_Industry!R$12)*R$83</f>
        <v>0.42507558395597</v>
      </c>
      <c r="S89" s="19">
        <f>Mitigation_Industry!S$22-(Mitigation_Industry!S$22-Mitigation_Industry!S$12)*S$83</f>
        <v>0.42507558395597</v>
      </c>
      <c r="T89" s="19">
        <f>Mitigation_Industry!T$22-(Mitigation_Industry!T$22-Mitigation_Industry!T$12)*T$83</f>
        <v>0.42507558395597</v>
      </c>
      <c r="U89" s="19">
        <f>Mitigation_Industry!U$22-(Mitigation_Industry!U$22-Mitigation_Industry!U$12)*U$83</f>
        <v>0.42507558395597</v>
      </c>
      <c r="V89" s="19">
        <f>Mitigation_Industry!V$22-(Mitigation_Industry!V$22-Mitigation_Industry!V$12)*V$83</f>
        <v>0.42507558395597</v>
      </c>
      <c r="W89" s="19">
        <f>Mitigation_Industry!W$22-(Mitigation_Industry!W$22-Mitigation_Industry!W$12)*W$83</f>
        <v>0.42507558395597</v>
      </c>
      <c r="X89" s="19">
        <f>Mitigation_Industry!X$22-(Mitigation_Industry!X$22-Mitigation_Industry!X$12)*X$83</f>
        <v>0.42507558395597</v>
      </c>
      <c r="Y89" s="19">
        <f>Mitigation_Industry!Y$22-(Mitigation_Industry!Y$22-Mitigation_Industry!Y$12)*Y$83</f>
        <v>0.42507558395597</v>
      </c>
      <c r="Z89" s="19">
        <f>Mitigation_Industry!Z$22-(Mitigation_Industry!Z$22-Mitigation_Industry!Z$12)*Z$83</f>
        <v>0.42507558395597</v>
      </c>
      <c r="AA89" s="19">
        <f>Mitigation_Industry!AA$22-(Mitigation_Industry!AA$22-Mitigation_Industry!AA$12)*AA$83</f>
        <v>0.42507558395597</v>
      </c>
      <c r="AB89" s="19">
        <f>Mitigation_Industry!AB$22-(Mitigation_Industry!AB$22-Mitigation_Industry!AB$12)*AB$83</f>
        <v>0.42507558395597</v>
      </c>
      <c r="AC89" s="19">
        <f>Mitigation_Industry!AC$22-(Mitigation_Industry!AC$22-Mitigation_Industry!AC$12)*AC$83</f>
        <v>0.42507558395597</v>
      </c>
      <c r="AD89" s="19">
        <f>Mitigation_Industry!AD$22-(Mitigation_Industry!AD$22-Mitigation_Industry!AD$12)*AD$83</f>
        <v>0.42507558395597</v>
      </c>
      <c r="AE89" s="19">
        <f>Mitigation_Industry!AE$22-(Mitigation_Industry!AE$22-Mitigation_Industry!AE$12)*AE$83</f>
        <v>0.42507558395597</v>
      </c>
    </row>
    <row r="90" spans="1:35" customFormat="1" ht="14.25" x14ac:dyDescent="0.45">
      <c r="B90" s="14" t="s">
        <v>64</v>
      </c>
      <c r="C90" s="14" t="s">
        <v>43</v>
      </c>
      <c r="D90" s="15" t="s">
        <v>2273</v>
      </c>
      <c r="E90" s="16" t="s">
        <v>66</v>
      </c>
      <c r="F90" s="14" t="s">
        <v>2261</v>
      </c>
      <c r="G90" s="17"/>
      <c r="H90" s="128" t="str">
        <f>Settings!$B$3&amp;".mit.atpn.irn.oop.e.1"</f>
        <v>egy.mit.atpn.irn.oop.e.1</v>
      </c>
      <c r="I90" t="s">
        <v>2274</v>
      </c>
      <c r="K90" s="18"/>
      <c r="L90" s="19">
        <f>Mitigation_Industry!L$23-(Mitigation_Industry!L$23-Mitigation_Industry!L$13)*L$83</f>
        <v>34.4153703043132</v>
      </c>
      <c r="M90" s="19">
        <f>Mitigation_Industry!M$23-(Mitigation_Industry!M$23-Mitigation_Industry!M$13)*M$83</f>
        <v>37.368960690431997</v>
      </c>
      <c r="N90" s="19">
        <f>Mitigation_Industry!N$23-(Mitigation_Industry!N$23-Mitigation_Industry!N$13)*N$83</f>
        <v>28.982761101477301</v>
      </c>
      <c r="O90" s="19">
        <f>Mitigation_Industry!O$23-(Mitigation_Industry!O$23-Mitigation_Industry!O$13)*O$83</f>
        <v>15</v>
      </c>
      <c r="P90" s="19">
        <f>Mitigation_Industry!P$23-(Mitigation_Industry!P$23-Mitigation_Industry!P$13)*P$83</f>
        <v>24.2586300842555</v>
      </c>
      <c r="Q90" s="19">
        <f>Mitigation_Industry!Q$23-(Mitigation_Industry!Q$23-Mitigation_Industry!Q$13)*Q$83</f>
        <v>15</v>
      </c>
      <c r="R90" s="19">
        <f>Mitigation_Industry!R$23-(Mitigation_Industry!R$23-Mitigation_Industry!R$13)*R$83</f>
        <v>15</v>
      </c>
      <c r="S90" s="19">
        <f>Mitigation_Industry!S$23-(Mitigation_Industry!S$23-Mitigation_Industry!S$13)*S$83</f>
        <v>15</v>
      </c>
      <c r="T90" s="19">
        <f>Mitigation_Industry!T$23-(Mitigation_Industry!T$23-Mitigation_Industry!T$13)*T$83</f>
        <v>15</v>
      </c>
      <c r="U90" s="19">
        <f>Mitigation_Industry!U$23-(Mitigation_Industry!U$23-Mitigation_Industry!U$13)*U$83</f>
        <v>15</v>
      </c>
      <c r="V90" s="19">
        <f>Mitigation_Industry!V$23-(Mitigation_Industry!V$23-Mitigation_Industry!V$13)*V$83</f>
        <v>15</v>
      </c>
      <c r="W90" s="19">
        <f>Mitigation_Industry!W$23-(Mitigation_Industry!W$23-Mitigation_Industry!W$13)*W$83</f>
        <v>15</v>
      </c>
      <c r="X90" s="19">
        <f>Mitigation_Industry!X$23-(Mitigation_Industry!X$23-Mitigation_Industry!X$13)*X$83</f>
        <v>15</v>
      </c>
      <c r="Y90" s="19">
        <f>Mitigation_Industry!Y$23-(Mitigation_Industry!Y$23-Mitigation_Industry!Y$13)*Y$83</f>
        <v>15</v>
      </c>
      <c r="Z90" s="19">
        <f>Mitigation_Industry!Z$23-(Mitigation_Industry!Z$23-Mitigation_Industry!Z$13)*Z$83</f>
        <v>15</v>
      </c>
      <c r="AA90" s="19">
        <f>Mitigation_Industry!AA$23-(Mitigation_Industry!AA$23-Mitigation_Industry!AA$13)*AA$83</f>
        <v>15</v>
      </c>
      <c r="AB90" s="19">
        <f>Mitigation_Industry!AB$23-(Mitigation_Industry!AB$23-Mitigation_Industry!AB$13)*AB$83</f>
        <v>15</v>
      </c>
      <c r="AC90" s="19">
        <f>Mitigation_Industry!AC$23-(Mitigation_Industry!AC$23-Mitigation_Industry!AC$13)*AC$83</f>
        <v>15</v>
      </c>
      <c r="AD90" s="19">
        <f>Mitigation_Industry!AD$23-(Mitigation_Industry!AD$23-Mitigation_Industry!AD$13)*AD$83</f>
        <v>15</v>
      </c>
      <c r="AE90" s="19">
        <f>Mitigation_Industry!AE$23-(Mitigation_Industry!AE$23-Mitigation_Industry!AE$13)*AE$83</f>
        <v>15</v>
      </c>
    </row>
    <row r="91" spans="1:35" customFormat="1" ht="14.25" x14ac:dyDescent="0.45">
      <c r="B91" s="14" t="s">
        <v>67</v>
      </c>
      <c r="C91" s="14" t="s">
        <v>43</v>
      </c>
      <c r="D91" s="15" t="s">
        <v>2275</v>
      </c>
      <c r="E91" s="16" t="s">
        <v>51</v>
      </c>
      <c r="F91" s="14" t="s">
        <v>2261</v>
      </c>
      <c r="G91" s="17"/>
      <c r="H91" s="128" t="str">
        <f>Settings!$B$3&amp;".mit.atpn.irn.bio.e.1"</f>
        <v>egy.mit.atpn.irn.bio.e.1</v>
      </c>
      <c r="I91" t="s">
        <v>2276</v>
      </c>
      <c r="K91" s="18"/>
      <c r="L91" s="19">
        <f>Mitigation_Industry!L$24-(Mitigation_Industry!L$24-Mitigation_Industry!L$14)*L$83</f>
        <v>14.199528390634899</v>
      </c>
      <c r="M91" s="19">
        <f>Mitigation_Industry!M$24-(Mitigation_Industry!M$24-Mitigation_Industry!M$14)*M$83</f>
        <v>13.8404416133152</v>
      </c>
      <c r="N91" s="19">
        <f>Mitigation_Industry!N$24-(Mitigation_Industry!N$24-Mitigation_Industry!N$14)*N$83</f>
        <v>13.5677269404465</v>
      </c>
      <c r="O91" s="19">
        <f>Mitigation_Industry!O$24-(Mitigation_Industry!O$24-Mitigation_Industry!O$14)*O$83</f>
        <v>13.5677269404465</v>
      </c>
      <c r="P91" s="19">
        <f>Mitigation_Industry!P$24-(Mitigation_Industry!P$24-Mitigation_Industry!P$14)*P$83</f>
        <v>13.5677269404465</v>
      </c>
      <c r="Q91" s="19">
        <f>Mitigation_Industry!Q$24-(Mitigation_Industry!Q$24-Mitigation_Industry!Q$14)*Q$83</f>
        <v>13.5677269404465</v>
      </c>
      <c r="R91" s="19">
        <f>Mitigation_Industry!R$24-(Mitigation_Industry!R$24-Mitigation_Industry!R$14)*R$83</f>
        <v>13.5677269404465</v>
      </c>
      <c r="S91" s="19">
        <f>Mitigation_Industry!S$24-(Mitigation_Industry!S$24-Mitigation_Industry!S$14)*S$83</f>
        <v>13.5677269404465</v>
      </c>
      <c r="T91" s="19">
        <f>Mitigation_Industry!T$24-(Mitigation_Industry!T$24-Mitigation_Industry!T$14)*T$83</f>
        <v>13.5677269404465</v>
      </c>
      <c r="U91" s="19">
        <f>Mitigation_Industry!U$24-(Mitigation_Industry!U$24-Mitigation_Industry!U$14)*U$83</f>
        <v>13.5677269404465</v>
      </c>
      <c r="V91" s="19">
        <f>Mitigation_Industry!V$24-(Mitigation_Industry!V$24-Mitigation_Industry!V$14)*V$83</f>
        <v>13.5677269404465</v>
      </c>
      <c r="W91" s="19">
        <f>Mitigation_Industry!W$24-(Mitigation_Industry!W$24-Mitigation_Industry!W$14)*W$83</f>
        <v>13.5677269404465</v>
      </c>
      <c r="X91" s="19">
        <f>Mitigation_Industry!X$24-(Mitigation_Industry!X$24-Mitigation_Industry!X$14)*X$83</f>
        <v>13.5677269404465</v>
      </c>
      <c r="Y91" s="19">
        <f>Mitigation_Industry!Y$24-(Mitigation_Industry!Y$24-Mitigation_Industry!Y$14)*Y$83</f>
        <v>13.5677269404465</v>
      </c>
      <c r="Z91" s="19">
        <f>Mitigation_Industry!Z$24-(Mitigation_Industry!Z$24-Mitigation_Industry!Z$14)*Z$83</f>
        <v>13.5677269404465</v>
      </c>
      <c r="AA91" s="19">
        <f>Mitigation_Industry!AA$24-(Mitigation_Industry!AA$24-Mitigation_Industry!AA$14)*AA$83</f>
        <v>13.5677269404465</v>
      </c>
      <c r="AB91" s="19">
        <f>Mitigation_Industry!AB$24-(Mitigation_Industry!AB$24-Mitigation_Industry!AB$14)*AB$83</f>
        <v>13.5677269404465</v>
      </c>
      <c r="AC91" s="19">
        <f>Mitigation_Industry!AC$24-(Mitigation_Industry!AC$24-Mitigation_Industry!AC$14)*AC$83</f>
        <v>13.5677269404465</v>
      </c>
      <c r="AD91" s="19">
        <f>Mitigation_Industry!AD$24-(Mitigation_Industry!AD$24-Mitigation_Industry!AD$14)*AD$83</f>
        <v>13.5677269404465</v>
      </c>
      <c r="AE91" s="19">
        <f>Mitigation_Industry!AE$24-(Mitigation_Industry!AE$24-Mitigation_Industry!AE$14)*AE$83</f>
        <v>13.5677269404465</v>
      </c>
    </row>
    <row r="92" spans="1:35" customFormat="1" ht="14.25" x14ac:dyDescent="0.45">
      <c r="B92" s="14" t="s">
        <v>69</v>
      </c>
      <c r="C92" s="14" t="s">
        <v>43</v>
      </c>
      <c r="D92" s="15" t="s">
        <v>2277</v>
      </c>
      <c r="E92" s="16" t="s">
        <v>71</v>
      </c>
      <c r="F92" s="14" t="s">
        <v>2261</v>
      </c>
      <c r="G92" s="17"/>
      <c r="H92" s="128" t="str">
        <f>Settings!$B$3&amp;".mit.atpn.irn.ren.e.1"</f>
        <v>egy.mit.atpn.irn.ren.e.1</v>
      </c>
      <c r="I92" t="s">
        <v>2278</v>
      </c>
      <c r="K92" s="18"/>
      <c r="L92" s="19">
        <f>Mitigation_Industry!L$25-(Mitigation_Industry!L$25-Mitigation_Industry!L$15)*L$83</f>
        <v>0.14404498679319799</v>
      </c>
      <c r="M92" s="19">
        <f>Mitigation_Industry!M$25-(Mitigation_Industry!M$25-Mitigation_Industry!M$15)*M$83</f>
        <v>0.14102040965700399</v>
      </c>
      <c r="N92" s="19">
        <f>Mitigation_Industry!N$25-(Mitigation_Industry!N$25-Mitigation_Industry!N$15)*N$83</f>
        <v>0.13511635959447599</v>
      </c>
      <c r="O92" s="19">
        <f>Mitigation_Industry!O$25-(Mitigation_Industry!O$25-Mitigation_Industry!O$15)*O$83</f>
        <v>0.13098825698585601</v>
      </c>
      <c r="P92" s="19">
        <f>Mitigation_Industry!P$25-(Mitigation_Industry!P$25-Mitigation_Industry!P$15)*P$83</f>
        <v>0.12790841608631801</v>
      </c>
      <c r="Q92" s="19">
        <f>Mitigation_Industry!Q$25-(Mitigation_Industry!Q$25-Mitigation_Industry!Q$15)*Q$83</f>
        <v>0.124814310557813</v>
      </c>
      <c r="R92" s="19">
        <f>Mitigation_Industry!R$25-(Mitigation_Industry!R$25-Mitigation_Industry!R$15)*R$83</f>
        <v>0.121460257122878</v>
      </c>
      <c r="S92" s="19">
        <f>Mitigation_Industry!S$25-(Mitigation_Industry!S$25-Mitigation_Industry!S$15)*S$83</f>
        <v>0.117950744135786</v>
      </c>
      <c r="T92" s="19">
        <f>Mitigation_Industry!T$25-(Mitigation_Industry!T$25-Mitigation_Industry!T$15)*T$83</f>
        <v>0.114199161044597</v>
      </c>
      <c r="U92" s="19">
        <f>Mitigation_Industry!U$25-(Mitigation_Industry!U$25-Mitigation_Industry!U$15)*U$83</f>
        <v>0.113665100059665</v>
      </c>
      <c r="V92" s="19">
        <f>Mitigation_Industry!V$25-(Mitigation_Industry!V$25-Mitigation_Industry!V$15)*V$83</f>
        <v>0.113016929625957</v>
      </c>
      <c r="W92" s="19">
        <f>Mitigation_Industry!W$25-(Mitigation_Industry!W$25-Mitigation_Industry!W$15)*W$83</f>
        <v>0.112314070507636</v>
      </c>
      <c r="X92" s="19">
        <f>Mitigation_Industry!X$25-(Mitigation_Industry!X$25-Mitigation_Industry!X$15)*X$83</f>
        <v>0.11142204273284299</v>
      </c>
      <c r="Y92" s="19">
        <f>Mitigation_Industry!Y$25-(Mitigation_Industry!Y$25-Mitigation_Industry!Y$15)*Y$83</f>
        <v>0.110434123675809</v>
      </c>
      <c r="Z92" s="19">
        <f>Mitigation_Industry!Z$25-(Mitigation_Industry!Z$25-Mitigation_Industry!Z$15)*Z$83</f>
        <v>0.109483973304471</v>
      </c>
      <c r="AA92" s="19">
        <f>Mitigation_Industry!AA$25-(Mitigation_Industry!AA$25-Mitigation_Industry!AA$15)*AA$83</f>
        <v>0.10839192105294</v>
      </c>
      <c r="AB92" s="19">
        <f>Mitigation_Industry!AB$25-(Mitigation_Industry!AB$25-Mitigation_Industry!AB$15)*AB$83</f>
        <v>0.10735443362670399</v>
      </c>
      <c r="AC92" s="19">
        <f>Mitigation_Industry!AC$25-(Mitigation_Industry!AC$25-Mitigation_Industry!AC$15)*AC$83</f>
        <v>0.105168675441661</v>
      </c>
      <c r="AD92" s="19">
        <f>Mitigation_Industry!AD$25-(Mitigation_Industry!AD$25-Mitigation_Industry!AD$15)*AD$83</f>
        <v>0.103057983256008</v>
      </c>
      <c r="AE92" s="19">
        <f>Mitigation_Industry!AE$25-(Mitigation_Industry!AE$25-Mitigation_Industry!AE$15)*AE$83</f>
        <v>0.100931838990114</v>
      </c>
    </row>
    <row r="94" spans="1:35" customFormat="1" ht="14.25" x14ac:dyDescent="0.45">
      <c r="A94" s="11"/>
      <c r="B94" s="6"/>
      <c r="C94" s="7" t="s">
        <v>113</v>
      </c>
      <c r="D94" s="6" t="s">
        <v>1488</v>
      </c>
      <c r="E94" s="7" t="s">
        <v>35</v>
      </c>
      <c r="F94" s="7" t="s">
        <v>45</v>
      </c>
      <c r="G94" s="7" t="s">
        <v>37</v>
      </c>
      <c r="H94" s="12" t="s">
        <v>38</v>
      </c>
      <c r="I94" s="6" t="s">
        <v>39</v>
      </c>
      <c r="J94" s="48">
        <v>1</v>
      </c>
      <c r="K94" s="6">
        <v>2021</v>
      </c>
      <c r="L94" s="46">
        <v>2022</v>
      </c>
      <c r="M94" s="6">
        <v>2023</v>
      </c>
      <c r="N94" s="6">
        <v>2024</v>
      </c>
      <c r="O94" s="6">
        <v>2025</v>
      </c>
      <c r="P94" s="6">
        <v>2026</v>
      </c>
      <c r="Q94" s="6">
        <v>2027</v>
      </c>
      <c r="R94" s="6">
        <v>2028</v>
      </c>
      <c r="S94" s="6">
        <v>2029</v>
      </c>
      <c r="T94" s="6">
        <v>2030</v>
      </c>
      <c r="U94" s="6">
        <v>2031</v>
      </c>
      <c r="V94" s="6">
        <v>2032</v>
      </c>
      <c r="W94" s="6">
        <v>2033</v>
      </c>
      <c r="X94" s="6">
        <v>2034</v>
      </c>
      <c r="Y94" s="6">
        <v>2035</v>
      </c>
      <c r="Z94" s="6">
        <v>2036</v>
      </c>
      <c r="AA94" s="6">
        <v>2037</v>
      </c>
      <c r="AB94" s="6">
        <v>2038</v>
      </c>
      <c r="AC94" s="6">
        <v>2039</v>
      </c>
      <c r="AD94" s="6">
        <v>2040</v>
      </c>
      <c r="AE94" s="6">
        <v>2041</v>
      </c>
      <c r="AF94" s="6">
        <v>2042</v>
      </c>
      <c r="AG94" s="6">
        <v>2043</v>
      </c>
      <c r="AH94" s="6">
        <v>2044</v>
      </c>
      <c r="AI94" s="6">
        <v>2045</v>
      </c>
    </row>
    <row r="95" spans="1:35" customFormat="1" ht="14.25" x14ac:dyDescent="0.45">
      <c r="B95" s="14" t="s">
        <v>110</v>
      </c>
      <c r="C95" s="14" t="s">
        <v>113</v>
      </c>
      <c r="D95" s="25" t="s">
        <v>2253</v>
      </c>
      <c r="E95" s="16" t="s">
        <v>1854</v>
      </c>
      <c r="F95" s="14" t="s">
        <v>2242</v>
      </c>
      <c r="H95" s="128" t="str">
        <f>Settings!$B$3&amp;".mit.obr.ind.cem.1"</f>
        <v>egy.mit.obr.ind.cem.1</v>
      </c>
      <c r="I95" t="s">
        <v>2279</v>
      </c>
      <c r="L95" s="130">
        <f t="shared" ref="L95:AE95" si="27">L$73</f>
        <v>0</v>
      </c>
      <c r="M95" s="130">
        <f t="shared" si="27"/>
        <v>0</v>
      </c>
      <c r="N95" s="130">
        <f t="shared" si="27"/>
        <v>0</v>
      </c>
      <c r="O95" s="130">
        <f t="shared" si="27"/>
        <v>0</v>
      </c>
      <c r="P95" s="130">
        <f t="shared" si="27"/>
        <v>0</v>
      </c>
      <c r="Q95" s="130">
        <f t="shared" si="27"/>
        <v>0</v>
      </c>
      <c r="R95" s="130">
        <f t="shared" si="27"/>
        <v>0</v>
      </c>
      <c r="S95" s="130">
        <f t="shared" si="27"/>
        <v>0</v>
      </c>
      <c r="T95" s="130">
        <f t="shared" si="27"/>
        <v>0</v>
      </c>
      <c r="U95" s="130">
        <f t="shared" si="27"/>
        <v>0</v>
      </c>
      <c r="V95" s="130">
        <f t="shared" si="27"/>
        <v>0</v>
      </c>
      <c r="W95" s="130">
        <f t="shared" si="27"/>
        <v>0</v>
      </c>
      <c r="X95" s="130">
        <f t="shared" si="27"/>
        <v>0</v>
      </c>
      <c r="Y95" s="130">
        <f t="shared" si="27"/>
        <v>0</v>
      </c>
      <c r="Z95" s="130">
        <f t="shared" si="27"/>
        <v>0</v>
      </c>
      <c r="AA95" s="130">
        <f t="shared" si="27"/>
        <v>0</v>
      </c>
      <c r="AB95" s="130">
        <f t="shared" si="27"/>
        <v>0</v>
      </c>
      <c r="AC95" s="130">
        <f t="shared" si="27"/>
        <v>0</v>
      </c>
      <c r="AD95" s="130">
        <f t="shared" si="27"/>
        <v>0</v>
      </c>
      <c r="AE95" s="130">
        <f t="shared" si="27"/>
        <v>0</v>
      </c>
    </row>
    <row r="96" spans="1:35" customFormat="1" ht="14.25" x14ac:dyDescent="0.45">
      <c r="B96" s="14" t="s">
        <v>110</v>
      </c>
      <c r="C96" s="14" t="s">
        <v>113</v>
      </c>
      <c r="D96" s="25" t="s">
        <v>2255</v>
      </c>
      <c r="E96" s="16" t="s">
        <v>1854</v>
      </c>
      <c r="F96" s="14" t="s">
        <v>2256</v>
      </c>
      <c r="H96" s="128" t="str">
        <f>Settings!$B$3&amp;".mit.ccf.ind.cem.1"</f>
        <v>egy.mit.ccf.ind.cem.1</v>
      </c>
      <c r="L96" s="130">
        <f>L$23*Mitigation_Industry!L$279/1000</f>
        <v>0</v>
      </c>
      <c r="M96" s="130">
        <f>M$23*Mitigation_Industry!M$279/1000</f>
        <v>0</v>
      </c>
      <c r="N96" s="130">
        <f>N$23*Mitigation_Industry!N$279/1000</f>
        <v>0</v>
      </c>
      <c r="O96" s="130">
        <f>O$23*Mitigation_Industry!O$279/1000</f>
        <v>0</v>
      </c>
      <c r="P96" s="130">
        <f>P$23*Mitigation_Industry!P$279/1000</f>
        <v>0</v>
      </c>
      <c r="Q96" s="130">
        <f>Q$23*Mitigation_Industry!Q$279/1000</f>
        <v>0</v>
      </c>
      <c r="R96" s="130">
        <f>R$23*Mitigation_Industry!R$279/1000</f>
        <v>0</v>
      </c>
      <c r="S96" s="130">
        <f>S$23*Mitigation_Industry!S$279/1000</f>
        <v>0</v>
      </c>
      <c r="T96" s="130">
        <f>T$23*Mitigation_Industry!T$279/1000</f>
        <v>0</v>
      </c>
      <c r="U96" s="130">
        <f>U$23*Mitigation_Industry!U$279/1000</f>
        <v>0</v>
      </c>
      <c r="V96" s="130">
        <f>V$23*Mitigation_Industry!V$279/1000</f>
        <v>0</v>
      </c>
      <c r="W96" s="130">
        <f>W$23*Mitigation_Industry!W$279/1000</f>
        <v>0</v>
      </c>
      <c r="X96" s="130">
        <f>X$23*Mitigation_Industry!X$279/1000</f>
        <v>0</v>
      </c>
      <c r="Y96" s="130">
        <f>Y$23*Mitigation_Industry!Y$279/1000</f>
        <v>0</v>
      </c>
      <c r="Z96" s="130">
        <f>Z$23*Mitigation_Industry!Z$279/1000</f>
        <v>0</v>
      </c>
      <c r="AA96" s="130">
        <f>AA$23*Mitigation_Industry!AA$279/1000</f>
        <v>0</v>
      </c>
      <c r="AB96" s="130">
        <f>AB$23*Mitigation_Industry!AB$279/1000</f>
        <v>0</v>
      </c>
      <c r="AC96" s="130">
        <f>AC$23*Mitigation_Industry!AC$279/1000</f>
        <v>0</v>
      </c>
      <c r="AD96" s="130">
        <f>AD$23*Mitigation_Industry!AD$279/1000</f>
        <v>0</v>
      </c>
      <c r="AE96" s="130">
        <f>AE$23*Mitigation_Industry!AE$279/1000</f>
        <v>0</v>
      </c>
    </row>
    <row r="97" spans="1:35" customFormat="1" ht="14.25" x14ac:dyDescent="0.45">
      <c r="B97" s="14" t="s">
        <v>110</v>
      </c>
      <c r="C97" s="14" t="s">
        <v>113</v>
      </c>
      <c r="D97" s="25" t="s">
        <v>2257</v>
      </c>
      <c r="E97" s="16" t="s">
        <v>79</v>
      </c>
      <c r="F97" s="14" t="s">
        <v>2258</v>
      </c>
      <c r="H97" s="128" t="str">
        <f>Settings!$B$3&amp;".mit.rsh.ind.cem.1"</f>
        <v>egy.mit.rsh.ind.cem.1</v>
      </c>
      <c r="I97" t="s">
        <v>2259</v>
      </c>
      <c r="L97" s="130">
        <f t="shared" ref="L97:AE97" si="28">IF(L$96&lt;=0,0,MIN(1,L$95/L$96))</f>
        <v>0</v>
      </c>
      <c r="M97" s="130">
        <f t="shared" si="28"/>
        <v>0</v>
      </c>
      <c r="N97" s="130">
        <f t="shared" si="28"/>
        <v>0</v>
      </c>
      <c r="O97" s="130">
        <f t="shared" si="28"/>
        <v>0</v>
      </c>
      <c r="P97" s="130">
        <f t="shared" si="28"/>
        <v>0</v>
      </c>
      <c r="Q97" s="130">
        <f t="shared" si="28"/>
        <v>0</v>
      </c>
      <c r="R97" s="130">
        <f t="shared" si="28"/>
        <v>0</v>
      </c>
      <c r="S97" s="130">
        <f t="shared" si="28"/>
        <v>0</v>
      </c>
      <c r="T97" s="130">
        <f t="shared" si="28"/>
        <v>0</v>
      </c>
      <c r="U97" s="130">
        <f t="shared" si="28"/>
        <v>0</v>
      </c>
      <c r="V97" s="130">
        <f t="shared" si="28"/>
        <v>0</v>
      </c>
      <c r="W97" s="130">
        <f t="shared" si="28"/>
        <v>0</v>
      </c>
      <c r="X97" s="130">
        <f t="shared" si="28"/>
        <v>0</v>
      </c>
      <c r="Y97" s="130">
        <f t="shared" si="28"/>
        <v>0</v>
      </c>
      <c r="Z97" s="130">
        <f t="shared" si="28"/>
        <v>0</v>
      </c>
      <c r="AA97" s="130">
        <f t="shared" si="28"/>
        <v>0</v>
      </c>
      <c r="AB97" s="130">
        <f t="shared" si="28"/>
        <v>0</v>
      </c>
      <c r="AC97" s="130">
        <f t="shared" si="28"/>
        <v>0</v>
      </c>
      <c r="AD97" s="130">
        <f t="shared" si="28"/>
        <v>0</v>
      </c>
      <c r="AE97" s="130">
        <f t="shared" si="28"/>
        <v>0</v>
      </c>
    </row>
    <row r="98" spans="1:35" customFormat="1" ht="14.25" x14ac:dyDescent="0.45">
      <c r="B98" s="14" t="s">
        <v>49</v>
      </c>
      <c r="C98" s="14" t="s">
        <v>113</v>
      </c>
      <c r="D98" s="15" t="s">
        <v>2260</v>
      </c>
      <c r="E98" s="16" t="s">
        <v>51</v>
      </c>
      <c r="F98" s="14" t="s">
        <v>2261</v>
      </c>
      <c r="G98" s="17"/>
      <c r="H98" s="128" t="str">
        <f>Settings!$B$3&amp;".mit.atpn.cem.coa.e.1"</f>
        <v>egy.mit.atpn.cem.coa.e.1</v>
      </c>
      <c r="I98" t="s">
        <v>2280</v>
      </c>
      <c r="K98" s="18"/>
      <c r="L98" s="19">
        <f>Mitigation_Industry!L$77-(Mitigation_Industry!L$77-Mitigation_Industry!L$67)*L$97</f>
        <v>10.5233613454312</v>
      </c>
      <c r="M98" s="19">
        <f>Mitigation_Industry!M$77-(Mitigation_Industry!M$77-Mitigation_Industry!M$67)*M$97</f>
        <v>10.2995608274442</v>
      </c>
      <c r="N98" s="19">
        <f>Mitigation_Industry!N$77-(Mitigation_Industry!N$77-Mitigation_Industry!N$67)*N$97</f>
        <v>9.5775283595382597</v>
      </c>
      <c r="O98" s="19">
        <f>Mitigation_Industry!O$77-(Mitigation_Industry!O$77-Mitigation_Industry!O$67)*O$97</f>
        <v>8.4854782869580507</v>
      </c>
      <c r="P98" s="19">
        <f>Mitigation_Industry!P$77-(Mitigation_Industry!P$77-Mitigation_Industry!P$67)*P$97</f>
        <v>9.0871922352498604</v>
      </c>
      <c r="Q98" s="19">
        <f>Mitigation_Industry!Q$77-(Mitigation_Industry!Q$77-Mitigation_Industry!Q$67)*Q$97</f>
        <v>9.2229237289326793</v>
      </c>
      <c r="R98" s="19">
        <f>Mitigation_Industry!R$77-(Mitigation_Industry!R$77-Mitigation_Industry!R$67)*R$97</f>
        <v>9.1585649555096893</v>
      </c>
      <c r="S98" s="19">
        <f>Mitigation_Industry!S$77-(Mitigation_Industry!S$77-Mitigation_Industry!S$67)*S$97</f>
        <v>9.0895478773973792</v>
      </c>
      <c r="T98" s="19">
        <f>Mitigation_Industry!T$77-(Mitigation_Industry!T$77-Mitigation_Industry!T$67)*T$97</f>
        <v>9.0156816660228305</v>
      </c>
      <c r="U98" s="19">
        <f>Mitigation_Industry!U$77-(Mitigation_Industry!U$77-Mitigation_Industry!U$67)*U$97</f>
        <v>8.9443977655571096</v>
      </c>
      <c r="V98" s="19">
        <f>Mitigation_Industry!V$77-(Mitigation_Industry!V$77-Mitigation_Industry!V$67)*V$97</f>
        <v>8.9443977655571096</v>
      </c>
      <c r="W98" s="19">
        <f>Mitigation_Industry!W$77-(Mitigation_Industry!W$77-Mitigation_Industry!W$67)*W$97</f>
        <v>8.9443977655571096</v>
      </c>
      <c r="X98" s="19">
        <f>Mitigation_Industry!X$77-(Mitigation_Industry!X$77-Mitigation_Industry!X$67)*X$97</f>
        <v>8.9443977655571096</v>
      </c>
      <c r="Y98" s="19">
        <f>Mitigation_Industry!Y$77-(Mitigation_Industry!Y$77-Mitigation_Industry!Y$67)*Y$97</f>
        <v>8.9443977655571096</v>
      </c>
      <c r="Z98" s="19">
        <f>Mitigation_Industry!Z$77-(Mitigation_Industry!Z$77-Mitigation_Industry!Z$67)*Z$97</f>
        <v>8.9443977655571096</v>
      </c>
      <c r="AA98" s="19">
        <f>Mitigation_Industry!AA$77-(Mitigation_Industry!AA$77-Mitigation_Industry!AA$67)*AA$97</f>
        <v>8.9443977655571096</v>
      </c>
      <c r="AB98" s="19">
        <f>Mitigation_Industry!AB$77-(Mitigation_Industry!AB$77-Mitigation_Industry!AB$67)*AB$97</f>
        <v>8.9443977655571096</v>
      </c>
      <c r="AC98" s="19">
        <f>Mitigation_Industry!AC$77-(Mitigation_Industry!AC$77-Mitigation_Industry!AC$67)*AC$97</f>
        <v>8.9443977655571096</v>
      </c>
      <c r="AD98" s="19">
        <f>Mitigation_Industry!AD$77-(Mitigation_Industry!AD$77-Mitigation_Industry!AD$67)*AD$97</f>
        <v>8.9443977655571096</v>
      </c>
      <c r="AE98" s="19">
        <f>Mitigation_Industry!AE$77-(Mitigation_Industry!AE$77-Mitigation_Industry!AE$67)*AE$97</f>
        <v>8.9443977655571096</v>
      </c>
    </row>
    <row r="99" spans="1:35" customFormat="1" ht="14.25" x14ac:dyDescent="0.45">
      <c r="B99" s="14" t="s">
        <v>53</v>
      </c>
      <c r="C99" s="14" t="s">
        <v>113</v>
      </c>
      <c r="D99" s="15" t="s">
        <v>2263</v>
      </c>
      <c r="E99" s="16" t="s">
        <v>51</v>
      </c>
      <c r="F99" s="14" t="s">
        <v>2261</v>
      </c>
      <c r="G99" s="17"/>
      <c r="H99" s="128" t="str">
        <f>Settings!$B$3&amp;".mit.atpn.cem.nga.e.1"</f>
        <v>egy.mit.atpn.cem.nga.e.1</v>
      </c>
      <c r="I99" t="s">
        <v>2281</v>
      </c>
      <c r="K99" s="18"/>
      <c r="L99" s="19">
        <f>Mitigation_Industry!L$78-(Mitigation_Industry!L$78-Mitigation_Industry!L$68)*L$97</f>
        <v>5.4510150816191896</v>
      </c>
      <c r="M99" s="19">
        <f>Mitigation_Industry!M$78-(Mitigation_Industry!M$78-Mitigation_Industry!M$68)*M$97</f>
        <v>5.1193563062624801</v>
      </c>
      <c r="N99" s="19">
        <f>Mitigation_Industry!N$78-(Mitigation_Industry!N$78-Mitigation_Industry!N$68)*N$97</f>
        <v>5.08218458640407</v>
      </c>
      <c r="O99" s="19">
        <f>Mitigation_Industry!O$78-(Mitigation_Industry!O$78-Mitigation_Industry!O$68)*O$97</f>
        <v>5.08218458640407</v>
      </c>
      <c r="P99" s="19">
        <f>Mitigation_Industry!P$78-(Mitigation_Industry!P$78-Mitigation_Industry!P$68)*P$97</f>
        <v>5.08218458640407</v>
      </c>
      <c r="Q99" s="19">
        <f>Mitigation_Industry!Q$78-(Mitigation_Industry!Q$78-Mitigation_Industry!Q$68)*Q$97</f>
        <v>5.08218458640407</v>
      </c>
      <c r="R99" s="19">
        <f>Mitigation_Industry!R$78-(Mitigation_Industry!R$78-Mitigation_Industry!R$68)*R$97</f>
        <v>5.08218458640407</v>
      </c>
      <c r="S99" s="19">
        <f>Mitigation_Industry!S$78-(Mitigation_Industry!S$78-Mitigation_Industry!S$68)*S$97</f>
        <v>5.08218458640407</v>
      </c>
      <c r="T99" s="19">
        <f>Mitigation_Industry!T$78-(Mitigation_Industry!T$78-Mitigation_Industry!T$68)*T$97</f>
        <v>5.08218458640407</v>
      </c>
      <c r="U99" s="19">
        <f>Mitigation_Industry!U$78-(Mitigation_Industry!U$78-Mitigation_Industry!U$68)*U$97</f>
        <v>5.08218458640407</v>
      </c>
      <c r="V99" s="19">
        <f>Mitigation_Industry!V$78-(Mitigation_Industry!V$78-Mitigation_Industry!V$68)*V$97</f>
        <v>5.08218458640407</v>
      </c>
      <c r="W99" s="19">
        <f>Mitigation_Industry!W$78-(Mitigation_Industry!W$78-Mitigation_Industry!W$68)*W$97</f>
        <v>5.08218458640407</v>
      </c>
      <c r="X99" s="19">
        <f>Mitigation_Industry!X$78-(Mitigation_Industry!X$78-Mitigation_Industry!X$68)*X$97</f>
        <v>5.08218458640407</v>
      </c>
      <c r="Y99" s="19">
        <f>Mitigation_Industry!Y$78-(Mitigation_Industry!Y$78-Mitigation_Industry!Y$68)*Y$97</f>
        <v>5.08218458640407</v>
      </c>
      <c r="Z99" s="19">
        <f>Mitigation_Industry!Z$78-(Mitigation_Industry!Z$78-Mitigation_Industry!Z$68)*Z$97</f>
        <v>5.08218458640407</v>
      </c>
      <c r="AA99" s="19">
        <f>Mitigation_Industry!AA$78-(Mitigation_Industry!AA$78-Mitigation_Industry!AA$68)*AA$97</f>
        <v>5.08218458640407</v>
      </c>
      <c r="AB99" s="19">
        <f>Mitigation_Industry!AB$78-(Mitigation_Industry!AB$78-Mitigation_Industry!AB$68)*AB$97</f>
        <v>5.08218458640407</v>
      </c>
      <c r="AC99" s="19">
        <f>Mitigation_Industry!AC$78-(Mitigation_Industry!AC$78-Mitigation_Industry!AC$68)*AC$97</f>
        <v>5.08218458640407</v>
      </c>
      <c r="AD99" s="19">
        <f>Mitigation_Industry!AD$78-(Mitigation_Industry!AD$78-Mitigation_Industry!AD$68)*AD$97</f>
        <v>5.08218458640407</v>
      </c>
      <c r="AE99" s="19">
        <f>Mitigation_Industry!AE$78-(Mitigation_Industry!AE$78-Mitigation_Industry!AE$68)*AE$97</f>
        <v>5.08218458640407</v>
      </c>
    </row>
    <row r="100" spans="1:35" customFormat="1" ht="14.25" x14ac:dyDescent="0.45">
      <c r="B100" s="14" t="s">
        <v>55</v>
      </c>
      <c r="C100" s="14" t="s">
        <v>113</v>
      </c>
      <c r="D100" s="15" t="s">
        <v>2265</v>
      </c>
      <c r="E100" s="16" t="s">
        <v>57</v>
      </c>
      <c r="F100" s="14" t="s">
        <v>2261</v>
      </c>
      <c r="G100" s="17"/>
      <c r="H100" s="128" t="str">
        <f>Settings!$B$3&amp;".mit.atpn.cem.gso.e.1"</f>
        <v>egy.mit.atpn.cem.gso.e.1</v>
      </c>
      <c r="I100" t="s">
        <v>2282</v>
      </c>
      <c r="K100" s="18"/>
      <c r="L100" s="19">
        <f>Mitigation_Industry!L$79-(Mitigation_Industry!L$79-Mitigation_Industry!L$69)*L$97</f>
        <v>0.61197797679140598</v>
      </c>
      <c r="M100" s="19">
        <f>Mitigation_Industry!M$79-(Mitigation_Industry!M$79-Mitigation_Industry!M$69)*M$97</f>
        <v>0.61180974964187596</v>
      </c>
      <c r="N100" s="19">
        <f>Mitigation_Industry!N$79-(Mitigation_Industry!N$79-Mitigation_Industry!N$69)*N$97</f>
        <v>0.60358310017790595</v>
      </c>
      <c r="O100" s="19">
        <f>Mitigation_Industry!O$79-(Mitigation_Industry!O$79-Mitigation_Industry!O$69)*O$97</f>
        <v>0.60358310017790595</v>
      </c>
      <c r="P100" s="19">
        <f>Mitigation_Industry!P$79-(Mitigation_Industry!P$79-Mitigation_Industry!P$69)*P$97</f>
        <v>0.60358310017790595</v>
      </c>
      <c r="Q100" s="19">
        <f>Mitigation_Industry!Q$79-(Mitigation_Industry!Q$79-Mitigation_Industry!Q$69)*Q$97</f>
        <v>0.60358310017790595</v>
      </c>
      <c r="R100" s="19">
        <f>Mitigation_Industry!R$79-(Mitigation_Industry!R$79-Mitigation_Industry!R$69)*R$97</f>
        <v>0.60358310017790595</v>
      </c>
      <c r="S100" s="19">
        <f>Mitigation_Industry!S$79-(Mitigation_Industry!S$79-Mitigation_Industry!S$69)*S$97</f>
        <v>0.60358310017790595</v>
      </c>
      <c r="T100" s="19">
        <f>Mitigation_Industry!T$79-(Mitigation_Industry!T$79-Mitigation_Industry!T$69)*T$97</f>
        <v>0.60358310017790595</v>
      </c>
      <c r="U100" s="19">
        <f>Mitigation_Industry!U$79-(Mitigation_Industry!U$79-Mitigation_Industry!U$69)*U$97</f>
        <v>0.60358310017790595</v>
      </c>
      <c r="V100" s="19">
        <f>Mitigation_Industry!V$79-(Mitigation_Industry!V$79-Mitigation_Industry!V$69)*V$97</f>
        <v>0.60358310017790595</v>
      </c>
      <c r="W100" s="19">
        <f>Mitigation_Industry!W$79-(Mitigation_Industry!W$79-Mitigation_Industry!W$69)*W$97</f>
        <v>0.60358310017790595</v>
      </c>
      <c r="X100" s="19">
        <f>Mitigation_Industry!X$79-(Mitigation_Industry!X$79-Mitigation_Industry!X$69)*X$97</f>
        <v>0.60358310017790595</v>
      </c>
      <c r="Y100" s="19">
        <f>Mitigation_Industry!Y$79-(Mitigation_Industry!Y$79-Mitigation_Industry!Y$69)*Y$97</f>
        <v>0.60358310017790595</v>
      </c>
      <c r="Z100" s="19">
        <f>Mitigation_Industry!Z$79-(Mitigation_Industry!Z$79-Mitigation_Industry!Z$69)*Z$97</f>
        <v>0.60358310017790595</v>
      </c>
      <c r="AA100" s="19">
        <f>Mitigation_Industry!AA$79-(Mitigation_Industry!AA$79-Mitigation_Industry!AA$69)*AA$97</f>
        <v>0.60358310017790595</v>
      </c>
      <c r="AB100" s="19">
        <f>Mitigation_Industry!AB$79-(Mitigation_Industry!AB$79-Mitigation_Industry!AB$69)*AB$97</f>
        <v>0.60358310017790595</v>
      </c>
      <c r="AC100" s="19">
        <f>Mitigation_Industry!AC$79-(Mitigation_Industry!AC$79-Mitigation_Industry!AC$69)*AC$97</f>
        <v>0.60358310017790595</v>
      </c>
      <c r="AD100" s="19">
        <f>Mitigation_Industry!AD$79-(Mitigation_Industry!AD$79-Mitigation_Industry!AD$69)*AD$97</f>
        <v>0.60358310017790595</v>
      </c>
      <c r="AE100" s="19">
        <f>Mitigation_Industry!AE$79-(Mitigation_Industry!AE$79-Mitigation_Industry!AE$69)*AE$97</f>
        <v>0.60358310017790595</v>
      </c>
    </row>
    <row r="101" spans="1:35" customFormat="1" ht="14.25" x14ac:dyDescent="0.45">
      <c r="B101" s="14" t="s">
        <v>58</v>
      </c>
      <c r="C101" s="14" t="s">
        <v>113</v>
      </c>
      <c r="D101" s="15" t="s">
        <v>2267</v>
      </c>
      <c r="E101" s="16" t="s">
        <v>57</v>
      </c>
      <c r="F101" s="14" t="s">
        <v>2261</v>
      </c>
      <c r="G101" s="17"/>
      <c r="H101" s="128" t="str">
        <f>Settings!$B$3&amp;".mit.atpn.cem.die.e.1"</f>
        <v>egy.mit.atpn.cem.die.e.1</v>
      </c>
      <c r="I101" t="s">
        <v>2283</v>
      </c>
      <c r="K101" s="18"/>
      <c r="L101" s="19">
        <f>Mitigation_Industry!L$80-(Mitigation_Industry!L$80-Mitigation_Industry!L$70)*L$97</f>
        <v>0.49458873084106802</v>
      </c>
      <c r="M101" s="19">
        <f>Mitigation_Industry!M$80-(Mitigation_Industry!M$80-Mitigation_Industry!M$70)*M$97</f>
        <v>0.50778654720250105</v>
      </c>
      <c r="N101" s="19">
        <f>Mitigation_Industry!N$80-(Mitigation_Industry!N$80-Mitigation_Industry!N$70)*N$97</f>
        <v>0.47043642679561698</v>
      </c>
      <c r="O101" s="19">
        <f>Mitigation_Industry!O$80-(Mitigation_Industry!O$80-Mitigation_Industry!O$70)*O$97</f>
        <v>0.47043642679561698</v>
      </c>
      <c r="P101" s="19">
        <f>Mitigation_Industry!P$80-(Mitigation_Industry!P$80-Mitigation_Industry!P$70)*P$97</f>
        <v>0.47043642679561698</v>
      </c>
      <c r="Q101" s="19">
        <f>Mitigation_Industry!Q$80-(Mitigation_Industry!Q$80-Mitigation_Industry!Q$70)*Q$97</f>
        <v>0.47043642679561698</v>
      </c>
      <c r="R101" s="19">
        <f>Mitigation_Industry!R$80-(Mitigation_Industry!R$80-Mitigation_Industry!R$70)*R$97</f>
        <v>0.47043642679561698</v>
      </c>
      <c r="S101" s="19">
        <f>Mitigation_Industry!S$80-(Mitigation_Industry!S$80-Mitigation_Industry!S$70)*S$97</f>
        <v>0.47043642679561698</v>
      </c>
      <c r="T101" s="19">
        <f>Mitigation_Industry!T$80-(Mitigation_Industry!T$80-Mitigation_Industry!T$70)*T$97</f>
        <v>0.47043642679561698</v>
      </c>
      <c r="U101" s="19">
        <f>Mitigation_Industry!U$80-(Mitigation_Industry!U$80-Mitigation_Industry!U$70)*U$97</f>
        <v>0.47043642679561698</v>
      </c>
      <c r="V101" s="19">
        <f>Mitigation_Industry!V$80-(Mitigation_Industry!V$80-Mitigation_Industry!V$70)*V$97</f>
        <v>0.47043642679561698</v>
      </c>
      <c r="W101" s="19">
        <f>Mitigation_Industry!W$80-(Mitigation_Industry!W$80-Mitigation_Industry!W$70)*W$97</f>
        <v>0.47043642679561698</v>
      </c>
      <c r="X101" s="19">
        <f>Mitigation_Industry!X$80-(Mitigation_Industry!X$80-Mitigation_Industry!X$70)*X$97</f>
        <v>0.47043642679561698</v>
      </c>
      <c r="Y101" s="19">
        <f>Mitigation_Industry!Y$80-(Mitigation_Industry!Y$80-Mitigation_Industry!Y$70)*Y$97</f>
        <v>0.47043642679561698</v>
      </c>
      <c r="Z101" s="19">
        <f>Mitigation_Industry!Z$80-(Mitigation_Industry!Z$80-Mitigation_Industry!Z$70)*Z$97</f>
        <v>0.47043642679561698</v>
      </c>
      <c r="AA101" s="19">
        <f>Mitigation_Industry!AA$80-(Mitigation_Industry!AA$80-Mitigation_Industry!AA$70)*AA$97</f>
        <v>0.47043642679561698</v>
      </c>
      <c r="AB101" s="19">
        <f>Mitigation_Industry!AB$80-(Mitigation_Industry!AB$80-Mitigation_Industry!AB$70)*AB$97</f>
        <v>0.47043642679561698</v>
      </c>
      <c r="AC101" s="19">
        <f>Mitigation_Industry!AC$80-(Mitigation_Industry!AC$80-Mitigation_Industry!AC$70)*AC$97</f>
        <v>0.47043642679561698</v>
      </c>
      <c r="AD101" s="19">
        <f>Mitigation_Industry!AD$80-(Mitigation_Industry!AD$80-Mitigation_Industry!AD$70)*AD$97</f>
        <v>0.47043642679561698</v>
      </c>
      <c r="AE101" s="19">
        <f>Mitigation_Industry!AE$80-(Mitigation_Industry!AE$80-Mitigation_Industry!AE$70)*AE$97</f>
        <v>0.47043642679561698</v>
      </c>
    </row>
    <row r="102" spans="1:35" customFormat="1" ht="14.25" x14ac:dyDescent="0.45">
      <c r="B102" s="14" t="s">
        <v>60</v>
      </c>
      <c r="C102" s="14" t="s">
        <v>113</v>
      </c>
      <c r="D102" s="15" t="s">
        <v>2269</v>
      </c>
      <c r="E102" s="16" t="s">
        <v>57</v>
      </c>
      <c r="F102" s="14" t="s">
        <v>2261</v>
      </c>
      <c r="G102" s="17"/>
      <c r="H102" s="128" t="str">
        <f>Settings!$B$3&amp;".mit.atpn.cem.lpg.e.1"</f>
        <v>egy.mit.atpn.cem.lpg.e.1</v>
      </c>
      <c r="I102" t="s">
        <v>2284</v>
      </c>
      <c r="K102" s="18"/>
      <c r="L102" s="19">
        <f>Mitigation_Industry!L$81-(Mitigation_Industry!L$81-Mitigation_Industry!L$71)*L$97</f>
        <v>0.15734473625227399</v>
      </c>
      <c r="M102" s="19">
        <f>Mitigation_Industry!M$81-(Mitigation_Industry!M$81-Mitigation_Industry!M$71)*M$97</f>
        <v>0.164484037759277</v>
      </c>
      <c r="N102" s="19">
        <f>Mitigation_Industry!N$81-(Mitigation_Industry!N$81-Mitigation_Industry!N$71)*N$97</f>
        <v>0.15070907780704901</v>
      </c>
      <c r="O102" s="19">
        <f>Mitigation_Industry!O$81-(Mitigation_Industry!O$81-Mitigation_Industry!O$71)*O$97</f>
        <v>0.15070907780704901</v>
      </c>
      <c r="P102" s="19">
        <f>Mitigation_Industry!P$81-(Mitigation_Industry!P$81-Mitigation_Industry!P$71)*P$97</f>
        <v>0.15070907780704901</v>
      </c>
      <c r="Q102" s="19">
        <f>Mitigation_Industry!Q$81-(Mitigation_Industry!Q$81-Mitigation_Industry!Q$71)*Q$97</f>
        <v>0.15070907780704901</v>
      </c>
      <c r="R102" s="19">
        <f>Mitigation_Industry!R$81-(Mitigation_Industry!R$81-Mitigation_Industry!R$71)*R$97</f>
        <v>0.15070907780704901</v>
      </c>
      <c r="S102" s="19">
        <f>Mitigation_Industry!S$81-(Mitigation_Industry!S$81-Mitigation_Industry!S$71)*S$97</f>
        <v>0.15070907780704901</v>
      </c>
      <c r="T102" s="19">
        <f>Mitigation_Industry!T$81-(Mitigation_Industry!T$81-Mitigation_Industry!T$71)*T$97</f>
        <v>0.15070907780704901</v>
      </c>
      <c r="U102" s="19">
        <f>Mitigation_Industry!U$81-(Mitigation_Industry!U$81-Mitigation_Industry!U$71)*U$97</f>
        <v>0.15070907780704901</v>
      </c>
      <c r="V102" s="19">
        <f>Mitigation_Industry!V$81-(Mitigation_Industry!V$81-Mitigation_Industry!V$71)*V$97</f>
        <v>0.15070907780704901</v>
      </c>
      <c r="W102" s="19">
        <f>Mitigation_Industry!W$81-(Mitigation_Industry!W$81-Mitigation_Industry!W$71)*W$97</f>
        <v>0.15070907780704901</v>
      </c>
      <c r="X102" s="19">
        <f>Mitigation_Industry!X$81-(Mitigation_Industry!X$81-Mitigation_Industry!X$71)*X$97</f>
        <v>0.15070907780704901</v>
      </c>
      <c r="Y102" s="19">
        <f>Mitigation_Industry!Y$81-(Mitigation_Industry!Y$81-Mitigation_Industry!Y$71)*Y$97</f>
        <v>0.15070907780704901</v>
      </c>
      <c r="Z102" s="19">
        <f>Mitigation_Industry!Z$81-(Mitigation_Industry!Z$81-Mitigation_Industry!Z$71)*Z$97</f>
        <v>0.15070907780704901</v>
      </c>
      <c r="AA102" s="19">
        <f>Mitigation_Industry!AA$81-(Mitigation_Industry!AA$81-Mitigation_Industry!AA$71)*AA$97</f>
        <v>0.15070907780704901</v>
      </c>
      <c r="AB102" s="19">
        <f>Mitigation_Industry!AB$81-(Mitigation_Industry!AB$81-Mitigation_Industry!AB$71)*AB$97</f>
        <v>0.15070907780704901</v>
      </c>
      <c r="AC102" s="19">
        <f>Mitigation_Industry!AC$81-(Mitigation_Industry!AC$81-Mitigation_Industry!AC$71)*AC$97</f>
        <v>0.15070907780704901</v>
      </c>
      <c r="AD102" s="19">
        <f>Mitigation_Industry!AD$81-(Mitigation_Industry!AD$81-Mitigation_Industry!AD$71)*AD$97</f>
        <v>0.15070907780704901</v>
      </c>
      <c r="AE102" s="19">
        <f>Mitigation_Industry!AE$81-(Mitigation_Industry!AE$81-Mitigation_Industry!AE$71)*AE$97</f>
        <v>0.15070907780704901</v>
      </c>
    </row>
    <row r="103" spans="1:35" customFormat="1" ht="14.25" x14ac:dyDescent="0.45">
      <c r="B103" s="14" t="s">
        <v>62</v>
      </c>
      <c r="C103" s="14" t="s">
        <v>113</v>
      </c>
      <c r="D103" s="15" t="s">
        <v>2271</v>
      </c>
      <c r="E103" s="16" t="s">
        <v>57</v>
      </c>
      <c r="F103" s="14" t="s">
        <v>2261</v>
      </c>
      <c r="G103" s="17"/>
      <c r="H103" s="128" t="str">
        <f>Settings!$B$3&amp;".mit.atpn.cem.ker.e.1"</f>
        <v>egy.mit.atpn.cem.ker.e.1</v>
      </c>
      <c r="I103" t="s">
        <v>2285</v>
      </c>
      <c r="K103" s="18"/>
      <c r="L103" s="19">
        <f>Mitigation_Industry!L$82-(Mitigation_Industry!L$82-Mitigation_Industry!L$72)*L$97</f>
        <v>0.45642817050012802</v>
      </c>
      <c r="M103" s="19">
        <f>Mitigation_Industry!M$82-(Mitigation_Industry!M$82-Mitigation_Industry!M$72)*M$97</f>
        <v>0.43168920195599497</v>
      </c>
      <c r="N103" s="19">
        <f>Mitigation_Industry!N$82-(Mitigation_Industry!N$82-Mitigation_Industry!N$72)*N$97</f>
        <v>0.42507558395597</v>
      </c>
      <c r="O103" s="19">
        <f>Mitigation_Industry!O$82-(Mitigation_Industry!O$82-Mitigation_Industry!O$72)*O$97</f>
        <v>0.42507558395597</v>
      </c>
      <c r="P103" s="19">
        <f>Mitigation_Industry!P$82-(Mitigation_Industry!P$82-Mitigation_Industry!P$72)*P$97</f>
        <v>0.42507558395597</v>
      </c>
      <c r="Q103" s="19">
        <f>Mitigation_Industry!Q$82-(Mitigation_Industry!Q$82-Mitigation_Industry!Q$72)*Q$97</f>
        <v>0.42507558395597</v>
      </c>
      <c r="R103" s="19">
        <f>Mitigation_Industry!R$82-(Mitigation_Industry!R$82-Mitigation_Industry!R$72)*R$97</f>
        <v>0.42507558395597</v>
      </c>
      <c r="S103" s="19">
        <f>Mitigation_Industry!S$82-(Mitigation_Industry!S$82-Mitigation_Industry!S$72)*S$97</f>
        <v>0.42507558395597</v>
      </c>
      <c r="T103" s="19">
        <f>Mitigation_Industry!T$82-(Mitigation_Industry!T$82-Mitigation_Industry!T$72)*T$97</f>
        <v>0.42507558395597</v>
      </c>
      <c r="U103" s="19">
        <f>Mitigation_Industry!U$82-(Mitigation_Industry!U$82-Mitigation_Industry!U$72)*U$97</f>
        <v>0.42507558395597</v>
      </c>
      <c r="V103" s="19">
        <f>Mitigation_Industry!V$82-(Mitigation_Industry!V$82-Mitigation_Industry!V$72)*V$97</f>
        <v>0.42507558395597</v>
      </c>
      <c r="W103" s="19">
        <f>Mitigation_Industry!W$82-(Mitigation_Industry!W$82-Mitigation_Industry!W$72)*W$97</f>
        <v>0.42507558395597</v>
      </c>
      <c r="X103" s="19">
        <f>Mitigation_Industry!X$82-(Mitigation_Industry!X$82-Mitigation_Industry!X$72)*X$97</f>
        <v>0.42507558395597</v>
      </c>
      <c r="Y103" s="19">
        <f>Mitigation_Industry!Y$82-(Mitigation_Industry!Y$82-Mitigation_Industry!Y$72)*Y$97</f>
        <v>0.42507558395597</v>
      </c>
      <c r="Z103" s="19">
        <f>Mitigation_Industry!Z$82-(Mitigation_Industry!Z$82-Mitigation_Industry!Z$72)*Z$97</f>
        <v>0.42507558395597</v>
      </c>
      <c r="AA103" s="19">
        <f>Mitigation_Industry!AA$82-(Mitigation_Industry!AA$82-Mitigation_Industry!AA$72)*AA$97</f>
        <v>0.42507558395597</v>
      </c>
      <c r="AB103" s="19">
        <f>Mitigation_Industry!AB$82-(Mitigation_Industry!AB$82-Mitigation_Industry!AB$72)*AB$97</f>
        <v>0.42507558395597</v>
      </c>
      <c r="AC103" s="19">
        <f>Mitigation_Industry!AC$82-(Mitigation_Industry!AC$82-Mitigation_Industry!AC$72)*AC$97</f>
        <v>0.42507558395597</v>
      </c>
      <c r="AD103" s="19">
        <f>Mitigation_Industry!AD$82-(Mitigation_Industry!AD$82-Mitigation_Industry!AD$72)*AD$97</f>
        <v>0.42507558395597</v>
      </c>
      <c r="AE103" s="19">
        <f>Mitigation_Industry!AE$82-(Mitigation_Industry!AE$82-Mitigation_Industry!AE$72)*AE$97</f>
        <v>0.42507558395597</v>
      </c>
    </row>
    <row r="104" spans="1:35" customFormat="1" ht="14.25" x14ac:dyDescent="0.45">
      <c r="B104" s="14" t="s">
        <v>64</v>
      </c>
      <c r="C104" s="14" t="s">
        <v>113</v>
      </c>
      <c r="D104" s="15" t="s">
        <v>2273</v>
      </c>
      <c r="E104" s="16" t="s">
        <v>66</v>
      </c>
      <c r="F104" s="14" t="s">
        <v>2261</v>
      </c>
      <c r="G104" s="17"/>
      <c r="H104" s="128" t="str">
        <f>Settings!$B$3&amp;".mit.atpn.cem.oop.e.1"</f>
        <v>egy.mit.atpn.cem.oop.e.1</v>
      </c>
      <c r="I104" t="s">
        <v>2286</v>
      </c>
      <c r="K104" s="18"/>
      <c r="L104" s="19">
        <f>Mitigation_Industry!L$83-(Mitigation_Industry!L$83-Mitigation_Industry!L$73)*L$97</f>
        <v>34.4153703043132</v>
      </c>
      <c r="M104" s="19">
        <f>Mitigation_Industry!M$83-(Mitigation_Industry!M$83-Mitigation_Industry!M$73)*M$97</f>
        <v>37.368960690431997</v>
      </c>
      <c r="N104" s="19">
        <f>Mitigation_Industry!N$83-(Mitigation_Industry!N$83-Mitigation_Industry!N$73)*N$97</f>
        <v>28.982761101477301</v>
      </c>
      <c r="O104" s="19">
        <f>Mitigation_Industry!O$83-(Mitigation_Industry!O$83-Mitigation_Industry!O$73)*O$97</f>
        <v>15</v>
      </c>
      <c r="P104" s="19">
        <f>Mitigation_Industry!P$83-(Mitigation_Industry!P$83-Mitigation_Industry!P$73)*P$97</f>
        <v>24.2586300842555</v>
      </c>
      <c r="Q104" s="19">
        <f>Mitigation_Industry!Q$83-(Mitigation_Industry!Q$83-Mitigation_Industry!Q$73)*Q$97</f>
        <v>15</v>
      </c>
      <c r="R104" s="19">
        <f>Mitigation_Industry!R$83-(Mitigation_Industry!R$83-Mitigation_Industry!R$73)*R$97</f>
        <v>15</v>
      </c>
      <c r="S104" s="19">
        <f>Mitigation_Industry!S$83-(Mitigation_Industry!S$83-Mitigation_Industry!S$73)*S$97</f>
        <v>15</v>
      </c>
      <c r="T104" s="19">
        <f>Mitigation_Industry!T$83-(Mitigation_Industry!T$83-Mitigation_Industry!T$73)*T$97</f>
        <v>15</v>
      </c>
      <c r="U104" s="19">
        <f>Mitigation_Industry!U$83-(Mitigation_Industry!U$83-Mitigation_Industry!U$73)*U$97</f>
        <v>15</v>
      </c>
      <c r="V104" s="19">
        <f>Mitigation_Industry!V$83-(Mitigation_Industry!V$83-Mitigation_Industry!V$73)*V$97</f>
        <v>15</v>
      </c>
      <c r="W104" s="19">
        <f>Mitigation_Industry!W$83-(Mitigation_Industry!W$83-Mitigation_Industry!W$73)*W$97</f>
        <v>15</v>
      </c>
      <c r="X104" s="19">
        <f>Mitigation_Industry!X$83-(Mitigation_Industry!X$83-Mitigation_Industry!X$73)*X$97</f>
        <v>15</v>
      </c>
      <c r="Y104" s="19">
        <f>Mitigation_Industry!Y$83-(Mitigation_Industry!Y$83-Mitigation_Industry!Y$73)*Y$97</f>
        <v>15</v>
      </c>
      <c r="Z104" s="19">
        <f>Mitigation_Industry!Z$83-(Mitigation_Industry!Z$83-Mitigation_Industry!Z$73)*Z$97</f>
        <v>15</v>
      </c>
      <c r="AA104" s="19">
        <f>Mitigation_Industry!AA$83-(Mitigation_Industry!AA$83-Mitigation_Industry!AA$73)*AA$97</f>
        <v>15</v>
      </c>
      <c r="AB104" s="19">
        <f>Mitigation_Industry!AB$83-(Mitigation_Industry!AB$83-Mitigation_Industry!AB$73)*AB$97</f>
        <v>15</v>
      </c>
      <c r="AC104" s="19">
        <f>Mitigation_Industry!AC$83-(Mitigation_Industry!AC$83-Mitigation_Industry!AC$73)*AC$97</f>
        <v>15</v>
      </c>
      <c r="AD104" s="19">
        <f>Mitigation_Industry!AD$83-(Mitigation_Industry!AD$83-Mitigation_Industry!AD$73)*AD$97</f>
        <v>15</v>
      </c>
      <c r="AE104" s="19">
        <f>Mitigation_Industry!AE$83-(Mitigation_Industry!AE$83-Mitigation_Industry!AE$73)*AE$97</f>
        <v>15</v>
      </c>
    </row>
    <row r="105" spans="1:35" customFormat="1" ht="14.25" x14ac:dyDescent="0.45">
      <c r="B105" s="14" t="s">
        <v>67</v>
      </c>
      <c r="C105" s="14" t="s">
        <v>113</v>
      </c>
      <c r="D105" s="15" t="s">
        <v>2275</v>
      </c>
      <c r="E105" s="16" t="s">
        <v>51</v>
      </c>
      <c r="F105" s="14" t="s">
        <v>2261</v>
      </c>
      <c r="G105" s="17"/>
      <c r="H105" s="128" t="str">
        <f>Settings!$B$3&amp;".mit.atpn.cem.bio.e.1"</f>
        <v>egy.mit.atpn.cem.bio.e.1</v>
      </c>
      <c r="I105" t="s">
        <v>2287</v>
      </c>
      <c r="K105" s="18"/>
      <c r="L105" s="19">
        <f>Mitigation_Industry!L$84-(Mitigation_Industry!L$84-Mitigation_Industry!L$74)*L$97</f>
        <v>14.199528390634899</v>
      </c>
      <c r="M105" s="19">
        <f>Mitigation_Industry!M$84-(Mitigation_Industry!M$84-Mitigation_Industry!M$74)*M$97</f>
        <v>13.8404416133152</v>
      </c>
      <c r="N105" s="19">
        <f>Mitigation_Industry!N$84-(Mitigation_Industry!N$84-Mitigation_Industry!N$74)*N$97</f>
        <v>13.5677269404465</v>
      </c>
      <c r="O105" s="19">
        <f>Mitigation_Industry!O$84-(Mitigation_Industry!O$84-Mitigation_Industry!O$74)*O$97</f>
        <v>13.5677269404465</v>
      </c>
      <c r="P105" s="19">
        <f>Mitigation_Industry!P$84-(Mitigation_Industry!P$84-Mitigation_Industry!P$74)*P$97</f>
        <v>13.5677269404465</v>
      </c>
      <c r="Q105" s="19">
        <f>Mitigation_Industry!Q$84-(Mitigation_Industry!Q$84-Mitigation_Industry!Q$74)*Q$97</f>
        <v>13.5677269404465</v>
      </c>
      <c r="R105" s="19">
        <f>Mitigation_Industry!R$84-(Mitigation_Industry!R$84-Mitigation_Industry!R$74)*R$97</f>
        <v>13.5677269404465</v>
      </c>
      <c r="S105" s="19">
        <f>Mitigation_Industry!S$84-(Mitigation_Industry!S$84-Mitigation_Industry!S$74)*S$97</f>
        <v>13.5677269404465</v>
      </c>
      <c r="T105" s="19">
        <f>Mitigation_Industry!T$84-(Mitigation_Industry!T$84-Mitigation_Industry!T$74)*T$97</f>
        <v>13.5677269404465</v>
      </c>
      <c r="U105" s="19">
        <f>Mitigation_Industry!U$84-(Mitigation_Industry!U$84-Mitigation_Industry!U$74)*U$97</f>
        <v>13.5677269404465</v>
      </c>
      <c r="V105" s="19">
        <f>Mitigation_Industry!V$84-(Mitigation_Industry!V$84-Mitigation_Industry!V$74)*V$97</f>
        <v>13.5677269404465</v>
      </c>
      <c r="W105" s="19">
        <f>Mitigation_Industry!W$84-(Mitigation_Industry!W$84-Mitigation_Industry!W$74)*W$97</f>
        <v>13.5677269404465</v>
      </c>
      <c r="X105" s="19">
        <f>Mitigation_Industry!X$84-(Mitigation_Industry!X$84-Mitigation_Industry!X$74)*X$97</f>
        <v>13.5677269404465</v>
      </c>
      <c r="Y105" s="19">
        <f>Mitigation_Industry!Y$84-(Mitigation_Industry!Y$84-Mitigation_Industry!Y$74)*Y$97</f>
        <v>13.5677269404465</v>
      </c>
      <c r="Z105" s="19">
        <f>Mitigation_Industry!Z$84-(Mitigation_Industry!Z$84-Mitigation_Industry!Z$74)*Z$97</f>
        <v>13.5677269404465</v>
      </c>
      <c r="AA105" s="19">
        <f>Mitigation_Industry!AA$84-(Mitigation_Industry!AA$84-Mitigation_Industry!AA$74)*AA$97</f>
        <v>13.5677269404465</v>
      </c>
      <c r="AB105" s="19">
        <f>Mitigation_Industry!AB$84-(Mitigation_Industry!AB$84-Mitigation_Industry!AB$74)*AB$97</f>
        <v>13.5677269404465</v>
      </c>
      <c r="AC105" s="19">
        <f>Mitigation_Industry!AC$84-(Mitigation_Industry!AC$84-Mitigation_Industry!AC$74)*AC$97</f>
        <v>13.5677269404465</v>
      </c>
      <c r="AD105" s="19">
        <f>Mitigation_Industry!AD$84-(Mitigation_Industry!AD$84-Mitigation_Industry!AD$74)*AD$97</f>
        <v>13.5677269404465</v>
      </c>
      <c r="AE105" s="19">
        <f>Mitigation_Industry!AE$84-(Mitigation_Industry!AE$84-Mitigation_Industry!AE$74)*AE$97</f>
        <v>13.5677269404465</v>
      </c>
    </row>
    <row r="106" spans="1:35" customFormat="1" ht="14.25" x14ac:dyDescent="0.45">
      <c r="B106" s="14" t="s">
        <v>69</v>
      </c>
      <c r="C106" s="14" t="s">
        <v>113</v>
      </c>
      <c r="D106" s="15" t="s">
        <v>2277</v>
      </c>
      <c r="E106" s="16" t="s">
        <v>71</v>
      </c>
      <c r="F106" s="14" t="s">
        <v>2261</v>
      </c>
      <c r="G106" s="17"/>
      <c r="H106" s="128" t="str">
        <f>Settings!$B$3&amp;".mit.atpn.cem.ren.e.1"</f>
        <v>egy.mit.atpn.cem.ren.e.1</v>
      </c>
      <c r="I106" t="s">
        <v>2288</v>
      </c>
      <c r="K106" s="18"/>
      <c r="L106" s="19">
        <f>Mitigation_Industry!L$85-(Mitigation_Industry!L$85-Mitigation_Industry!L$75)*L$97</f>
        <v>0.14404498679319799</v>
      </c>
      <c r="M106" s="19">
        <f>Mitigation_Industry!M$85-(Mitigation_Industry!M$85-Mitigation_Industry!M$75)*M$97</f>
        <v>0.14102040965700399</v>
      </c>
      <c r="N106" s="19">
        <f>Mitigation_Industry!N$85-(Mitigation_Industry!N$85-Mitigation_Industry!N$75)*N$97</f>
        <v>0.13511635959447599</v>
      </c>
      <c r="O106" s="19">
        <f>Mitigation_Industry!O$85-(Mitigation_Industry!O$85-Mitigation_Industry!O$75)*O$97</f>
        <v>0.13098825698585601</v>
      </c>
      <c r="P106" s="19">
        <f>Mitigation_Industry!P$85-(Mitigation_Industry!P$85-Mitigation_Industry!P$75)*P$97</f>
        <v>0.12790841608631801</v>
      </c>
      <c r="Q106" s="19">
        <f>Mitigation_Industry!Q$85-(Mitigation_Industry!Q$85-Mitigation_Industry!Q$75)*Q$97</f>
        <v>0.124814310557813</v>
      </c>
      <c r="R106" s="19">
        <f>Mitigation_Industry!R$85-(Mitigation_Industry!R$85-Mitigation_Industry!R$75)*R$97</f>
        <v>0.121460257122878</v>
      </c>
      <c r="S106" s="19">
        <f>Mitigation_Industry!S$85-(Mitigation_Industry!S$85-Mitigation_Industry!S$75)*S$97</f>
        <v>0.117950744135786</v>
      </c>
      <c r="T106" s="19">
        <f>Mitigation_Industry!T$85-(Mitigation_Industry!T$85-Mitigation_Industry!T$75)*T$97</f>
        <v>0.114199161044597</v>
      </c>
      <c r="U106" s="19">
        <f>Mitigation_Industry!U$85-(Mitigation_Industry!U$85-Mitigation_Industry!U$75)*U$97</f>
        <v>0.113665100059665</v>
      </c>
      <c r="V106" s="19">
        <f>Mitigation_Industry!V$85-(Mitigation_Industry!V$85-Mitigation_Industry!V$75)*V$97</f>
        <v>0.113016929625957</v>
      </c>
      <c r="W106" s="19">
        <f>Mitigation_Industry!W$85-(Mitigation_Industry!W$85-Mitigation_Industry!W$75)*W$97</f>
        <v>0.112314070507636</v>
      </c>
      <c r="X106" s="19">
        <f>Mitigation_Industry!X$85-(Mitigation_Industry!X$85-Mitigation_Industry!X$75)*X$97</f>
        <v>0.11142204273284299</v>
      </c>
      <c r="Y106" s="19">
        <f>Mitigation_Industry!Y$85-(Mitigation_Industry!Y$85-Mitigation_Industry!Y$75)*Y$97</f>
        <v>0.110434123675809</v>
      </c>
      <c r="Z106" s="19">
        <f>Mitigation_Industry!Z$85-(Mitigation_Industry!Z$85-Mitigation_Industry!Z$75)*Z$97</f>
        <v>0.109483973304471</v>
      </c>
      <c r="AA106" s="19">
        <f>Mitigation_Industry!AA$85-(Mitigation_Industry!AA$85-Mitigation_Industry!AA$75)*AA$97</f>
        <v>0.10839192105294</v>
      </c>
      <c r="AB106" s="19">
        <f>Mitigation_Industry!AB$85-(Mitigation_Industry!AB$85-Mitigation_Industry!AB$75)*AB$97</f>
        <v>0.10735443362670399</v>
      </c>
      <c r="AC106" s="19">
        <f>Mitigation_Industry!AC$85-(Mitigation_Industry!AC$85-Mitigation_Industry!AC$75)*AC$97</f>
        <v>0.105168675441661</v>
      </c>
      <c r="AD106" s="19">
        <f>Mitigation_Industry!AD$85-(Mitigation_Industry!AD$85-Mitigation_Industry!AD$75)*AD$97</f>
        <v>0.103057983256008</v>
      </c>
      <c r="AE106" s="19">
        <f>Mitigation_Industry!AE$85-(Mitigation_Industry!AE$85-Mitigation_Industry!AE$75)*AE$97</f>
        <v>0.100931838990114</v>
      </c>
    </row>
    <row r="108" spans="1:35" customFormat="1" ht="14.25" x14ac:dyDescent="0.45">
      <c r="A108" s="11"/>
      <c r="B108" s="6"/>
      <c r="C108" s="7" t="s">
        <v>115</v>
      </c>
      <c r="D108" s="6" t="s">
        <v>1488</v>
      </c>
      <c r="E108" s="7" t="s">
        <v>35</v>
      </c>
      <c r="F108" s="7" t="s">
        <v>45</v>
      </c>
      <c r="G108" s="7" t="s">
        <v>37</v>
      </c>
      <c r="H108" s="12" t="s">
        <v>38</v>
      </c>
      <c r="I108" s="6" t="s">
        <v>39</v>
      </c>
      <c r="J108" s="48">
        <v>1</v>
      </c>
      <c r="K108" s="6">
        <v>2021</v>
      </c>
      <c r="L108" s="46">
        <v>2022</v>
      </c>
      <c r="M108" s="6">
        <v>2023</v>
      </c>
      <c r="N108" s="6">
        <v>2024</v>
      </c>
      <c r="O108" s="6">
        <v>2025</v>
      </c>
      <c r="P108" s="6">
        <v>2026</v>
      </c>
      <c r="Q108" s="6">
        <v>2027</v>
      </c>
      <c r="R108" s="6">
        <v>2028</v>
      </c>
      <c r="S108" s="6">
        <v>2029</v>
      </c>
      <c r="T108" s="6">
        <v>2030</v>
      </c>
      <c r="U108" s="6">
        <v>2031</v>
      </c>
      <c r="V108" s="6">
        <v>2032</v>
      </c>
      <c r="W108" s="6">
        <v>2033</v>
      </c>
      <c r="X108" s="6">
        <v>2034</v>
      </c>
      <c r="Y108" s="6">
        <v>2035</v>
      </c>
      <c r="Z108" s="6">
        <v>2036</v>
      </c>
      <c r="AA108" s="6">
        <v>2037</v>
      </c>
      <c r="AB108" s="6">
        <v>2038</v>
      </c>
      <c r="AC108" s="6">
        <v>2039</v>
      </c>
      <c r="AD108" s="6">
        <v>2040</v>
      </c>
      <c r="AE108" s="6">
        <v>2041</v>
      </c>
      <c r="AF108" s="6">
        <v>2042</v>
      </c>
      <c r="AG108" s="6">
        <v>2043</v>
      </c>
      <c r="AH108" s="6">
        <v>2044</v>
      </c>
      <c r="AI108" s="6">
        <v>2045</v>
      </c>
    </row>
    <row r="109" spans="1:35" customFormat="1" ht="14.25" x14ac:dyDescent="0.45">
      <c r="B109" s="14" t="s">
        <v>110</v>
      </c>
      <c r="C109" s="14" t="s">
        <v>115</v>
      </c>
      <c r="D109" s="25" t="s">
        <v>2253</v>
      </c>
      <c r="E109" s="16" t="s">
        <v>1854</v>
      </c>
      <c r="F109" s="14" t="s">
        <v>2242</v>
      </c>
      <c r="H109" s="128" t="str">
        <f>Settings!$B$3&amp;".mit.obr.ind.nfm.1"</f>
        <v>egy.mit.obr.ind.nfm.1</v>
      </c>
      <c r="I109" t="s">
        <v>2289</v>
      </c>
      <c r="L109" s="130">
        <f t="shared" ref="L109:AE109" si="29">L$77</f>
        <v>0</v>
      </c>
      <c r="M109" s="130">
        <f t="shared" si="29"/>
        <v>0</v>
      </c>
      <c r="N109" s="130">
        <f t="shared" si="29"/>
        <v>0</v>
      </c>
      <c r="O109" s="130">
        <f t="shared" si="29"/>
        <v>0</v>
      </c>
      <c r="P109" s="130">
        <f t="shared" si="29"/>
        <v>0</v>
      </c>
      <c r="Q109" s="130">
        <f t="shared" si="29"/>
        <v>0</v>
      </c>
      <c r="R109" s="130">
        <f t="shared" si="29"/>
        <v>0</v>
      </c>
      <c r="S109" s="130">
        <f t="shared" si="29"/>
        <v>0</v>
      </c>
      <c r="T109" s="130">
        <f t="shared" si="29"/>
        <v>0</v>
      </c>
      <c r="U109" s="130">
        <f t="shared" si="29"/>
        <v>0</v>
      </c>
      <c r="V109" s="130">
        <f t="shared" si="29"/>
        <v>0</v>
      </c>
      <c r="W109" s="130">
        <f t="shared" si="29"/>
        <v>0</v>
      </c>
      <c r="X109" s="130">
        <f t="shared" si="29"/>
        <v>0</v>
      </c>
      <c r="Y109" s="130">
        <f t="shared" si="29"/>
        <v>0</v>
      </c>
      <c r="Z109" s="130">
        <f t="shared" si="29"/>
        <v>0</v>
      </c>
      <c r="AA109" s="130">
        <f t="shared" si="29"/>
        <v>0</v>
      </c>
      <c r="AB109" s="130">
        <f t="shared" si="29"/>
        <v>0</v>
      </c>
      <c r="AC109" s="130">
        <f t="shared" si="29"/>
        <v>0</v>
      </c>
      <c r="AD109" s="130">
        <f t="shared" si="29"/>
        <v>0</v>
      </c>
      <c r="AE109" s="130">
        <f t="shared" si="29"/>
        <v>0</v>
      </c>
    </row>
    <row r="110" spans="1:35" customFormat="1" ht="14.25" x14ac:dyDescent="0.45">
      <c r="B110" s="14" t="s">
        <v>110</v>
      </c>
      <c r="C110" s="14" t="s">
        <v>115</v>
      </c>
      <c r="D110" s="25" t="s">
        <v>2255</v>
      </c>
      <c r="E110" s="16" t="s">
        <v>1854</v>
      </c>
      <c r="F110" s="14" t="s">
        <v>2256</v>
      </c>
      <c r="H110" s="128" t="str">
        <f>Settings!$B$3&amp;".mit.ccf.ind.nfm.1"</f>
        <v>egy.mit.ccf.ind.nfm.1</v>
      </c>
      <c r="L110" s="130">
        <f>L$27*Mitigation_Industry!L$283/1000</f>
        <v>0</v>
      </c>
      <c r="M110" s="130">
        <f>M$27*Mitigation_Industry!M$283/1000</f>
        <v>0</v>
      </c>
      <c r="N110" s="130">
        <f>N$27*Mitigation_Industry!N$283/1000</f>
        <v>0</v>
      </c>
      <c r="O110" s="130">
        <f>O$27*Mitigation_Industry!O$283/1000</f>
        <v>0</v>
      </c>
      <c r="P110" s="130">
        <f>P$27*Mitigation_Industry!P$283/1000</f>
        <v>0</v>
      </c>
      <c r="Q110" s="130">
        <f>Q$27*Mitigation_Industry!Q$283/1000</f>
        <v>0</v>
      </c>
      <c r="R110" s="130">
        <f>R$27*Mitigation_Industry!R$283/1000</f>
        <v>0</v>
      </c>
      <c r="S110" s="130">
        <f>S$27*Mitigation_Industry!S$283/1000</f>
        <v>0</v>
      </c>
      <c r="T110" s="130">
        <f>T$27*Mitigation_Industry!T$283/1000</f>
        <v>0</v>
      </c>
      <c r="U110" s="130">
        <f>U$27*Mitigation_Industry!U$283/1000</f>
        <v>0</v>
      </c>
      <c r="V110" s="130">
        <f>V$27*Mitigation_Industry!V$283/1000</f>
        <v>0</v>
      </c>
      <c r="W110" s="130">
        <f>W$27*Mitigation_Industry!W$283/1000</f>
        <v>0</v>
      </c>
      <c r="X110" s="130">
        <f>X$27*Mitigation_Industry!X$283/1000</f>
        <v>0</v>
      </c>
      <c r="Y110" s="130">
        <f>Y$27*Mitigation_Industry!Y$283/1000</f>
        <v>0</v>
      </c>
      <c r="Z110" s="130">
        <f>Z$27*Mitigation_Industry!Z$283/1000</f>
        <v>0</v>
      </c>
      <c r="AA110" s="130">
        <f>AA$27*Mitigation_Industry!AA$283/1000</f>
        <v>0</v>
      </c>
      <c r="AB110" s="130">
        <f>AB$27*Mitigation_Industry!AB$283/1000</f>
        <v>0</v>
      </c>
      <c r="AC110" s="130">
        <f>AC$27*Mitigation_Industry!AC$283/1000</f>
        <v>0</v>
      </c>
      <c r="AD110" s="130">
        <f>AD$27*Mitigation_Industry!AD$283/1000</f>
        <v>0</v>
      </c>
      <c r="AE110" s="130">
        <f>AE$27*Mitigation_Industry!AE$283/1000</f>
        <v>0</v>
      </c>
    </row>
    <row r="111" spans="1:35" customFormat="1" ht="14.25" x14ac:dyDescent="0.45">
      <c r="B111" s="14" t="s">
        <v>110</v>
      </c>
      <c r="C111" s="14" t="s">
        <v>115</v>
      </c>
      <c r="D111" s="25" t="s">
        <v>2257</v>
      </c>
      <c r="E111" s="16" t="s">
        <v>79</v>
      </c>
      <c r="F111" s="14" t="s">
        <v>2258</v>
      </c>
      <c r="H111" s="128" t="str">
        <f>Settings!$B$3&amp;".mit.rsh.ind.nfm.1"</f>
        <v>egy.mit.rsh.ind.nfm.1</v>
      </c>
      <c r="I111" t="s">
        <v>2259</v>
      </c>
      <c r="L111" s="130">
        <f t="shared" ref="L111:AE111" si="30">IF(L$110&lt;=0,0,MIN(1,L$109/L$110))</f>
        <v>0</v>
      </c>
      <c r="M111" s="130">
        <f t="shared" si="30"/>
        <v>0</v>
      </c>
      <c r="N111" s="130">
        <f t="shared" si="30"/>
        <v>0</v>
      </c>
      <c r="O111" s="130">
        <f t="shared" si="30"/>
        <v>0</v>
      </c>
      <c r="P111" s="130">
        <f t="shared" si="30"/>
        <v>0</v>
      </c>
      <c r="Q111" s="130">
        <f t="shared" si="30"/>
        <v>0</v>
      </c>
      <c r="R111" s="130">
        <f t="shared" si="30"/>
        <v>0</v>
      </c>
      <c r="S111" s="130">
        <f t="shared" si="30"/>
        <v>0</v>
      </c>
      <c r="T111" s="130">
        <f t="shared" si="30"/>
        <v>0</v>
      </c>
      <c r="U111" s="130">
        <f t="shared" si="30"/>
        <v>0</v>
      </c>
      <c r="V111" s="130">
        <f t="shared" si="30"/>
        <v>0</v>
      </c>
      <c r="W111" s="130">
        <f t="shared" si="30"/>
        <v>0</v>
      </c>
      <c r="X111" s="130">
        <f t="shared" si="30"/>
        <v>0</v>
      </c>
      <c r="Y111" s="130">
        <f t="shared" si="30"/>
        <v>0</v>
      </c>
      <c r="Z111" s="130">
        <f t="shared" si="30"/>
        <v>0</v>
      </c>
      <c r="AA111" s="130">
        <f t="shared" si="30"/>
        <v>0</v>
      </c>
      <c r="AB111" s="130">
        <f t="shared" si="30"/>
        <v>0</v>
      </c>
      <c r="AC111" s="130">
        <f t="shared" si="30"/>
        <v>0</v>
      </c>
      <c r="AD111" s="130">
        <f t="shared" si="30"/>
        <v>0</v>
      </c>
      <c r="AE111" s="130">
        <f t="shared" si="30"/>
        <v>0</v>
      </c>
    </row>
    <row r="112" spans="1:35" customFormat="1" ht="14.25" x14ac:dyDescent="0.45">
      <c r="B112" s="14" t="s">
        <v>49</v>
      </c>
      <c r="C112" s="14" t="s">
        <v>115</v>
      </c>
      <c r="D112" s="15" t="s">
        <v>2260</v>
      </c>
      <c r="E112" s="16" t="s">
        <v>51</v>
      </c>
      <c r="F112" s="14" t="s">
        <v>2261</v>
      </c>
      <c r="G112" s="17"/>
      <c r="H112" s="128" t="str">
        <f>Settings!$B$3&amp;".mit.atpn.nfm.coa.e.1"</f>
        <v>egy.mit.atpn.nfm.coa.e.1</v>
      </c>
      <c r="I112" t="s">
        <v>2290</v>
      </c>
      <c r="K112" s="18"/>
      <c r="L112" s="19">
        <f>Mitigation_Industry!L$137-(Mitigation_Industry!L$137-Mitigation_Industry!L$127)*L$111</f>
        <v>10.5233613454312</v>
      </c>
      <c r="M112" s="19">
        <f>Mitigation_Industry!M$137-(Mitigation_Industry!M$137-Mitigation_Industry!M$127)*M$111</f>
        <v>10.2995608274442</v>
      </c>
      <c r="N112" s="19">
        <f>Mitigation_Industry!N$137-(Mitigation_Industry!N$137-Mitigation_Industry!N$127)*N$111</f>
        <v>9.5775283595382597</v>
      </c>
      <c r="O112" s="19">
        <f>Mitigation_Industry!O$137-(Mitigation_Industry!O$137-Mitigation_Industry!O$127)*O$111</f>
        <v>8.4854782869580507</v>
      </c>
      <c r="P112" s="19">
        <f>Mitigation_Industry!P$137-(Mitigation_Industry!P$137-Mitigation_Industry!P$127)*P$111</f>
        <v>9.0871922352498604</v>
      </c>
      <c r="Q112" s="19">
        <f>Mitigation_Industry!Q$137-(Mitigation_Industry!Q$137-Mitigation_Industry!Q$127)*Q$111</f>
        <v>9.2229237289326793</v>
      </c>
      <c r="R112" s="19">
        <f>Mitigation_Industry!R$137-(Mitigation_Industry!R$137-Mitigation_Industry!R$127)*R$111</f>
        <v>9.1585649555096893</v>
      </c>
      <c r="S112" s="19">
        <f>Mitigation_Industry!S$137-(Mitigation_Industry!S$137-Mitigation_Industry!S$127)*S$111</f>
        <v>9.0895478773973792</v>
      </c>
      <c r="T112" s="19">
        <f>Mitigation_Industry!T$137-(Mitigation_Industry!T$137-Mitigation_Industry!T$127)*T$111</f>
        <v>9.0156816660228305</v>
      </c>
      <c r="U112" s="19">
        <f>Mitigation_Industry!U$137-(Mitigation_Industry!U$137-Mitigation_Industry!U$127)*U$111</f>
        <v>8.9443977655571096</v>
      </c>
      <c r="V112" s="19">
        <f>Mitigation_Industry!V$137-(Mitigation_Industry!V$137-Mitigation_Industry!V$127)*V$111</f>
        <v>8.9443977655571096</v>
      </c>
      <c r="W112" s="19">
        <f>Mitigation_Industry!W$137-(Mitigation_Industry!W$137-Mitigation_Industry!W$127)*W$111</f>
        <v>8.9443977655571096</v>
      </c>
      <c r="X112" s="19">
        <f>Mitigation_Industry!X$137-(Mitigation_Industry!X$137-Mitigation_Industry!X$127)*X$111</f>
        <v>8.9443977655571096</v>
      </c>
      <c r="Y112" s="19">
        <f>Mitigation_Industry!Y$137-(Mitigation_Industry!Y$137-Mitigation_Industry!Y$127)*Y$111</f>
        <v>8.9443977655571096</v>
      </c>
      <c r="Z112" s="19">
        <f>Mitigation_Industry!Z$137-(Mitigation_Industry!Z$137-Mitigation_Industry!Z$127)*Z$111</f>
        <v>8.9443977655571096</v>
      </c>
      <c r="AA112" s="19">
        <f>Mitigation_Industry!AA$137-(Mitigation_Industry!AA$137-Mitigation_Industry!AA$127)*AA$111</f>
        <v>8.9443977655571096</v>
      </c>
      <c r="AB112" s="19">
        <f>Mitigation_Industry!AB$137-(Mitigation_Industry!AB$137-Mitigation_Industry!AB$127)*AB$111</f>
        <v>8.9443977655571096</v>
      </c>
      <c r="AC112" s="19">
        <f>Mitigation_Industry!AC$137-(Mitigation_Industry!AC$137-Mitigation_Industry!AC$127)*AC$111</f>
        <v>8.9443977655571096</v>
      </c>
      <c r="AD112" s="19">
        <f>Mitigation_Industry!AD$137-(Mitigation_Industry!AD$137-Mitigation_Industry!AD$127)*AD$111</f>
        <v>8.9443977655571096</v>
      </c>
      <c r="AE112" s="19">
        <f>Mitigation_Industry!AE$137-(Mitigation_Industry!AE$137-Mitigation_Industry!AE$127)*AE$111</f>
        <v>8.9443977655571096</v>
      </c>
    </row>
    <row r="113" spans="1:35" customFormat="1" ht="14.25" x14ac:dyDescent="0.45">
      <c r="B113" s="14" t="s">
        <v>53</v>
      </c>
      <c r="C113" s="14" t="s">
        <v>115</v>
      </c>
      <c r="D113" s="15" t="s">
        <v>2263</v>
      </c>
      <c r="E113" s="16" t="s">
        <v>51</v>
      </c>
      <c r="F113" s="14" t="s">
        <v>2261</v>
      </c>
      <c r="G113" s="17"/>
      <c r="H113" s="128" t="str">
        <f>Settings!$B$3&amp;".mit.atpn.nfm.nga.e.1"</f>
        <v>egy.mit.atpn.nfm.nga.e.1</v>
      </c>
      <c r="I113" t="s">
        <v>2291</v>
      </c>
      <c r="K113" s="18"/>
      <c r="L113" s="19">
        <f>Mitigation_Industry!L$138-(Mitigation_Industry!L$138-Mitigation_Industry!L$128)*L$111</f>
        <v>5.4510150816191896</v>
      </c>
      <c r="M113" s="19">
        <f>Mitigation_Industry!M$138-(Mitigation_Industry!M$138-Mitigation_Industry!M$128)*M$111</f>
        <v>5.1193563062624801</v>
      </c>
      <c r="N113" s="19">
        <f>Mitigation_Industry!N$138-(Mitigation_Industry!N$138-Mitigation_Industry!N$128)*N$111</f>
        <v>5.08218458640407</v>
      </c>
      <c r="O113" s="19">
        <f>Mitigation_Industry!O$138-(Mitigation_Industry!O$138-Mitigation_Industry!O$128)*O$111</f>
        <v>5.08218458640407</v>
      </c>
      <c r="P113" s="19">
        <f>Mitigation_Industry!P$138-(Mitigation_Industry!P$138-Mitigation_Industry!P$128)*P$111</f>
        <v>5.08218458640407</v>
      </c>
      <c r="Q113" s="19">
        <f>Mitigation_Industry!Q$138-(Mitigation_Industry!Q$138-Mitigation_Industry!Q$128)*Q$111</f>
        <v>5.08218458640407</v>
      </c>
      <c r="R113" s="19">
        <f>Mitigation_Industry!R$138-(Mitigation_Industry!R$138-Mitigation_Industry!R$128)*R$111</f>
        <v>5.08218458640407</v>
      </c>
      <c r="S113" s="19">
        <f>Mitigation_Industry!S$138-(Mitigation_Industry!S$138-Mitigation_Industry!S$128)*S$111</f>
        <v>5.08218458640407</v>
      </c>
      <c r="T113" s="19">
        <f>Mitigation_Industry!T$138-(Mitigation_Industry!T$138-Mitigation_Industry!T$128)*T$111</f>
        <v>5.08218458640407</v>
      </c>
      <c r="U113" s="19">
        <f>Mitigation_Industry!U$138-(Mitigation_Industry!U$138-Mitigation_Industry!U$128)*U$111</f>
        <v>5.08218458640407</v>
      </c>
      <c r="V113" s="19">
        <f>Mitigation_Industry!V$138-(Mitigation_Industry!V$138-Mitigation_Industry!V$128)*V$111</f>
        <v>5.08218458640407</v>
      </c>
      <c r="W113" s="19">
        <f>Mitigation_Industry!W$138-(Mitigation_Industry!W$138-Mitigation_Industry!W$128)*W$111</f>
        <v>5.08218458640407</v>
      </c>
      <c r="X113" s="19">
        <f>Mitigation_Industry!X$138-(Mitigation_Industry!X$138-Mitigation_Industry!X$128)*X$111</f>
        <v>5.08218458640407</v>
      </c>
      <c r="Y113" s="19">
        <f>Mitigation_Industry!Y$138-(Mitigation_Industry!Y$138-Mitigation_Industry!Y$128)*Y$111</f>
        <v>5.08218458640407</v>
      </c>
      <c r="Z113" s="19">
        <f>Mitigation_Industry!Z$138-(Mitigation_Industry!Z$138-Mitigation_Industry!Z$128)*Z$111</f>
        <v>5.08218458640407</v>
      </c>
      <c r="AA113" s="19">
        <f>Mitigation_Industry!AA$138-(Mitigation_Industry!AA$138-Mitigation_Industry!AA$128)*AA$111</f>
        <v>5.08218458640407</v>
      </c>
      <c r="AB113" s="19">
        <f>Mitigation_Industry!AB$138-(Mitigation_Industry!AB$138-Mitigation_Industry!AB$128)*AB$111</f>
        <v>5.08218458640407</v>
      </c>
      <c r="AC113" s="19">
        <f>Mitigation_Industry!AC$138-(Mitigation_Industry!AC$138-Mitigation_Industry!AC$128)*AC$111</f>
        <v>5.08218458640407</v>
      </c>
      <c r="AD113" s="19">
        <f>Mitigation_Industry!AD$138-(Mitigation_Industry!AD$138-Mitigation_Industry!AD$128)*AD$111</f>
        <v>5.08218458640407</v>
      </c>
      <c r="AE113" s="19">
        <f>Mitigation_Industry!AE$138-(Mitigation_Industry!AE$138-Mitigation_Industry!AE$128)*AE$111</f>
        <v>5.08218458640407</v>
      </c>
    </row>
    <row r="114" spans="1:35" customFormat="1" ht="14.25" x14ac:dyDescent="0.45">
      <c r="B114" s="14" t="s">
        <v>55</v>
      </c>
      <c r="C114" s="14" t="s">
        <v>115</v>
      </c>
      <c r="D114" s="15" t="s">
        <v>2265</v>
      </c>
      <c r="E114" s="16" t="s">
        <v>57</v>
      </c>
      <c r="F114" s="14" t="s">
        <v>2261</v>
      </c>
      <c r="G114" s="17"/>
      <c r="H114" s="128" t="str">
        <f>Settings!$B$3&amp;".mit.atpn.nfm.gso.e.1"</f>
        <v>egy.mit.atpn.nfm.gso.e.1</v>
      </c>
      <c r="I114" t="s">
        <v>2292</v>
      </c>
      <c r="K114" s="18"/>
      <c r="L114" s="19">
        <f>Mitigation_Industry!L$139-(Mitigation_Industry!L$139-Mitigation_Industry!L$129)*L$111</f>
        <v>0.61197797679140598</v>
      </c>
      <c r="M114" s="19">
        <f>Mitigation_Industry!M$139-(Mitigation_Industry!M$139-Mitigation_Industry!M$129)*M$111</f>
        <v>0.61180974964187596</v>
      </c>
      <c r="N114" s="19">
        <f>Mitigation_Industry!N$139-(Mitigation_Industry!N$139-Mitigation_Industry!N$129)*N$111</f>
        <v>0.60358310017790595</v>
      </c>
      <c r="O114" s="19">
        <f>Mitigation_Industry!O$139-(Mitigation_Industry!O$139-Mitigation_Industry!O$129)*O$111</f>
        <v>0.60358310017790595</v>
      </c>
      <c r="P114" s="19">
        <f>Mitigation_Industry!P$139-(Mitigation_Industry!P$139-Mitigation_Industry!P$129)*P$111</f>
        <v>0.60358310017790595</v>
      </c>
      <c r="Q114" s="19">
        <f>Mitigation_Industry!Q$139-(Mitigation_Industry!Q$139-Mitigation_Industry!Q$129)*Q$111</f>
        <v>0.60358310017790595</v>
      </c>
      <c r="R114" s="19">
        <f>Mitigation_Industry!R$139-(Mitigation_Industry!R$139-Mitigation_Industry!R$129)*R$111</f>
        <v>0.60358310017790595</v>
      </c>
      <c r="S114" s="19">
        <f>Mitigation_Industry!S$139-(Mitigation_Industry!S$139-Mitigation_Industry!S$129)*S$111</f>
        <v>0.60358310017790595</v>
      </c>
      <c r="T114" s="19">
        <f>Mitigation_Industry!T$139-(Mitigation_Industry!T$139-Mitigation_Industry!T$129)*T$111</f>
        <v>0.60358310017790595</v>
      </c>
      <c r="U114" s="19">
        <f>Mitigation_Industry!U$139-(Mitigation_Industry!U$139-Mitigation_Industry!U$129)*U$111</f>
        <v>0.60358310017790595</v>
      </c>
      <c r="V114" s="19">
        <f>Mitigation_Industry!V$139-(Mitigation_Industry!V$139-Mitigation_Industry!V$129)*V$111</f>
        <v>0.60358310017790595</v>
      </c>
      <c r="W114" s="19">
        <f>Mitigation_Industry!W$139-(Mitigation_Industry!W$139-Mitigation_Industry!W$129)*W$111</f>
        <v>0.60358310017790595</v>
      </c>
      <c r="X114" s="19">
        <f>Mitigation_Industry!X$139-(Mitigation_Industry!X$139-Mitigation_Industry!X$129)*X$111</f>
        <v>0.60358310017790595</v>
      </c>
      <c r="Y114" s="19">
        <f>Mitigation_Industry!Y$139-(Mitigation_Industry!Y$139-Mitigation_Industry!Y$129)*Y$111</f>
        <v>0.60358310017790595</v>
      </c>
      <c r="Z114" s="19">
        <f>Mitigation_Industry!Z$139-(Mitigation_Industry!Z$139-Mitigation_Industry!Z$129)*Z$111</f>
        <v>0.60358310017790595</v>
      </c>
      <c r="AA114" s="19">
        <f>Mitigation_Industry!AA$139-(Mitigation_Industry!AA$139-Mitigation_Industry!AA$129)*AA$111</f>
        <v>0.60358310017790595</v>
      </c>
      <c r="AB114" s="19">
        <f>Mitigation_Industry!AB$139-(Mitigation_Industry!AB$139-Mitigation_Industry!AB$129)*AB$111</f>
        <v>0.60358310017790595</v>
      </c>
      <c r="AC114" s="19">
        <f>Mitigation_Industry!AC$139-(Mitigation_Industry!AC$139-Mitigation_Industry!AC$129)*AC$111</f>
        <v>0.60358310017790595</v>
      </c>
      <c r="AD114" s="19">
        <f>Mitigation_Industry!AD$139-(Mitigation_Industry!AD$139-Mitigation_Industry!AD$129)*AD$111</f>
        <v>0.60358310017790595</v>
      </c>
      <c r="AE114" s="19">
        <f>Mitigation_Industry!AE$139-(Mitigation_Industry!AE$139-Mitigation_Industry!AE$129)*AE$111</f>
        <v>0.60358310017790595</v>
      </c>
    </row>
    <row r="115" spans="1:35" customFormat="1" ht="14.25" x14ac:dyDescent="0.45">
      <c r="B115" s="14" t="s">
        <v>58</v>
      </c>
      <c r="C115" s="14" t="s">
        <v>115</v>
      </c>
      <c r="D115" s="15" t="s">
        <v>2267</v>
      </c>
      <c r="E115" s="16" t="s">
        <v>57</v>
      </c>
      <c r="F115" s="14" t="s">
        <v>2261</v>
      </c>
      <c r="G115" s="17"/>
      <c r="H115" s="128" t="str">
        <f>Settings!$B$3&amp;".mit.atpn.nfm.die.e.1"</f>
        <v>egy.mit.atpn.nfm.die.e.1</v>
      </c>
      <c r="I115" t="s">
        <v>2293</v>
      </c>
      <c r="K115" s="18"/>
      <c r="L115" s="19">
        <f>Mitigation_Industry!L$140-(Mitigation_Industry!L$140-Mitigation_Industry!L$130)*L$111</f>
        <v>0.49458873084106802</v>
      </c>
      <c r="M115" s="19">
        <f>Mitigation_Industry!M$140-(Mitigation_Industry!M$140-Mitigation_Industry!M$130)*M$111</f>
        <v>0.50778654720250105</v>
      </c>
      <c r="N115" s="19">
        <f>Mitigation_Industry!N$140-(Mitigation_Industry!N$140-Mitigation_Industry!N$130)*N$111</f>
        <v>0.47043642679561698</v>
      </c>
      <c r="O115" s="19">
        <f>Mitigation_Industry!O$140-(Mitigation_Industry!O$140-Mitigation_Industry!O$130)*O$111</f>
        <v>0.47043642679561698</v>
      </c>
      <c r="P115" s="19">
        <f>Mitigation_Industry!P$140-(Mitigation_Industry!P$140-Mitigation_Industry!P$130)*P$111</f>
        <v>0.47043642679561698</v>
      </c>
      <c r="Q115" s="19">
        <f>Mitigation_Industry!Q$140-(Mitigation_Industry!Q$140-Mitigation_Industry!Q$130)*Q$111</f>
        <v>0.47043642679561698</v>
      </c>
      <c r="R115" s="19">
        <f>Mitigation_Industry!R$140-(Mitigation_Industry!R$140-Mitigation_Industry!R$130)*R$111</f>
        <v>0.47043642679561698</v>
      </c>
      <c r="S115" s="19">
        <f>Mitigation_Industry!S$140-(Mitigation_Industry!S$140-Mitigation_Industry!S$130)*S$111</f>
        <v>0.47043642679561698</v>
      </c>
      <c r="T115" s="19">
        <f>Mitigation_Industry!T$140-(Mitigation_Industry!T$140-Mitigation_Industry!T$130)*T$111</f>
        <v>0.47043642679561698</v>
      </c>
      <c r="U115" s="19">
        <f>Mitigation_Industry!U$140-(Mitigation_Industry!U$140-Mitigation_Industry!U$130)*U$111</f>
        <v>0.47043642679561698</v>
      </c>
      <c r="V115" s="19">
        <f>Mitigation_Industry!V$140-(Mitigation_Industry!V$140-Mitigation_Industry!V$130)*V$111</f>
        <v>0.47043642679561698</v>
      </c>
      <c r="W115" s="19">
        <f>Mitigation_Industry!W$140-(Mitigation_Industry!W$140-Mitigation_Industry!W$130)*W$111</f>
        <v>0.47043642679561698</v>
      </c>
      <c r="X115" s="19">
        <f>Mitigation_Industry!X$140-(Mitigation_Industry!X$140-Mitigation_Industry!X$130)*X$111</f>
        <v>0.47043642679561698</v>
      </c>
      <c r="Y115" s="19">
        <f>Mitigation_Industry!Y$140-(Mitigation_Industry!Y$140-Mitigation_Industry!Y$130)*Y$111</f>
        <v>0.47043642679561698</v>
      </c>
      <c r="Z115" s="19">
        <f>Mitigation_Industry!Z$140-(Mitigation_Industry!Z$140-Mitigation_Industry!Z$130)*Z$111</f>
        <v>0.47043642679561698</v>
      </c>
      <c r="AA115" s="19">
        <f>Mitigation_Industry!AA$140-(Mitigation_Industry!AA$140-Mitigation_Industry!AA$130)*AA$111</f>
        <v>0.47043642679561698</v>
      </c>
      <c r="AB115" s="19">
        <f>Mitigation_Industry!AB$140-(Mitigation_Industry!AB$140-Mitigation_Industry!AB$130)*AB$111</f>
        <v>0.47043642679561698</v>
      </c>
      <c r="AC115" s="19">
        <f>Mitigation_Industry!AC$140-(Mitigation_Industry!AC$140-Mitigation_Industry!AC$130)*AC$111</f>
        <v>0.47043642679561698</v>
      </c>
      <c r="AD115" s="19">
        <f>Mitigation_Industry!AD$140-(Mitigation_Industry!AD$140-Mitigation_Industry!AD$130)*AD$111</f>
        <v>0.47043642679561698</v>
      </c>
      <c r="AE115" s="19">
        <f>Mitigation_Industry!AE$140-(Mitigation_Industry!AE$140-Mitigation_Industry!AE$130)*AE$111</f>
        <v>0.47043642679561698</v>
      </c>
    </row>
    <row r="116" spans="1:35" customFormat="1" ht="14.25" x14ac:dyDescent="0.45">
      <c r="B116" s="14" t="s">
        <v>60</v>
      </c>
      <c r="C116" s="14" t="s">
        <v>115</v>
      </c>
      <c r="D116" s="15" t="s">
        <v>2269</v>
      </c>
      <c r="E116" s="16" t="s">
        <v>57</v>
      </c>
      <c r="F116" s="14" t="s">
        <v>2261</v>
      </c>
      <c r="G116" s="17"/>
      <c r="H116" s="128" t="str">
        <f>Settings!$B$3&amp;".mit.atpn.nfm.lpg.e.1"</f>
        <v>egy.mit.atpn.nfm.lpg.e.1</v>
      </c>
      <c r="I116" t="s">
        <v>2294</v>
      </c>
      <c r="K116" s="18"/>
      <c r="L116" s="19">
        <f>Mitigation_Industry!L$141-(Mitigation_Industry!L$141-Mitigation_Industry!L$131)*L$111</f>
        <v>0.15734473625227399</v>
      </c>
      <c r="M116" s="19">
        <f>Mitigation_Industry!M$141-(Mitigation_Industry!M$141-Mitigation_Industry!M$131)*M$111</f>
        <v>0.164484037759277</v>
      </c>
      <c r="N116" s="19">
        <f>Mitigation_Industry!N$141-(Mitigation_Industry!N$141-Mitigation_Industry!N$131)*N$111</f>
        <v>0.15070907780704901</v>
      </c>
      <c r="O116" s="19">
        <f>Mitigation_Industry!O$141-(Mitigation_Industry!O$141-Mitigation_Industry!O$131)*O$111</f>
        <v>0.15070907780704901</v>
      </c>
      <c r="P116" s="19">
        <f>Mitigation_Industry!P$141-(Mitigation_Industry!P$141-Mitigation_Industry!P$131)*P$111</f>
        <v>0.15070907780704901</v>
      </c>
      <c r="Q116" s="19">
        <f>Mitigation_Industry!Q$141-(Mitigation_Industry!Q$141-Mitigation_Industry!Q$131)*Q$111</f>
        <v>0.15070907780704901</v>
      </c>
      <c r="R116" s="19">
        <f>Mitigation_Industry!R$141-(Mitigation_Industry!R$141-Mitigation_Industry!R$131)*R$111</f>
        <v>0.15070907780704901</v>
      </c>
      <c r="S116" s="19">
        <f>Mitigation_Industry!S$141-(Mitigation_Industry!S$141-Mitigation_Industry!S$131)*S$111</f>
        <v>0.15070907780704901</v>
      </c>
      <c r="T116" s="19">
        <f>Mitigation_Industry!T$141-(Mitigation_Industry!T$141-Mitigation_Industry!T$131)*T$111</f>
        <v>0.15070907780704901</v>
      </c>
      <c r="U116" s="19">
        <f>Mitigation_Industry!U$141-(Mitigation_Industry!U$141-Mitigation_Industry!U$131)*U$111</f>
        <v>0.15070907780704901</v>
      </c>
      <c r="V116" s="19">
        <f>Mitigation_Industry!V$141-(Mitigation_Industry!V$141-Mitigation_Industry!V$131)*V$111</f>
        <v>0.15070907780704901</v>
      </c>
      <c r="W116" s="19">
        <f>Mitigation_Industry!W$141-(Mitigation_Industry!W$141-Mitigation_Industry!W$131)*W$111</f>
        <v>0.15070907780704901</v>
      </c>
      <c r="X116" s="19">
        <f>Mitigation_Industry!X$141-(Mitigation_Industry!X$141-Mitigation_Industry!X$131)*X$111</f>
        <v>0.15070907780704901</v>
      </c>
      <c r="Y116" s="19">
        <f>Mitigation_Industry!Y$141-(Mitigation_Industry!Y$141-Mitigation_Industry!Y$131)*Y$111</f>
        <v>0.15070907780704901</v>
      </c>
      <c r="Z116" s="19">
        <f>Mitigation_Industry!Z$141-(Mitigation_Industry!Z$141-Mitigation_Industry!Z$131)*Z$111</f>
        <v>0.15070907780704901</v>
      </c>
      <c r="AA116" s="19">
        <f>Mitigation_Industry!AA$141-(Mitigation_Industry!AA$141-Mitigation_Industry!AA$131)*AA$111</f>
        <v>0.15070907780704901</v>
      </c>
      <c r="AB116" s="19">
        <f>Mitigation_Industry!AB$141-(Mitigation_Industry!AB$141-Mitigation_Industry!AB$131)*AB$111</f>
        <v>0.15070907780704901</v>
      </c>
      <c r="AC116" s="19">
        <f>Mitigation_Industry!AC$141-(Mitigation_Industry!AC$141-Mitigation_Industry!AC$131)*AC$111</f>
        <v>0.15070907780704901</v>
      </c>
      <c r="AD116" s="19">
        <f>Mitigation_Industry!AD$141-(Mitigation_Industry!AD$141-Mitigation_Industry!AD$131)*AD$111</f>
        <v>0.15070907780704901</v>
      </c>
      <c r="AE116" s="19">
        <f>Mitigation_Industry!AE$141-(Mitigation_Industry!AE$141-Mitigation_Industry!AE$131)*AE$111</f>
        <v>0.15070907780704901</v>
      </c>
    </row>
    <row r="117" spans="1:35" customFormat="1" ht="14.25" x14ac:dyDescent="0.45">
      <c r="B117" s="14" t="s">
        <v>62</v>
      </c>
      <c r="C117" s="14" t="s">
        <v>115</v>
      </c>
      <c r="D117" s="15" t="s">
        <v>2271</v>
      </c>
      <c r="E117" s="16" t="s">
        <v>57</v>
      </c>
      <c r="F117" s="14" t="s">
        <v>2261</v>
      </c>
      <c r="G117" s="17"/>
      <c r="H117" s="128" t="str">
        <f>Settings!$B$3&amp;".mit.atpn.nfm.ker.e.1"</f>
        <v>egy.mit.atpn.nfm.ker.e.1</v>
      </c>
      <c r="I117" t="s">
        <v>2295</v>
      </c>
      <c r="K117" s="18"/>
      <c r="L117" s="19">
        <f>Mitigation_Industry!L$142-(Mitigation_Industry!L$142-Mitigation_Industry!L$132)*L$111</f>
        <v>0.45642817050012802</v>
      </c>
      <c r="M117" s="19">
        <f>Mitigation_Industry!M$142-(Mitigation_Industry!M$142-Mitigation_Industry!M$132)*M$111</f>
        <v>0.43168920195599497</v>
      </c>
      <c r="N117" s="19">
        <f>Mitigation_Industry!N$142-(Mitigation_Industry!N$142-Mitigation_Industry!N$132)*N$111</f>
        <v>0.42507558395597</v>
      </c>
      <c r="O117" s="19">
        <f>Mitigation_Industry!O$142-(Mitigation_Industry!O$142-Mitigation_Industry!O$132)*O$111</f>
        <v>0.42507558395597</v>
      </c>
      <c r="P117" s="19">
        <f>Mitigation_Industry!P$142-(Mitigation_Industry!P$142-Mitigation_Industry!P$132)*P$111</f>
        <v>0.42507558395597</v>
      </c>
      <c r="Q117" s="19">
        <f>Mitigation_Industry!Q$142-(Mitigation_Industry!Q$142-Mitigation_Industry!Q$132)*Q$111</f>
        <v>0.42507558395597</v>
      </c>
      <c r="R117" s="19">
        <f>Mitigation_Industry!R$142-(Mitigation_Industry!R$142-Mitigation_Industry!R$132)*R$111</f>
        <v>0.42507558395597</v>
      </c>
      <c r="S117" s="19">
        <f>Mitigation_Industry!S$142-(Mitigation_Industry!S$142-Mitigation_Industry!S$132)*S$111</f>
        <v>0.42507558395597</v>
      </c>
      <c r="T117" s="19">
        <f>Mitigation_Industry!T$142-(Mitigation_Industry!T$142-Mitigation_Industry!T$132)*T$111</f>
        <v>0.42507558395597</v>
      </c>
      <c r="U117" s="19">
        <f>Mitigation_Industry!U$142-(Mitigation_Industry!U$142-Mitigation_Industry!U$132)*U$111</f>
        <v>0.42507558395597</v>
      </c>
      <c r="V117" s="19">
        <f>Mitigation_Industry!V$142-(Mitigation_Industry!V$142-Mitigation_Industry!V$132)*V$111</f>
        <v>0.42507558395597</v>
      </c>
      <c r="W117" s="19">
        <f>Mitigation_Industry!W$142-(Mitigation_Industry!W$142-Mitigation_Industry!W$132)*W$111</f>
        <v>0.42507558395597</v>
      </c>
      <c r="X117" s="19">
        <f>Mitigation_Industry!X$142-(Mitigation_Industry!X$142-Mitigation_Industry!X$132)*X$111</f>
        <v>0.42507558395597</v>
      </c>
      <c r="Y117" s="19">
        <f>Mitigation_Industry!Y$142-(Mitigation_Industry!Y$142-Mitigation_Industry!Y$132)*Y$111</f>
        <v>0.42507558395597</v>
      </c>
      <c r="Z117" s="19">
        <f>Mitigation_Industry!Z$142-(Mitigation_Industry!Z$142-Mitigation_Industry!Z$132)*Z$111</f>
        <v>0.42507558395597</v>
      </c>
      <c r="AA117" s="19">
        <f>Mitigation_Industry!AA$142-(Mitigation_Industry!AA$142-Mitigation_Industry!AA$132)*AA$111</f>
        <v>0.42507558395597</v>
      </c>
      <c r="AB117" s="19">
        <f>Mitigation_Industry!AB$142-(Mitigation_Industry!AB$142-Mitigation_Industry!AB$132)*AB$111</f>
        <v>0.42507558395597</v>
      </c>
      <c r="AC117" s="19">
        <f>Mitigation_Industry!AC$142-(Mitigation_Industry!AC$142-Mitigation_Industry!AC$132)*AC$111</f>
        <v>0.42507558395597</v>
      </c>
      <c r="AD117" s="19">
        <f>Mitigation_Industry!AD$142-(Mitigation_Industry!AD$142-Mitigation_Industry!AD$132)*AD$111</f>
        <v>0.42507558395597</v>
      </c>
      <c r="AE117" s="19">
        <f>Mitigation_Industry!AE$142-(Mitigation_Industry!AE$142-Mitigation_Industry!AE$132)*AE$111</f>
        <v>0.42507558395597</v>
      </c>
    </row>
    <row r="118" spans="1:35" customFormat="1" ht="14.25" x14ac:dyDescent="0.45">
      <c r="B118" s="14" t="s">
        <v>64</v>
      </c>
      <c r="C118" s="14" t="s">
        <v>115</v>
      </c>
      <c r="D118" s="15" t="s">
        <v>2273</v>
      </c>
      <c r="E118" s="16" t="s">
        <v>66</v>
      </c>
      <c r="F118" s="14" t="s">
        <v>2261</v>
      </c>
      <c r="G118" s="17"/>
      <c r="H118" s="128" t="str">
        <f>Settings!$B$3&amp;".mit.atpn.nfm.oop.e.1"</f>
        <v>egy.mit.atpn.nfm.oop.e.1</v>
      </c>
      <c r="I118" t="s">
        <v>2296</v>
      </c>
      <c r="K118" s="18"/>
      <c r="L118" s="19">
        <f>Mitigation_Industry!L$143-(Mitigation_Industry!L$143-Mitigation_Industry!L$133)*L$111</f>
        <v>34.4153703043132</v>
      </c>
      <c r="M118" s="19">
        <f>Mitigation_Industry!M$143-(Mitigation_Industry!M$143-Mitigation_Industry!M$133)*M$111</f>
        <v>37.368960690431997</v>
      </c>
      <c r="N118" s="19">
        <f>Mitigation_Industry!N$143-(Mitigation_Industry!N$143-Mitigation_Industry!N$133)*N$111</f>
        <v>28.982761101477301</v>
      </c>
      <c r="O118" s="19">
        <f>Mitigation_Industry!O$143-(Mitigation_Industry!O$143-Mitigation_Industry!O$133)*O$111</f>
        <v>15</v>
      </c>
      <c r="P118" s="19">
        <f>Mitigation_Industry!P$143-(Mitigation_Industry!P$143-Mitigation_Industry!P$133)*P$111</f>
        <v>24.2586300842555</v>
      </c>
      <c r="Q118" s="19">
        <f>Mitigation_Industry!Q$143-(Mitigation_Industry!Q$143-Mitigation_Industry!Q$133)*Q$111</f>
        <v>15</v>
      </c>
      <c r="R118" s="19">
        <f>Mitigation_Industry!R$143-(Mitigation_Industry!R$143-Mitigation_Industry!R$133)*R$111</f>
        <v>15</v>
      </c>
      <c r="S118" s="19">
        <f>Mitigation_Industry!S$143-(Mitigation_Industry!S$143-Mitigation_Industry!S$133)*S$111</f>
        <v>15</v>
      </c>
      <c r="T118" s="19">
        <f>Mitigation_Industry!T$143-(Mitigation_Industry!T$143-Mitigation_Industry!T$133)*T$111</f>
        <v>15</v>
      </c>
      <c r="U118" s="19">
        <f>Mitigation_Industry!U$143-(Mitigation_Industry!U$143-Mitigation_Industry!U$133)*U$111</f>
        <v>15</v>
      </c>
      <c r="V118" s="19">
        <f>Mitigation_Industry!V$143-(Mitigation_Industry!V$143-Mitigation_Industry!V$133)*V$111</f>
        <v>15</v>
      </c>
      <c r="W118" s="19">
        <f>Mitigation_Industry!W$143-(Mitigation_Industry!W$143-Mitigation_Industry!W$133)*W$111</f>
        <v>15</v>
      </c>
      <c r="X118" s="19">
        <f>Mitigation_Industry!X$143-(Mitigation_Industry!X$143-Mitigation_Industry!X$133)*X$111</f>
        <v>15</v>
      </c>
      <c r="Y118" s="19">
        <f>Mitigation_Industry!Y$143-(Mitigation_Industry!Y$143-Mitigation_Industry!Y$133)*Y$111</f>
        <v>15</v>
      </c>
      <c r="Z118" s="19">
        <f>Mitigation_Industry!Z$143-(Mitigation_Industry!Z$143-Mitigation_Industry!Z$133)*Z$111</f>
        <v>15</v>
      </c>
      <c r="AA118" s="19">
        <f>Mitigation_Industry!AA$143-(Mitigation_Industry!AA$143-Mitigation_Industry!AA$133)*AA$111</f>
        <v>15</v>
      </c>
      <c r="AB118" s="19">
        <f>Mitigation_Industry!AB$143-(Mitigation_Industry!AB$143-Mitigation_Industry!AB$133)*AB$111</f>
        <v>15</v>
      </c>
      <c r="AC118" s="19">
        <f>Mitigation_Industry!AC$143-(Mitigation_Industry!AC$143-Mitigation_Industry!AC$133)*AC$111</f>
        <v>15</v>
      </c>
      <c r="AD118" s="19">
        <f>Mitigation_Industry!AD$143-(Mitigation_Industry!AD$143-Mitigation_Industry!AD$133)*AD$111</f>
        <v>15</v>
      </c>
      <c r="AE118" s="19">
        <f>Mitigation_Industry!AE$143-(Mitigation_Industry!AE$143-Mitigation_Industry!AE$133)*AE$111</f>
        <v>15</v>
      </c>
    </row>
    <row r="119" spans="1:35" customFormat="1" ht="14.25" x14ac:dyDescent="0.45">
      <c r="B119" s="14" t="s">
        <v>67</v>
      </c>
      <c r="C119" s="14" t="s">
        <v>115</v>
      </c>
      <c r="D119" s="15" t="s">
        <v>2275</v>
      </c>
      <c r="E119" s="16" t="s">
        <v>51</v>
      </c>
      <c r="F119" s="14" t="s">
        <v>2261</v>
      </c>
      <c r="G119" s="17"/>
      <c r="H119" s="128" t="str">
        <f>Settings!$B$3&amp;".mit.atpn.nfm.bio.e.1"</f>
        <v>egy.mit.atpn.nfm.bio.e.1</v>
      </c>
      <c r="I119" t="s">
        <v>2297</v>
      </c>
      <c r="K119" s="18"/>
      <c r="L119" s="19">
        <f>Mitigation_Industry!L$144-(Mitigation_Industry!L$144-Mitigation_Industry!L$134)*L$111</f>
        <v>14.199528390634899</v>
      </c>
      <c r="M119" s="19">
        <f>Mitigation_Industry!M$144-(Mitigation_Industry!M$144-Mitigation_Industry!M$134)*M$111</f>
        <v>13.8404416133152</v>
      </c>
      <c r="N119" s="19">
        <f>Mitigation_Industry!N$144-(Mitigation_Industry!N$144-Mitigation_Industry!N$134)*N$111</f>
        <v>13.5677269404465</v>
      </c>
      <c r="O119" s="19">
        <f>Mitigation_Industry!O$144-(Mitigation_Industry!O$144-Mitigation_Industry!O$134)*O$111</f>
        <v>13.5677269404465</v>
      </c>
      <c r="P119" s="19">
        <f>Mitigation_Industry!P$144-(Mitigation_Industry!P$144-Mitigation_Industry!P$134)*P$111</f>
        <v>13.5677269404465</v>
      </c>
      <c r="Q119" s="19">
        <f>Mitigation_Industry!Q$144-(Mitigation_Industry!Q$144-Mitigation_Industry!Q$134)*Q$111</f>
        <v>13.5677269404465</v>
      </c>
      <c r="R119" s="19">
        <f>Mitigation_Industry!R$144-(Mitigation_Industry!R$144-Mitigation_Industry!R$134)*R$111</f>
        <v>13.5677269404465</v>
      </c>
      <c r="S119" s="19">
        <f>Mitigation_Industry!S$144-(Mitigation_Industry!S$144-Mitigation_Industry!S$134)*S$111</f>
        <v>13.5677269404465</v>
      </c>
      <c r="T119" s="19">
        <f>Mitigation_Industry!T$144-(Mitigation_Industry!T$144-Mitigation_Industry!T$134)*T$111</f>
        <v>13.5677269404465</v>
      </c>
      <c r="U119" s="19">
        <f>Mitigation_Industry!U$144-(Mitigation_Industry!U$144-Mitigation_Industry!U$134)*U$111</f>
        <v>13.5677269404465</v>
      </c>
      <c r="V119" s="19">
        <f>Mitigation_Industry!V$144-(Mitigation_Industry!V$144-Mitigation_Industry!V$134)*V$111</f>
        <v>13.5677269404465</v>
      </c>
      <c r="W119" s="19">
        <f>Mitigation_Industry!W$144-(Mitigation_Industry!W$144-Mitigation_Industry!W$134)*W$111</f>
        <v>13.5677269404465</v>
      </c>
      <c r="X119" s="19">
        <f>Mitigation_Industry!X$144-(Mitigation_Industry!X$144-Mitigation_Industry!X$134)*X$111</f>
        <v>13.5677269404465</v>
      </c>
      <c r="Y119" s="19">
        <f>Mitigation_Industry!Y$144-(Mitigation_Industry!Y$144-Mitigation_Industry!Y$134)*Y$111</f>
        <v>13.5677269404465</v>
      </c>
      <c r="Z119" s="19">
        <f>Mitigation_Industry!Z$144-(Mitigation_Industry!Z$144-Mitigation_Industry!Z$134)*Z$111</f>
        <v>13.5677269404465</v>
      </c>
      <c r="AA119" s="19">
        <f>Mitigation_Industry!AA$144-(Mitigation_Industry!AA$144-Mitigation_Industry!AA$134)*AA$111</f>
        <v>13.5677269404465</v>
      </c>
      <c r="AB119" s="19">
        <f>Mitigation_Industry!AB$144-(Mitigation_Industry!AB$144-Mitigation_Industry!AB$134)*AB$111</f>
        <v>13.5677269404465</v>
      </c>
      <c r="AC119" s="19">
        <f>Mitigation_Industry!AC$144-(Mitigation_Industry!AC$144-Mitigation_Industry!AC$134)*AC$111</f>
        <v>13.5677269404465</v>
      </c>
      <c r="AD119" s="19">
        <f>Mitigation_Industry!AD$144-(Mitigation_Industry!AD$144-Mitigation_Industry!AD$134)*AD$111</f>
        <v>13.5677269404465</v>
      </c>
      <c r="AE119" s="19">
        <f>Mitigation_Industry!AE$144-(Mitigation_Industry!AE$144-Mitigation_Industry!AE$134)*AE$111</f>
        <v>13.5677269404465</v>
      </c>
    </row>
    <row r="120" spans="1:35" customFormat="1" ht="14.25" x14ac:dyDescent="0.45">
      <c r="B120" s="14" t="s">
        <v>69</v>
      </c>
      <c r="C120" s="14" t="s">
        <v>115</v>
      </c>
      <c r="D120" s="15" t="s">
        <v>2277</v>
      </c>
      <c r="E120" s="16" t="s">
        <v>71</v>
      </c>
      <c r="F120" s="14" t="s">
        <v>2261</v>
      </c>
      <c r="G120" s="17"/>
      <c r="H120" s="128" t="str">
        <f>Settings!$B$3&amp;".mit.atpn.nfm.ren.e.1"</f>
        <v>egy.mit.atpn.nfm.ren.e.1</v>
      </c>
      <c r="I120" t="s">
        <v>2298</v>
      </c>
      <c r="K120" s="18"/>
      <c r="L120" s="19">
        <f>Mitigation_Industry!L$145-(Mitigation_Industry!L$145-Mitigation_Industry!L$135)*L$111</f>
        <v>0.14404498679319799</v>
      </c>
      <c r="M120" s="19">
        <f>Mitigation_Industry!M$145-(Mitigation_Industry!M$145-Mitigation_Industry!M$135)*M$111</f>
        <v>0.14102040965700399</v>
      </c>
      <c r="N120" s="19">
        <f>Mitigation_Industry!N$145-(Mitigation_Industry!N$145-Mitigation_Industry!N$135)*N$111</f>
        <v>0.13511635959447599</v>
      </c>
      <c r="O120" s="19">
        <f>Mitigation_Industry!O$145-(Mitigation_Industry!O$145-Mitigation_Industry!O$135)*O$111</f>
        <v>0.13098825698585601</v>
      </c>
      <c r="P120" s="19">
        <f>Mitigation_Industry!P$145-(Mitigation_Industry!P$145-Mitigation_Industry!P$135)*P$111</f>
        <v>0.12790841608631801</v>
      </c>
      <c r="Q120" s="19">
        <f>Mitigation_Industry!Q$145-(Mitigation_Industry!Q$145-Mitigation_Industry!Q$135)*Q$111</f>
        <v>0.124814310557813</v>
      </c>
      <c r="R120" s="19">
        <f>Mitigation_Industry!R$145-(Mitigation_Industry!R$145-Mitigation_Industry!R$135)*R$111</f>
        <v>0.121460257122878</v>
      </c>
      <c r="S120" s="19">
        <f>Mitigation_Industry!S$145-(Mitigation_Industry!S$145-Mitigation_Industry!S$135)*S$111</f>
        <v>0.117950744135786</v>
      </c>
      <c r="T120" s="19">
        <f>Mitigation_Industry!T$145-(Mitigation_Industry!T$145-Mitigation_Industry!T$135)*T$111</f>
        <v>0.114199161044597</v>
      </c>
      <c r="U120" s="19">
        <f>Mitigation_Industry!U$145-(Mitigation_Industry!U$145-Mitigation_Industry!U$135)*U$111</f>
        <v>0.113665100059665</v>
      </c>
      <c r="V120" s="19">
        <f>Mitigation_Industry!V$145-(Mitigation_Industry!V$145-Mitigation_Industry!V$135)*V$111</f>
        <v>0.113016929625957</v>
      </c>
      <c r="W120" s="19">
        <f>Mitigation_Industry!W$145-(Mitigation_Industry!W$145-Mitigation_Industry!W$135)*W$111</f>
        <v>0.112314070507636</v>
      </c>
      <c r="X120" s="19">
        <f>Mitigation_Industry!X$145-(Mitigation_Industry!X$145-Mitigation_Industry!X$135)*X$111</f>
        <v>0.11142204273284299</v>
      </c>
      <c r="Y120" s="19">
        <f>Mitigation_Industry!Y$145-(Mitigation_Industry!Y$145-Mitigation_Industry!Y$135)*Y$111</f>
        <v>0.110434123675809</v>
      </c>
      <c r="Z120" s="19">
        <f>Mitigation_Industry!Z$145-(Mitigation_Industry!Z$145-Mitigation_Industry!Z$135)*Z$111</f>
        <v>0.109483973304471</v>
      </c>
      <c r="AA120" s="19">
        <f>Mitigation_Industry!AA$145-(Mitigation_Industry!AA$145-Mitigation_Industry!AA$135)*AA$111</f>
        <v>0.10839192105294</v>
      </c>
      <c r="AB120" s="19">
        <f>Mitigation_Industry!AB$145-(Mitigation_Industry!AB$145-Mitigation_Industry!AB$135)*AB$111</f>
        <v>0.10735443362670399</v>
      </c>
      <c r="AC120" s="19">
        <f>Mitigation_Industry!AC$145-(Mitigation_Industry!AC$145-Mitigation_Industry!AC$135)*AC$111</f>
        <v>0.105168675441661</v>
      </c>
      <c r="AD120" s="19">
        <f>Mitigation_Industry!AD$145-(Mitigation_Industry!AD$145-Mitigation_Industry!AD$135)*AD$111</f>
        <v>0.103057983256008</v>
      </c>
      <c r="AE120" s="19">
        <f>Mitigation_Industry!AE$145-(Mitigation_Industry!AE$145-Mitigation_Industry!AE$135)*AE$111</f>
        <v>0.100931838990114</v>
      </c>
    </row>
    <row r="122" spans="1:35" customFormat="1" ht="14.25" x14ac:dyDescent="0.45">
      <c r="A122" s="11"/>
      <c r="B122" s="6"/>
      <c r="C122" s="7" t="s">
        <v>117</v>
      </c>
      <c r="D122" s="6" t="s">
        <v>1488</v>
      </c>
      <c r="E122" s="7" t="s">
        <v>35</v>
      </c>
      <c r="F122" s="7" t="s">
        <v>45</v>
      </c>
      <c r="G122" s="7" t="s">
        <v>37</v>
      </c>
      <c r="H122" s="12" t="s">
        <v>38</v>
      </c>
      <c r="I122" s="6" t="s">
        <v>39</v>
      </c>
      <c r="J122" s="48">
        <v>1</v>
      </c>
      <c r="K122" s="6">
        <v>2021</v>
      </c>
      <c r="L122" s="46">
        <v>2022</v>
      </c>
      <c r="M122" s="6">
        <v>2023</v>
      </c>
      <c r="N122" s="6">
        <v>2024</v>
      </c>
      <c r="O122" s="6">
        <v>2025</v>
      </c>
      <c r="P122" s="6">
        <v>2026</v>
      </c>
      <c r="Q122" s="6">
        <v>2027</v>
      </c>
      <c r="R122" s="6">
        <v>2028</v>
      </c>
      <c r="S122" s="6">
        <v>2029</v>
      </c>
      <c r="T122" s="6">
        <v>2030</v>
      </c>
      <c r="U122" s="6">
        <v>2031</v>
      </c>
      <c r="V122" s="6">
        <v>2032</v>
      </c>
      <c r="W122" s="6">
        <v>2033</v>
      </c>
      <c r="X122" s="6">
        <v>2034</v>
      </c>
      <c r="Y122" s="6">
        <v>2035</v>
      </c>
      <c r="Z122" s="6">
        <v>2036</v>
      </c>
      <c r="AA122" s="6">
        <v>2037</v>
      </c>
      <c r="AB122" s="6">
        <v>2038</v>
      </c>
      <c r="AC122" s="6">
        <v>2039</v>
      </c>
      <c r="AD122" s="6">
        <v>2040</v>
      </c>
      <c r="AE122" s="6">
        <v>2041</v>
      </c>
      <c r="AF122" s="6">
        <v>2042</v>
      </c>
      <c r="AG122" s="6">
        <v>2043</v>
      </c>
      <c r="AH122" s="6">
        <v>2044</v>
      </c>
      <c r="AI122" s="6">
        <v>2045</v>
      </c>
    </row>
    <row r="123" spans="1:35" customFormat="1" ht="14.25" x14ac:dyDescent="0.45">
      <c r="B123" s="14" t="s">
        <v>110</v>
      </c>
      <c r="C123" s="14" t="s">
        <v>117</v>
      </c>
      <c r="D123" s="25" t="s">
        <v>2253</v>
      </c>
      <c r="E123" s="16" t="s">
        <v>1854</v>
      </c>
      <c r="F123" s="14" t="s">
        <v>2242</v>
      </c>
      <c r="H123" s="128" t="str">
        <f>Settings!$B$3&amp;".mit.obr.ind.mch.1"</f>
        <v>egy.mit.obr.ind.mch.1</v>
      </c>
      <c r="I123" t="s">
        <v>2299</v>
      </c>
      <c r="L123" s="130">
        <f t="shared" ref="L123:AE123" si="31">L$74+L$75+L$76</f>
        <v>0</v>
      </c>
      <c r="M123" s="130">
        <f t="shared" si="31"/>
        <v>0</v>
      </c>
      <c r="N123" s="130">
        <f t="shared" si="31"/>
        <v>0</v>
      </c>
      <c r="O123" s="130">
        <f t="shared" si="31"/>
        <v>0</v>
      </c>
      <c r="P123" s="130">
        <f t="shared" si="31"/>
        <v>0</v>
      </c>
      <c r="Q123" s="130">
        <f t="shared" si="31"/>
        <v>0</v>
      </c>
      <c r="R123" s="130">
        <f t="shared" si="31"/>
        <v>0</v>
      </c>
      <c r="S123" s="130">
        <f t="shared" si="31"/>
        <v>0</v>
      </c>
      <c r="T123" s="130">
        <f t="shared" si="31"/>
        <v>0</v>
      </c>
      <c r="U123" s="130">
        <f t="shared" si="31"/>
        <v>0</v>
      </c>
      <c r="V123" s="130">
        <f t="shared" si="31"/>
        <v>0</v>
      </c>
      <c r="W123" s="130">
        <f t="shared" si="31"/>
        <v>0</v>
      </c>
      <c r="X123" s="130">
        <f t="shared" si="31"/>
        <v>0</v>
      </c>
      <c r="Y123" s="130">
        <f t="shared" si="31"/>
        <v>0</v>
      </c>
      <c r="Z123" s="130">
        <f t="shared" si="31"/>
        <v>0</v>
      </c>
      <c r="AA123" s="130">
        <f t="shared" si="31"/>
        <v>0</v>
      </c>
      <c r="AB123" s="130">
        <f t="shared" si="31"/>
        <v>0</v>
      </c>
      <c r="AC123" s="130">
        <f t="shared" si="31"/>
        <v>0</v>
      </c>
      <c r="AD123" s="130">
        <f t="shared" si="31"/>
        <v>0</v>
      </c>
      <c r="AE123" s="130">
        <f t="shared" si="31"/>
        <v>0</v>
      </c>
    </row>
    <row r="124" spans="1:35" customFormat="1" ht="14.25" x14ac:dyDescent="0.45">
      <c r="B124" s="14" t="s">
        <v>110</v>
      </c>
      <c r="C124" s="14" t="s">
        <v>117</v>
      </c>
      <c r="D124" s="25" t="s">
        <v>2255</v>
      </c>
      <c r="E124" s="16" t="s">
        <v>1854</v>
      </c>
      <c r="F124" s="14" t="s">
        <v>2256</v>
      </c>
      <c r="H124" s="128" t="str">
        <f>Settings!$B$3&amp;".mit.ccf.ind.mch.1"</f>
        <v>egy.mit.ccf.ind.mch.1</v>
      </c>
      <c r="L124" s="130">
        <f>L$24*Mitigation_Industry!L$280/1000+L$25*Mitigation_Industry!L$281/1000+L$26*Mitigation_Industry!L$282/1000</f>
        <v>0</v>
      </c>
      <c r="M124" s="130">
        <f>M$24*Mitigation_Industry!M$280/1000+M$25*Mitigation_Industry!M$281/1000+M$26*Mitigation_Industry!M$282/1000</f>
        <v>0</v>
      </c>
      <c r="N124" s="130">
        <f>N$24*Mitigation_Industry!N$280/1000+N$25*Mitigation_Industry!N$281/1000+N$26*Mitigation_Industry!N$282/1000</f>
        <v>0</v>
      </c>
      <c r="O124" s="130">
        <f>O$24*Mitigation_Industry!O$280/1000+O$25*Mitigation_Industry!O$281/1000+O$26*Mitigation_Industry!O$282/1000</f>
        <v>0</v>
      </c>
      <c r="P124" s="130">
        <f>P$24*Mitigation_Industry!P$280/1000+P$25*Mitigation_Industry!P$281/1000+P$26*Mitigation_Industry!P$282/1000</f>
        <v>0</v>
      </c>
      <c r="Q124" s="130">
        <f>Q$24*Mitigation_Industry!Q$280/1000+Q$25*Mitigation_Industry!Q$281/1000+Q$26*Mitigation_Industry!Q$282/1000</f>
        <v>0</v>
      </c>
      <c r="R124" s="130">
        <f>R$24*Mitigation_Industry!R$280/1000+R$25*Mitigation_Industry!R$281/1000+R$26*Mitigation_Industry!R$282/1000</f>
        <v>0</v>
      </c>
      <c r="S124" s="130">
        <f>S$24*Mitigation_Industry!S$280/1000+S$25*Mitigation_Industry!S$281/1000+S$26*Mitigation_Industry!S$282/1000</f>
        <v>0</v>
      </c>
      <c r="T124" s="130">
        <f>T$24*Mitigation_Industry!T$280/1000+T$25*Mitigation_Industry!T$281/1000+T$26*Mitigation_Industry!T$282/1000</f>
        <v>0</v>
      </c>
      <c r="U124" s="130">
        <f>U$24*Mitigation_Industry!U$280/1000+U$25*Mitigation_Industry!U$281/1000+U$26*Mitigation_Industry!U$282/1000</f>
        <v>0</v>
      </c>
      <c r="V124" s="130">
        <f>V$24*Mitigation_Industry!V$280/1000+V$25*Mitigation_Industry!V$281/1000+V$26*Mitigation_Industry!V$282/1000</f>
        <v>0</v>
      </c>
      <c r="W124" s="130">
        <f>W$24*Mitigation_Industry!W$280/1000+W$25*Mitigation_Industry!W$281/1000+W$26*Mitigation_Industry!W$282/1000</f>
        <v>0</v>
      </c>
      <c r="X124" s="130">
        <f>X$24*Mitigation_Industry!X$280/1000+X$25*Mitigation_Industry!X$281/1000+X$26*Mitigation_Industry!X$282/1000</f>
        <v>0</v>
      </c>
      <c r="Y124" s="130">
        <f>Y$24*Mitigation_Industry!Y$280/1000+Y$25*Mitigation_Industry!Y$281/1000+Y$26*Mitigation_Industry!Y$282/1000</f>
        <v>0</v>
      </c>
      <c r="Z124" s="130">
        <f>Z$24*Mitigation_Industry!Z$280/1000+Z$25*Mitigation_Industry!Z$281/1000+Z$26*Mitigation_Industry!Z$282/1000</f>
        <v>0</v>
      </c>
      <c r="AA124" s="130">
        <f>AA$24*Mitigation_Industry!AA$280/1000+AA$25*Mitigation_Industry!AA$281/1000+AA$26*Mitigation_Industry!AA$282/1000</f>
        <v>0</v>
      </c>
      <c r="AB124" s="130">
        <f>AB$24*Mitigation_Industry!AB$280/1000+AB$25*Mitigation_Industry!AB$281/1000+AB$26*Mitigation_Industry!AB$282/1000</f>
        <v>0</v>
      </c>
      <c r="AC124" s="130">
        <f>AC$24*Mitigation_Industry!AC$280/1000+AC$25*Mitigation_Industry!AC$281/1000+AC$26*Mitigation_Industry!AC$282/1000</f>
        <v>0</v>
      </c>
      <c r="AD124" s="130">
        <f>AD$24*Mitigation_Industry!AD$280/1000+AD$25*Mitigation_Industry!AD$281/1000+AD$26*Mitigation_Industry!AD$282/1000</f>
        <v>0</v>
      </c>
      <c r="AE124" s="130">
        <f>AE$24*Mitigation_Industry!AE$280/1000+AE$25*Mitigation_Industry!AE$281/1000+AE$26*Mitigation_Industry!AE$282/1000</f>
        <v>0</v>
      </c>
    </row>
    <row r="125" spans="1:35" customFormat="1" ht="14.25" x14ac:dyDescent="0.45">
      <c r="B125" s="14" t="s">
        <v>110</v>
      </c>
      <c r="C125" s="14" t="s">
        <v>117</v>
      </c>
      <c r="D125" s="25" t="s">
        <v>2257</v>
      </c>
      <c r="E125" s="16" t="s">
        <v>79</v>
      </c>
      <c r="F125" s="14" t="s">
        <v>2258</v>
      </c>
      <c r="H125" s="128" t="str">
        <f>Settings!$B$3&amp;".mit.rsh.ind.mch.1"</f>
        <v>egy.mit.rsh.ind.mch.1</v>
      </c>
      <c r="I125" t="s">
        <v>2259</v>
      </c>
      <c r="L125" s="130">
        <f t="shared" ref="L125:AE125" si="32">IF(L$124&lt;=0,0,MIN(1,L$123/L$124))</f>
        <v>0</v>
      </c>
      <c r="M125" s="130">
        <f t="shared" si="32"/>
        <v>0</v>
      </c>
      <c r="N125" s="130">
        <f t="shared" si="32"/>
        <v>0</v>
      </c>
      <c r="O125" s="130">
        <f t="shared" si="32"/>
        <v>0</v>
      </c>
      <c r="P125" s="130">
        <f t="shared" si="32"/>
        <v>0</v>
      </c>
      <c r="Q125" s="130">
        <f t="shared" si="32"/>
        <v>0</v>
      </c>
      <c r="R125" s="130">
        <f t="shared" si="32"/>
        <v>0</v>
      </c>
      <c r="S125" s="130">
        <f t="shared" si="32"/>
        <v>0</v>
      </c>
      <c r="T125" s="130">
        <f t="shared" si="32"/>
        <v>0</v>
      </c>
      <c r="U125" s="130">
        <f t="shared" si="32"/>
        <v>0</v>
      </c>
      <c r="V125" s="130">
        <f t="shared" si="32"/>
        <v>0</v>
      </c>
      <c r="W125" s="130">
        <f t="shared" si="32"/>
        <v>0</v>
      </c>
      <c r="X125" s="130">
        <f t="shared" si="32"/>
        <v>0</v>
      </c>
      <c r="Y125" s="130">
        <f t="shared" si="32"/>
        <v>0</v>
      </c>
      <c r="Z125" s="130">
        <f t="shared" si="32"/>
        <v>0</v>
      </c>
      <c r="AA125" s="130">
        <f t="shared" si="32"/>
        <v>0</v>
      </c>
      <c r="AB125" s="130">
        <f t="shared" si="32"/>
        <v>0</v>
      </c>
      <c r="AC125" s="130">
        <f t="shared" si="32"/>
        <v>0</v>
      </c>
      <c r="AD125" s="130">
        <f t="shared" si="32"/>
        <v>0</v>
      </c>
      <c r="AE125" s="130">
        <f t="shared" si="32"/>
        <v>0</v>
      </c>
    </row>
    <row r="126" spans="1:35" customFormat="1" ht="14.25" x14ac:dyDescent="0.45">
      <c r="B126" s="14" t="s">
        <v>49</v>
      </c>
      <c r="C126" s="14" t="s">
        <v>117</v>
      </c>
      <c r="D126" s="15" t="s">
        <v>2260</v>
      </c>
      <c r="E126" s="16" t="s">
        <v>51</v>
      </c>
      <c r="F126" s="14" t="s">
        <v>2261</v>
      </c>
      <c r="G126" s="17"/>
      <c r="H126" s="128" t="str">
        <f>Settings!$B$3&amp;".mit.atpn.mch.coa.e.1"</f>
        <v>egy.mit.atpn.mch.coa.e.1</v>
      </c>
      <c r="I126" t="s">
        <v>2300</v>
      </c>
      <c r="K126" s="18"/>
      <c r="L126" s="19">
        <f>Mitigation_Industry!L$197-(Mitigation_Industry!L$197-Mitigation_Industry!L$187)*L$125</f>
        <v>10.5233613454312</v>
      </c>
      <c r="M126" s="19">
        <f>Mitigation_Industry!M$197-(Mitigation_Industry!M$197-Mitigation_Industry!M$187)*M$125</f>
        <v>10.2995608274442</v>
      </c>
      <c r="N126" s="19">
        <f>Mitigation_Industry!N$197-(Mitigation_Industry!N$197-Mitigation_Industry!N$187)*N$125</f>
        <v>9.5775283595382597</v>
      </c>
      <c r="O126" s="19">
        <f>Mitigation_Industry!O$197-(Mitigation_Industry!O$197-Mitigation_Industry!O$187)*O$125</f>
        <v>8.4854782869580507</v>
      </c>
      <c r="P126" s="19">
        <f>Mitigation_Industry!P$197-(Mitigation_Industry!P$197-Mitigation_Industry!P$187)*P$125</f>
        <v>9.0871922352498604</v>
      </c>
      <c r="Q126" s="19">
        <f>Mitigation_Industry!Q$197-(Mitigation_Industry!Q$197-Mitigation_Industry!Q$187)*Q$125</f>
        <v>9.2229237289326793</v>
      </c>
      <c r="R126" s="19">
        <f>Mitigation_Industry!R$197-(Mitigation_Industry!R$197-Mitigation_Industry!R$187)*R$125</f>
        <v>9.1585649555096893</v>
      </c>
      <c r="S126" s="19">
        <f>Mitigation_Industry!S$197-(Mitigation_Industry!S$197-Mitigation_Industry!S$187)*S$125</f>
        <v>9.0895478773973792</v>
      </c>
      <c r="T126" s="19">
        <f>Mitigation_Industry!T$197-(Mitigation_Industry!T$197-Mitigation_Industry!T$187)*T$125</f>
        <v>9.0156816660228305</v>
      </c>
      <c r="U126" s="19">
        <f>Mitigation_Industry!U$197-(Mitigation_Industry!U$197-Mitigation_Industry!U$187)*U$125</f>
        <v>8.9443977655571096</v>
      </c>
      <c r="V126" s="19">
        <f>Mitigation_Industry!V$197-(Mitigation_Industry!V$197-Mitigation_Industry!V$187)*V$125</f>
        <v>8.9443977655571096</v>
      </c>
      <c r="W126" s="19">
        <f>Mitigation_Industry!W$197-(Mitigation_Industry!W$197-Mitigation_Industry!W$187)*W$125</f>
        <v>8.9443977655571096</v>
      </c>
      <c r="X126" s="19">
        <f>Mitigation_Industry!X$197-(Mitigation_Industry!X$197-Mitigation_Industry!X$187)*X$125</f>
        <v>8.9443977655571096</v>
      </c>
      <c r="Y126" s="19">
        <f>Mitigation_Industry!Y$197-(Mitigation_Industry!Y$197-Mitigation_Industry!Y$187)*Y$125</f>
        <v>8.9443977655571096</v>
      </c>
      <c r="Z126" s="19">
        <f>Mitigation_Industry!Z$197-(Mitigation_Industry!Z$197-Mitigation_Industry!Z$187)*Z$125</f>
        <v>8.9443977655571096</v>
      </c>
      <c r="AA126" s="19">
        <f>Mitigation_Industry!AA$197-(Mitigation_Industry!AA$197-Mitigation_Industry!AA$187)*AA$125</f>
        <v>8.9443977655571096</v>
      </c>
      <c r="AB126" s="19">
        <f>Mitigation_Industry!AB$197-(Mitigation_Industry!AB$197-Mitigation_Industry!AB$187)*AB$125</f>
        <v>8.9443977655571096</v>
      </c>
      <c r="AC126" s="19">
        <f>Mitigation_Industry!AC$197-(Mitigation_Industry!AC$197-Mitigation_Industry!AC$187)*AC$125</f>
        <v>8.9443977655571096</v>
      </c>
      <c r="AD126" s="19">
        <f>Mitigation_Industry!AD$197-(Mitigation_Industry!AD$197-Mitigation_Industry!AD$187)*AD$125</f>
        <v>8.9443977655571096</v>
      </c>
      <c r="AE126" s="19">
        <f>Mitigation_Industry!AE$197-(Mitigation_Industry!AE$197-Mitigation_Industry!AE$187)*AE$125</f>
        <v>8.9443977655571096</v>
      </c>
    </row>
    <row r="127" spans="1:35" customFormat="1" ht="14.25" x14ac:dyDescent="0.45">
      <c r="B127" s="14" t="s">
        <v>53</v>
      </c>
      <c r="C127" s="14" t="s">
        <v>117</v>
      </c>
      <c r="D127" s="15" t="s">
        <v>2263</v>
      </c>
      <c r="E127" s="16" t="s">
        <v>51</v>
      </c>
      <c r="F127" s="14" t="s">
        <v>2261</v>
      </c>
      <c r="G127" s="17"/>
      <c r="H127" s="128" t="str">
        <f>Settings!$B$3&amp;".mit.atpn.mch.nga.e.1"</f>
        <v>egy.mit.atpn.mch.nga.e.1</v>
      </c>
      <c r="I127" t="s">
        <v>2301</v>
      </c>
      <c r="K127" s="18"/>
      <c r="L127" s="19">
        <f>Mitigation_Industry!L$198-(Mitigation_Industry!L$198-Mitigation_Industry!L$188)*L$125</f>
        <v>5.4510150816191896</v>
      </c>
      <c r="M127" s="19">
        <f>Mitigation_Industry!M$198-(Mitigation_Industry!M$198-Mitigation_Industry!M$188)*M$125</f>
        <v>5.1193563062624801</v>
      </c>
      <c r="N127" s="19">
        <f>Mitigation_Industry!N$198-(Mitigation_Industry!N$198-Mitigation_Industry!N$188)*N$125</f>
        <v>5.08218458640407</v>
      </c>
      <c r="O127" s="19">
        <f>Mitigation_Industry!O$198-(Mitigation_Industry!O$198-Mitigation_Industry!O$188)*O$125</f>
        <v>5.08218458640407</v>
      </c>
      <c r="P127" s="19">
        <f>Mitigation_Industry!P$198-(Mitigation_Industry!P$198-Mitigation_Industry!P$188)*P$125</f>
        <v>5.08218458640407</v>
      </c>
      <c r="Q127" s="19">
        <f>Mitigation_Industry!Q$198-(Mitigation_Industry!Q$198-Mitigation_Industry!Q$188)*Q$125</f>
        <v>5.08218458640407</v>
      </c>
      <c r="R127" s="19">
        <f>Mitigation_Industry!R$198-(Mitigation_Industry!R$198-Mitigation_Industry!R$188)*R$125</f>
        <v>5.08218458640407</v>
      </c>
      <c r="S127" s="19">
        <f>Mitigation_Industry!S$198-(Mitigation_Industry!S$198-Mitigation_Industry!S$188)*S$125</f>
        <v>5.08218458640407</v>
      </c>
      <c r="T127" s="19">
        <f>Mitigation_Industry!T$198-(Mitigation_Industry!T$198-Mitigation_Industry!T$188)*T$125</f>
        <v>5.08218458640407</v>
      </c>
      <c r="U127" s="19">
        <f>Mitigation_Industry!U$198-(Mitigation_Industry!U$198-Mitigation_Industry!U$188)*U$125</f>
        <v>5.08218458640407</v>
      </c>
      <c r="V127" s="19">
        <f>Mitigation_Industry!V$198-(Mitigation_Industry!V$198-Mitigation_Industry!V$188)*V$125</f>
        <v>5.08218458640407</v>
      </c>
      <c r="W127" s="19">
        <f>Mitigation_Industry!W$198-(Mitigation_Industry!W$198-Mitigation_Industry!W$188)*W$125</f>
        <v>5.08218458640407</v>
      </c>
      <c r="X127" s="19">
        <f>Mitigation_Industry!X$198-(Mitigation_Industry!X$198-Mitigation_Industry!X$188)*X$125</f>
        <v>5.08218458640407</v>
      </c>
      <c r="Y127" s="19">
        <f>Mitigation_Industry!Y$198-(Mitigation_Industry!Y$198-Mitigation_Industry!Y$188)*Y$125</f>
        <v>5.08218458640407</v>
      </c>
      <c r="Z127" s="19">
        <f>Mitigation_Industry!Z$198-(Mitigation_Industry!Z$198-Mitigation_Industry!Z$188)*Z$125</f>
        <v>5.08218458640407</v>
      </c>
      <c r="AA127" s="19">
        <f>Mitigation_Industry!AA$198-(Mitigation_Industry!AA$198-Mitigation_Industry!AA$188)*AA$125</f>
        <v>5.08218458640407</v>
      </c>
      <c r="AB127" s="19">
        <f>Mitigation_Industry!AB$198-(Mitigation_Industry!AB$198-Mitigation_Industry!AB$188)*AB$125</f>
        <v>5.08218458640407</v>
      </c>
      <c r="AC127" s="19">
        <f>Mitigation_Industry!AC$198-(Mitigation_Industry!AC$198-Mitigation_Industry!AC$188)*AC$125</f>
        <v>5.08218458640407</v>
      </c>
      <c r="AD127" s="19">
        <f>Mitigation_Industry!AD$198-(Mitigation_Industry!AD$198-Mitigation_Industry!AD$188)*AD$125</f>
        <v>5.08218458640407</v>
      </c>
      <c r="AE127" s="19">
        <f>Mitigation_Industry!AE$198-(Mitigation_Industry!AE$198-Mitigation_Industry!AE$188)*AE$125</f>
        <v>5.08218458640407</v>
      </c>
    </row>
    <row r="128" spans="1:35" customFormat="1" ht="14.25" x14ac:dyDescent="0.45">
      <c r="B128" s="14" t="s">
        <v>55</v>
      </c>
      <c r="C128" s="14" t="s">
        <v>117</v>
      </c>
      <c r="D128" s="15" t="s">
        <v>2265</v>
      </c>
      <c r="E128" s="16" t="s">
        <v>57</v>
      </c>
      <c r="F128" s="14" t="s">
        <v>2261</v>
      </c>
      <c r="G128" s="17"/>
      <c r="H128" s="128" t="str">
        <f>Settings!$B$3&amp;".mit.atpn.mch.gso.e.1"</f>
        <v>egy.mit.atpn.mch.gso.e.1</v>
      </c>
      <c r="I128" t="s">
        <v>2302</v>
      </c>
      <c r="K128" s="18"/>
      <c r="L128" s="19">
        <f>Mitigation_Industry!L$199-(Mitigation_Industry!L$199-Mitigation_Industry!L$189)*L$125</f>
        <v>0.61197797679140598</v>
      </c>
      <c r="M128" s="19">
        <f>Mitigation_Industry!M$199-(Mitigation_Industry!M$199-Mitigation_Industry!M$189)*M$125</f>
        <v>0.61180974964187596</v>
      </c>
      <c r="N128" s="19">
        <f>Mitigation_Industry!N$199-(Mitigation_Industry!N$199-Mitigation_Industry!N$189)*N$125</f>
        <v>0.60358310017790595</v>
      </c>
      <c r="O128" s="19">
        <f>Mitigation_Industry!O$199-(Mitigation_Industry!O$199-Mitigation_Industry!O$189)*O$125</f>
        <v>0.60358310017790595</v>
      </c>
      <c r="P128" s="19">
        <f>Mitigation_Industry!P$199-(Mitigation_Industry!P$199-Mitigation_Industry!P$189)*P$125</f>
        <v>0.60358310017790595</v>
      </c>
      <c r="Q128" s="19">
        <f>Mitigation_Industry!Q$199-(Mitigation_Industry!Q$199-Mitigation_Industry!Q$189)*Q$125</f>
        <v>0.60358310017790595</v>
      </c>
      <c r="R128" s="19">
        <f>Mitigation_Industry!R$199-(Mitigation_Industry!R$199-Mitigation_Industry!R$189)*R$125</f>
        <v>0.60358310017790595</v>
      </c>
      <c r="S128" s="19">
        <f>Mitigation_Industry!S$199-(Mitigation_Industry!S$199-Mitigation_Industry!S$189)*S$125</f>
        <v>0.60358310017790595</v>
      </c>
      <c r="T128" s="19">
        <f>Mitigation_Industry!T$199-(Mitigation_Industry!T$199-Mitigation_Industry!T$189)*T$125</f>
        <v>0.60358310017790595</v>
      </c>
      <c r="U128" s="19">
        <f>Mitigation_Industry!U$199-(Mitigation_Industry!U$199-Mitigation_Industry!U$189)*U$125</f>
        <v>0.60358310017790595</v>
      </c>
      <c r="V128" s="19">
        <f>Mitigation_Industry!V$199-(Mitigation_Industry!V$199-Mitigation_Industry!V$189)*V$125</f>
        <v>0.60358310017790595</v>
      </c>
      <c r="W128" s="19">
        <f>Mitigation_Industry!W$199-(Mitigation_Industry!W$199-Mitigation_Industry!W$189)*W$125</f>
        <v>0.60358310017790595</v>
      </c>
      <c r="X128" s="19">
        <f>Mitigation_Industry!X$199-(Mitigation_Industry!X$199-Mitigation_Industry!X$189)*X$125</f>
        <v>0.60358310017790595</v>
      </c>
      <c r="Y128" s="19">
        <f>Mitigation_Industry!Y$199-(Mitigation_Industry!Y$199-Mitigation_Industry!Y$189)*Y$125</f>
        <v>0.60358310017790595</v>
      </c>
      <c r="Z128" s="19">
        <f>Mitigation_Industry!Z$199-(Mitigation_Industry!Z$199-Mitigation_Industry!Z$189)*Z$125</f>
        <v>0.60358310017790595</v>
      </c>
      <c r="AA128" s="19">
        <f>Mitigation_Industry!AA$199-(Mitigation_Industry!AA$199-Mitigation_Industry!AA$189)*AA$125</f>
        <v>0.60358310017790595</v>
      </c>
      <c r="AB128" s="19">
        <f>Mitigation_Industry!AB$199-(Mitigation_Industry!AB$199-Mitigation_Industry!AB$189)*AB$125</f>
        <v>0.60358310017790595</v>
      </c>
      <c r="AC128" s="19">
        <f>Mitigation_Industry!AC$199-(Mitigation_Industry!AC$199-Mitigation_Industry!AC$189)*AC$125</f>
        <v>0.60358310017790595</v>
      </c>
      <c r="AD128" s="19">
        <f>Mitigation_Industry!AD$199-(Mitigation_Industry!AD$199-Mitigation_Industry!AD$189)*AD$125</f>
        <v>0.60358310017790595</v>
      </c>
      <c r="AE128" s="19">
        <f>Mitigation_Industry!AE$199-(Mitigation_Industry!AE$199-Mitigation_Industry!AE$189)*AE$125</f>
        <v>0.60358310017790595</v>
      </c>
    </row>
    <row r="129" spans="1:35" customFormat="1" ht="14.25" x14ac:dyDescent="0.45">
      <c r="B129" s="14" t="s">
        <v>58</v>
      </c>
      <c r="C129" s="14" t="s">
        <v>117</v>
      </c>
      <c r="D129" s="15" t="s">
        <v>2267</v>
      </c>
      <c r="E129" s="16" t="s">
        <v>57</v>
      </c>
      <c r="F129" s="14" t="s">
        <v>2261</v>
      </c>
      <c r="G129" s="17"/>
      <c r="H129" s="128" t="str">
        <f>Settings!$B$3&amp;".mit.atpn.mch.die.e.1"</f>
        <v>egy.mit.atpn.mch.die.e.1</v>
      </c>
      <c r="I129" t="s">
        <v>2303</v>
      </c>
      <c r="K129" s="18"/>
      <c r="L129" s="19">
        <f>Mitigation_Industry!L$200-(Mitigation_Industry!L$200-Mitigation_Industry!L$190)*L$125</f>
        <v>0.49458873084106802</v>
      </c>
      <c r="M129" s="19">
        <f>Mitigation_Industry!M$200-(Mitigation_Industry!M$200-Mitigation_Industry!M$190)*M$125</f>
        <v>0.50778654720250105</v>
      </c>
      <c r="N129" s="19">
        <f>Mitigation_Industry!N$200-(Mitigation_Industry!N$200-Mitigation_Industry!N$190)*N$125</f>
        <v>0.47043642679561698</v>
      </c>
      <c r="O129" s="19">
        <f>Mitigation_Industry!O$200-(Mitigation_Industry!O$200-Mitigation_Industry!O$190)*O$125</f>
        <v>0.47043642679561698</v>
      </c>
      <c r="P129" s="19">
        <f>Mitigation_Industry!P$200-(Mitigation_Industry!P$200-Mitigation_Industry!P$190)*P$125</f>
        <v>0.47043642679561698</v>
      </c>
      <c r="Q129" s="19">
        <f>Mitigation_Industry!Q$200-(Mitigation_Industry!Q$200-Mitigation_Industry!Q$190)*Q$125</f>
        <v>0.47043642679561698</v>
      </c>
      <c r="R129" s="19">
        <f>Mitigation_Industry!R$200-(Mitigation_Industry!R$200-Mitigation_Industry!R$190)*R$125</f>
        <v>0.47043642679561698</v>
      </c>
      <c r="S129" s="19">
        <f>Mitigation_Industry!S$200-(Mitigation_Industry!S$200-Mitigation_Industry!S$190)*S$125</f>
        <v>0.47043642679561698</v>
      </c>
      <c r="T129" s="19">
        <f>Mitigation_Industry!T$200-(Mitigation_Industry!T$200-Mitigation_Industry!T$190)*T$125</f>
        <v>0.47043642679561698</v>
      </c>
      <c r="U129" s="19">
        <f>Mitigation_Industry!U$200-(Mitigation_Industry!U$200-Mitigation_Industry!U$190)*U$125</f>
        <v>0.47043642679561698</v>
      </c>
      <c r="V129" s="19">
        <f>Mitigation_Industry!V$200-(Mitigation_Industry!V$200-Mitigation_Industry!V$190)*V$125</f>
        <v>0.47043642679561698</v>
      </c>
      <c r="W129" s="19">
        <f>Mitigation_Industry!W$200-(Mitigation_Industry!W$200-Mitigation_Industry!W$190)*W$125</f>
        <v>0.47043642679561698</v>
      </c>
      <c r="X129" s="19">
        <f>Mitigation_Industry!X$200-(Mitigation_Industry!X$200-Mitigation_Industry!X$190)*X$125</f>
        <v>0.47043642679561698</v>
      </c>
      <c r="Y129" s="19">
        <f>Mitigation_Industry!Y$200-(Mitigation_Industry!Y$200-Mitigation_Industry!Y$190)*Y$125</f>
        <v>0.47043642679561698</v>
      </c>
      <c r="Z129" s="19">
        <f>Mitigation_Industry!Z$200-(Mitigation_Industry!Z$200-Mitigation_Industry!Z$190)*Z$125</f>
        <v>0.47043642679561698</v>
      </c>
      <c r="AA129" s="19">
        <f>Mitigation_Industry!AA$200-(Mitigation_Industry!AA$200-Mitigation_Industry!AA$190)*AA$125</f>
        <v>0.47043642679561698</v>
      </c>
      <c r="AB129" s="19">
        <f>Mitigation_Industry!AB$200-(Mitigation_Industry!AB$200-Mitigation_Industry!AB$190)*AB$125</f>
        <v>0.47043642679561698</v>
      </c>
      <c r="AC129" s="19">
        <f>Mitigation_Industry!AC$200-(Mitigation_Industry!AC$200-Mitigation_Industry!AC$190)*AC$125</f>
        <v>0.47043642679561698</v>
      </c>
      <c r="AD129" s="19">
        <f>Mitigation_Industry!AD$200-(Mitigation_Industry!AD$200-Mitigation_Industry!AD$190)*AD$125</f>
        <v>0.47043642679561698</v>
      </c>
      <c r="AE129" s="19">
        <f>Mitigation_Industry!AE$200-(Mitigation_Industry!AE$200-Mitigation_Industry!AE$190)*AE$125</f>
        <v>0.47043642679561698</v>
      </c>
    </row>
    <row r="130" spans="1:35" customFormat="1" ht="14.25" x14ac:dyDescent="0.45">
      <c r="B130" s="14" t="s">
        <v>60</v>
      </c>
      <c r="C130" s="14" t="s">
        <v>117</v>
      </c>
      <c r="D130" s="15" t="s">
        <v>2269</v>
      </c>
      <c r="E130" s="16" t="s">
        <v>57</v>
      </c>
      <c r="F130" s="14" t="s">
        <v>2261</v>
      </c>
      <c r="G130" s="17"/>
      <c r="H130" s="128" t="str">
        <f>Settings!$B$3&amp;".mit.atpn.mch.lpg.e.1"</f>
        <v>egy.mit.atpn.mch.lpg.e.1</v>
      </c>
      <c r="I130" t="s">
        <v>2304</v>
      </c>
      <c r="K130" s="18"/>
      <c r="L130" s="19">
        <f>Mitigation_Industry!L$201-(Mitigation_Industry!L$201-Mitigation_Industry!L$191)*L$125</f>
        <v>0.15734473625227399</v>
      </c>
      <c r="M130" s="19">
        <f>Mitigation_Industry!M$201-(Mitigation_Industry!M$201-Mitigation_Industry!M$191)*M$125</f>
        <v>0.164484037759277</v>
      </c>
      <c r="N130" s="19">
        <f>Mitigation_Industry!N$201-(Mitigation_Industry!N$201-Mitigation_Industry!N$191)*N$125</f>
        <v>0.15070907780704901</v>
      </c>
      <c r="O130" s="19">
        <f>Mitigation_Industry!O$201-(Mitigation_Industry!O$201-Mitigation_Industry!O$191)*O$125</f>
        <v>0.15070907780704901</v>
      </c>
      <c r="P130" s="19">
        <f>Mitigation_Industry!P$201-(Mitigation_Industry!P$201-Mitigation_Industry!P$191)*P$125</f>
        <v>0.15070907780704901</v>
      </c>
      <c r="Q130" s="19">
        <f>Mitigation_Industry!Q$201-(Mitigation_Industry!Q$201-Mitigation_Industry!Q$191)*Q$125</f>
        <v>0.15070907780704901</v>
      </c>
      <c r="R130" s="19">
        <f>Mitigation_Industry!R$201-(Mitigation_Industry!R$201-Mitigation_Industry!R$191)*R$125</f>
        <v>0.15070907780704901</v>
      </c>
      <c r="S130" s="19">
        <f>Mitigation_Industry!S$201-(Mitigation_Industry!S$201-Mitigation_Industry!S$191)*S$125</f>
        <v>0.15070907780704901</v>
      </c>
      <c r="T130" s="19">
        <f>Mitigation_Industry!T$201-(Mitigation_Industry!T$201-Mitigation_Industry!T$191)*T$125</f>
        <v>0.15070907780704901</v>
      </c>
      <c r="U130" s="19">
        <f>Mitigation_Industry!U$201-(Mitigation_Industry!U$201-Mitigation_Industry!U$191)*U$125</f>
        <v>0.15070907780704901</v>
      </c>
      <c r="V130" s="19">
        <f>Mitigation_Industry!V$201-(Mitigation_Industry!V$201-Mitigation_Industry!V$191)*V$125</f>
        <v>0.15070907780704901</v>
      </c>
      <c r="W130" s="19">
        <f>Mitigation_Industry!W$201-(Mitigation_Industry!W$201-Mitigation_Industry!W$191)*W$125</f>
        <v>0.15070907780704901</v>
      </c>
      <c r="X130" s="19">
        <f>Mitigation_Industry!X$201-(Mitigation_Industry!X$201-Mitigation_Industry!X$191)*X$125</f>
        <v>0.15070907780704901</v>
      </c>
      <c r="Y130" s="19">
        <f>Mitigation_Industry!Y$201-(Mitigation_Industry!Y$201-Mitigation_Industry!Y$191)*Y$125</f>
        <v>0.15070907780704901</v>
      </c>
      <c r="Z130" s="19">
        <f>Mitigation_Industry!Z$201-(Mitigation_Industry!Z$201-Mitigation_Industry!Z$191)*Z$125</f>
        <v>0.15070907780704901</v>
      </c>
      <c r="AA130" s="19">
        <f>Mitigation_Industry!AA$201-(Mitigation_Industry!AA$201-Mitigation_Industry!AA$191)*AA$125</f>
        <v>0.15070907780704901</v>
      </c>
      <c r="AB130" s="19">
        <f>Mitigation_Industry!AB$201-(Mitigation_Industry!AB$201-Mitigation_Industry!AB$191)*AB$125</f>
        <v>0.15070907780704901</v>
      </c>
      <c r="AC130" s="19">
        <f>Mitigation_Industry!AC$201-(Mitigation_Industry!AC$201-Mitigation_Industry!AC$191)*AC$125</f>
        <v>0.15070907780704901</v>
      </c>
      <c r="AD130" s="19">
        <f>Mitigation_Industry!AD$201-(Mitigation_Industry!AD$201-Mitigation_Industry!AD$191)*AD$125</f>
        <v>0.15070907780704901</v>
      </c>
      <c r="AE130" s="19">
        <f>Mitigation_Industry!AE$201-(Mitigation_Industry!AE$201-Mitigation_Industry!AE$191)*AE$125</f>
        <v>0.15070907780704901</v>
      </c>
    </row>
    <row r="131" spans="1:35" customFormat="1" ht="14.25" x14ac:dyDescent="0.45">
      <c r="B131" s="14" t="s">
        <v>62</v>
      </c>
      <c r="C131" s="14" t="s">
        <v>117</v>
      </c>
      <c r="D131" s="15" t="s">
        <v>2271</v>
      </c>
      <c r="E131" s="16" t="s">
        <v>57</v>
      </c>
      <c r="F131" s="14" t="s">
        <v>2261</v>
      </c>
      <c r="G131" s="17"/>
      <c r="H131" s="128" t="str">
        <f>Settings!$B$3&amp;".mit.atpn.mch.ker.e.1"</f>
        <v>egy.mit.atpn.mch.ker.e.1</v>
      </c>
      <c r="I131" t="s">
        <v>2305</v>
      </c>
      <c r="K131" s="18"/>
      <c r="L131" s="19">
        <f>Mitigation_Industry!L$202-(Mitigation_Industry!L$202-Mitigation_Industry!L$192)*L$125</f>
        <v>0.45642817050012802</v>
      </c>
      <c r="M131" s="19">
        <f>Mitigation_Industry!M$202-(Mitigation_Industry!M$202-Mitigation_Industry!M$192)*M$125</f>
        <v>0.43168920195599497</v>
      </c>
      <c r="N131" s="19">
        <f>Mitigation_Industry!N$202-(Mitigation_Industry!N$202-Mitigation_Industry!N$192)*N$125</f>
        <v>0.42507558395597</v>
      </c>
      <c r="O131" s="19">
        <f>Mitigation_Industry!O$202-(Mitigation_Industry!O$202-Mitigation_Industry!O$192)*O$125</f>
        <v>0.42507558395597</v>
      </c>
      <c r="P131" s="19">
        <f>Mitigation_Industry!P$202-(Mitigation_Industry!P$202-Mitigation_Industry!P$192)*P$125</f>
        <v>0.42507558395597</v>
      </c>
      <c r="Q131" s="19">
        <f>Mitigation_Industry!Q$202-(Mitigation_Industry!Q$202-Mitigation_Industry!Q$192)*Q$125</f>
        <v>0.42507558395597</v>
      </c>
      <c r="R131" s="19">
        <f>Mitigation_Industry!R$202-(Mitigation_Industry!R$202-Mitigation_Industry!R$192)*R$125</f>
        <v>0.42507558395597</v>
      </c>
      <c r="S131" s="19">
        <f>Mitigation_Industry!S$202-(Mitigation_Industry!S$202-Mitigation_Industry!S$192)*S$125</f>
        <v>0.42507558395597</v>
      </c>
      <c r="T131" s="19">
        <f>Mitigation_Industry!T$202-(Mitigation_Industry!T$202-Mitigation_Industry!T$192)*T$125</f>
        <v>0.42507558395597</v>
      </c>
      <c r="U131" s="19">
        <f>Mitigation_Industry!U$202-(Mitigation_Industry!U$202-Mitigation_Industry!U$192)*U$125</f>
        <v>0.42507558395597</v>
      </c>
      <c r="V131" s="19">
        <f>Mitigation_Industry!V$202-(Mitigation_Industry!V$202-Mitigation_Industry!V$192)*V$125</f>
        <v>0.42507558395597</v>
      </c>
      <c r="W131" s="19">
        <f>Mitigation_Industry!W$202-(Mitigation_Industry!W$202-Mitigation_Industry!W$192)*W$125</f>
        <v>0.42507558395597</v>
      </c>
      <c r="X131" s="19">
        <f>Mitigation_Industry!X$202-(Mitigation_Industry!X$202-Mitigation_Industry!X$192)*X$125</f>
        <v>0.42507558395597</v>
      </c>
      <c r="Y131" s="19">
        <f>Mitigation_Industry!Y$202-(Mitigation_Industry!Y$202-Mitigation_Industry!Y$192)*Y$125</f>
        <v>0.42507558395597</v>
      </c>
      <c r="Z131" s="19">
        <f>Mitigation_Industry!Z$202-(Mitigation_Industry!Z$202-Mitigation_Industry!Z$192)*Z$125</f>
        <v>0.42507558395597</v>
      </c>
      <c r="AA131" s="19">
        <f>Mitigation_Industry!AA$202-(Mitigation_Industry!AA$202-Mitigation_Industry!AA$192)*AA$125</f>
        <v>0.42507558395597</v>
      </c>
      <c r="AB131" s="19">
        <f>Mitigation_Industry!AB$202-(Mitigation_Industry!AB$202-Mitigation_Industry!AB$192)*AB$125</f>
        <v>0.42507558395597</v>
      </c>
      <c r="AC131" s="19">
        <f>Mitigation_Industry!AC$202-(Mitigation_Industry!AC$202-Mitigation_Industry!AC$192)*AC$125</f>
        <v>0.42507558395597</v>
      </c>
      <c r="AD131" s="19">
        <f>Mitigation_Industry!AD$202-(Mitigation_Industry!AD$202-Mitigation_Industry!AD$192)*AD$125</f>
        <v>0.42507558395597</v>
      </c>
      <c r="AE131" s="19">
        <f>Mitigation_Industry!AE$202-(Mitigation_Industry!AE$202-Mitigation_Industry!AE$192)*AE$125</f>
        <v>0.42507558395597</v>
      </c>
    </row>
    <row r="132" spans="1:35" customFormat="1" ht="14.25" x14ac:dyDescent="0.45">
      <c r="B132" s="14" t="s">
        <v>64</v>
      </c>
      <c r="C132" s="14" t="s">
        <v>117</v>
      </c>
      <c r="D132" s="15" t="s">
        <v>2273</v>
      </c>
      <c r="E132" s="16" t="s">
        <v>66</v>
      </c>
      <c r="F132" s="14" t="s">
        <v>2261</v>
      </c>
      <c r="G132" s="17"/>
      <c r="H132" s="128" t="str">
        <f>Settings!$B$3&amp;".mit.atpn.mch.oop.e.1"</f>
        <v>egy.mit.atpn.mch.oop.e.1</v>
      </c>
      <c r="I132" t="s">
        <v>2306</v>
      </c>
      <c r="K132" s="18"/>
      <c r="L132" s="19">
        <f>Mitigation_Industry!L$203-(Mitigation_Industry!L$203-Mitigation_Industry!L$193)*L$125</f>
        <v>34.4153703043132</v>
      </c>
      <c r="M132" s="19">
        <f>Mitigation_Industry!M$203-(Mitigation_Industry!M$203-Mitigation_Industry!M$193)*M$125</f>
        <v>37.368960690431997</v>
      </c>
      <c r="N132" s="19">
        <f>Mitigation_Industry!N$203-(Mitigation_Industry!N$203-Mitigation_Industry!N$193)*N$125</f>
        <v>28.982761101477301</v>
      </c>
      <c r="O132" s="19">
        <f>Mitigation_Industry!O$203-(Mitigation_Industry!O$203-Mitigation_Industry!O$193)*O$125</f>
        <v>15</v>
      </c>
      <c r="P132" s="19">
        <f>Mitigation_Industry!P$203-(Mitigation_Industry!P$203-Mitigation_Industry!P$193)*P$125</f>
        <v>24.2586300842555</v>
      </c>
      <c r="Q132" s="19">
        <f>Mitigation_Industry!Q$203-(Mitigation_Industry!Q$203-Mitigation_Industry!Q$193)*Q$125</f>
        <v>15</v>
      </c>
      <c r="R132" s="19">
        <f>Mitigation_Industry!R$203-(Mitigation_Industry!R$203-Mitigation_Industry!R$193)*R$125</f>
        <v>15</v>
      </c>
      <c r="S132" s="19">
        <f>Mitigation_Industry!S$203-(Mitigation_Industry!S$203-Mitigation_Industry!S$193)*S$125</f>
        <v>15</v>
      </c>
      <c r="T132" s="19">
        <f>Mitigation_Industry!T$203-(Mitigation_Industry!T$203-Mitigation_Industry!T$193)*T$125</f>
        <v>15</v>
      </c>
      <c r="U132" s="19">
        <f>Mitigation_Industry!U$203-(Mitigation_Industry!U$203-Mitigation_Industry!U$193)*U$125</f>
        <v>15</v>
      </c>
      <c r="V132" s="19">
        <f>Mitigation_Industry!V$203-(Mitigation_Industry!V$203-Mitigation_Industry!V$193)*V$125</f>
        <v>15</v>
      </c>
      <c r="W132" s="19">
        <f>Mitigation_Industry!W$203-(Mitigation_Industry!W$203-Mitigation_Industry!W$193)*W$125</f>
        <v>15</v>
      </c>
      <c r="X132" s="19">
        <f>Mitigation_Industry!X$203-(Mitigation_Industry!X$203-Mitigation_Industry!X$193)*X$125</f>
        <v>15</v>
      </c>
      <c r="Y132" s="19">
        <f>Mitigation_Industry!Y$203-(Mitigation_Industry!Y$203-Mitigation_Industry!Y$193)*Y$125</f>
        <v>15</v>
      </c>
      <c r="Z132" s="19">
        <f>Mitigation_Industry!Z$203-(Mitigation_Industry!Z$203-Mitigation_Industry!Z$193)*Z$125</f>
        <v>15</v>
      </c>
      <c r="AA132" s="19">
        <f>Mitigation_Industry!AA$203-(Mitigation_Industry!AA$203-Mitigation_Industry!AA$193)*AA$125</f>
        <v>15</v>
      </c>
      <c r="AB132" s="19">
        <f>Mitigation_Industry!AB$203-(Mitigation_Industry!AB$203-Mitigation_Industry!AB$193)*AB$125</f>
        <v>15</v>
      </c>
      <c r="AC132" s="19">
        <f>Mitigation_Industry!AC$203-(Mitigation_Industry!AC$203-Mitigation_Industry!AC$193)*AC$125</f>
        <v>15</v>
      </c>
      <c r="AD132" s="19">
        <f>Mitigation_Industry!AD$203-(Mitigation_Industry!AD$203-Mitigation_Industry!AD$193)*AD$125</f>
        <v>15</v>
      </c>
      <c r="AE132" s="19">
        <f>Mitigation_Industry!AE$203-(Mitigation_Industry!AE$203-Mitigation_Industry!AE$193)*AE$125</f>
        <v>15</v>
      </c>
    </row>
    <row r="133" spans="1:35" customFormat="1" ht="14.25" x14ac:dyDescent="0.45">
      <c r="B133" s="14" t="s">
        <v>67</v>
      </c>
      <c r="C133" s="14" t="s">
        <v>117</v>
      </c>
      <c r="D133" s="15" t="s">
        <v>2275</v>
      </c>
      <c r="E133" s="16" t="s">
        <v>51</v>
      </c>
      <c r="F133" s="14" t="s">
        <v>2261</v>
      </c>
      <c r="G133" s="17"/>
      <c r="H133" s="128" t="str">
        <f>Settings!$B$3&amp;".mit.atpn.mch.bio.e.1"</f>
        <v>egy.mit.atpn.mch.bio.e.1</v>
      </c>
      <c r="I133" t="s">
        <v>2307</v>
      </c>
      <c r="K133" s="18"/>
      <c r="L133" s="19">
        <f>Mitigation_Industry!L$204-(Mitigation_Industry!L$204-Mitigation_Industry!L$194)*L$125</f>
        <v>14.199528390634899</v>
      </c>
      <c r="M133" s="19">
        <f>Mitigation_Industry!M$204-(Mitigation_Industry!M$204-Mitigation_Industry!M$194)*M$125</f>
        <v>13.8404416133152</v>
      </c>
      <c r="N133" s="19">
        <f>Mitigation_Industry!N$204-(Mitigation_Industry!N$204-Mitigation_Industry!N$194)*N$125</f>
        <v>13.5677269404465</v>
      </c>
      <c r="O133" s="19">
        <f>Mitigation_Industry!O$204-(Mitigation_Industry!O$204-Mitigation_Industry!O$194)*O$125</f>
        <v>13.5677269404465</v>
      </c>
      <c r="P133" s="19">
        <f>Mitigation_Industry!P$204-(Mitigation_Industry!P$204-Mitigation_Industry!P$194)*P$125</f>
        <v>13.5677269404465</v>
      </c>
      <c r="Q133" s="19">
        <f>Mitigation_Industry!Q$204-(Mitigation_Industry!Q$204-Mitigation_Industry!Q$194)*Q$125</f>
        <v>13.5677269404465</v>
      </c>
      <c r="R133" s="19">
        <f>Mitigation_Industry!R$204-(Mitigation_Industry!R$204-Mitigation_Industry!R$194)*R$125</f>
        <v>13.5677269404465</v>
      </c>
      <c r="S133" s="19">
        <f>Mitigation_Industry!S$204-(Mitigation_Industry!S$204-Mitigation_Industry!S$194)*S$125</f>
        <v>13.5677269404465</v>
      </c>
      <c r="T133" s="19">
        <f>Mitigation_Industry!T$204-(Mitigation_Industry!T$204-Mitigation_Industry!T$194)*T$125</f>
        <v>13.5677269404465</v>
      </c>
      <c r="U133" s="19">
        <f>Mitigation_Industry!U$204-(Mitigation_Industry!U$204-Mitigation_Industry!U$194)*U$125</f>
        <v>13.5677269404465</v>
      </c>
      <c r="V133" s="19">
        <f>Mitigation_Industry!V$204-(Mitigation_Industry!V$204-Mitigation_Industry!V$194)*V$125</f>
        <v>13.5677269404465</v>
      </c>
      <c r="W133" s="19">
        <f>Mitigation_Industry!W$204-(Mitigation_Industry!W$204-Mitigation_Industry!W$194)*W$125</f>
        <v>13.5677269404465</v>
      </c>
      <c r="X133" s="19">
        <f>Mitigation_Industry!X$204-(Mitigation_Industry!X$204-Mitigation_Industry!X$194)*X$125</f>
        <v>13.5677269404465</v>
      </c>
      <c r="Y133" s="19">
        <f>Mitigation_Industry!Y$204-(Mitigation_Industry!Y$204-Mitigation_Industry!Y$194)*Y$125</f>
        <v>13.5677269404465</v>
      </c>
      <c r="Z133" s="19">
        <f>Mitigation_Industry!Z$204-(Mitigation_Industry!Z$204-Mitigation_Industry!Z$194)*Z$125</f>
        <v>13.5677269404465</v>
      </c>
      <c r="AA133" s="19">
        <f>Mitigation_Industry!AA$204-(Mitigation_Industry!AA$204-Mitigation_Industry!AA$194)*AA$125</f>
        <v>13.5677269404465</v>
      </c>
      <c r="AB133" s="19">
        <f>Mitigation_Industry!AB$204-(Mitigation_Industry!AB$204-Mitigation_Industry!AB$194)*AB$125</f>
        <v>13.5677269404465</v>
      </c>
      <c r="AC133" s="19">
        <f>Mitigation_Industry!AC$204-(Mitigation_Industry!AC$204-Mitigation_Industry!AC$194)*AC$125</f>
        <v>13.5677269404465</v>
      </c>
      <c r="AD133" s="19">
        <f>Mitigation_Industry!AD$204-(Mitigation_Industry!AD$204-Mitigation_Industry!AD$194)*AD$125</f>
        <v>13.5677269404465</v>
      </c>
      <c r="AE133" s="19">
        <f>Mitigation_Industry!AE$204-(Mitigation_Industry!AE$204-Mitigation_Industry!AE$194)*AE$125</f>
        <v>13.5677269404465</v>
      </c>
    </row>
    <row r="134" spans="1:35" customFormat="1" ht="14.25" x14ac:dyDescent="0.45">
      <c r="B134" s="14" t="s">
        <v>69</v>
      </c>
      <c r="C134" s="14" t="s">
        <v>117</v>
      </c>
      <c r="D134" s="15" t="s">
        <v>2277</v>
      </c>
      <c r="E134" s="16" t="s">
        <v>71</v>
      </c>
      <c r="F134" s="14" t="s">
        <v>2261</v>
      </c>
      <c r="G134" s="17"/>
      <c r="H134" s="128" t="str">
        <f>Settings!$B$3&amp;".mit.atpn.mch.ren.e.1"</f>
        <v>egy.mit.atpn.mch.ren.e.1</v>
      </c>
      <c r="I134" t="s">
        <v>2308</v>
      </c>
      <c r="K134" s="18"/>
      <c r="L134" s="19">
        <f>Mitigation_Industry!L$205-(Mitigation_Industry!L$205-Mitigation_Industry!L$195)*L$125</f>
        <v>0.14404498679319799</v>
      </c>
      <c r="M134" s="19">
        <f>Mitigation_Industry!M$205-(Mitigation_Industry!M$205-Mitigation_Industry!M$195)*M$125</f>
        <v>0.14102040965700399</v>
      </c>
      <c r="N134" s="19">
        <f>Mitigation_Industry!N$205-(Mitigation_Industry!N$205-Mitigation_Industry!N$195)*N$125</f>
        <v>0.13511635959447599</v>
      </c>
      <c r="O134" s="19">
        <f>Mitigation_Industry!O$205-(Mitigation_Industry!O$205-Mitigation_Industry!O$195)*O$125</f>
        <v>0.13098825698585601</v>
      </c>
      <c r="P134" s="19">
        <f>Mitigation_Industry!P$205-(Mitigation_Industry!P$205-Mitigation_Industry!P$195)*P$125</f>
        <v>0.12790841608631801</v>
      </c>
      <c r="Q134" s="19">
        <f>Mitigation_Industry!Q$205-(Mitigation_Industry!Q$205-Mitigation_Industry!Q$195)*Q$125</f>
        <v>0.124814310557813</v>
      </c>
      <c r="R134" s="19">
        <f>Mitigation_Industry!R$205-(Mitigation_Industry!R$205-Mitigation_Industry!R$195)*R$125</f>
        <v>0.121460257122878</v>
      </c>
      <c r="S134" s="19">
        <f>Mitigation_Industry!S$205-(Mitigation_Industry!S$205-Mitigation_Industry!S$195)*S$125</f>
        <v>0.117950744135786</v>
      </c>
      <c r="T134" s="19">
        <f>Mitigation_Industry!T$205-(Mitigation_Industry!T$205-Mitigation_Industry!T$195)*T$125</f>
        <v>0.114199161044597</v>
      </c>
      <c r="U134" s="19">
        <f>Mitigation_Industry!U$205-(Mitigation_Industry!U$205-Mitigation_Industry!U$195)*U$125</f>
        <v>0.113665100059665</v>
      </c>
      <c r="V134" s="19">
        <f>Mitigation_Industry!V$205-(Mitigation_Industry!V$205-Mitigation_Industry!V$195)*V$125</f>
        <v>0.113016929625957</v>
      </c>
      <c r="W134" s="19">
        <f>Mitigation_Industry!W$205-(Mitigation_Industry!W$205-Mitigation_Industry!W$195)*W$125</f>
        <v>0.112314070507636</v>
      </c>
      <c r="X134" s="19">
        <f>Mitigation_Industry!X$205-(Mitigation_Industry!X$205-Mitigation_Industry!X$195)*X$125</f>
        <v>0.11142204273284299</v>
      </c>
      <c r="Y134" s="19">
        <f>Mitigation_Industry!Y$205-(Mitigation_Industry!Y$205-Mitigation_Industry!Y$195)*Y$125</f>
        <v>0.110434123675809</v>
      </c>
      <c r="Z134" s="19">
        <f>Mitigation_Industry!Z$205-(Mitigation_Industry!Z$205-Mitigation_Industry!Z$195)*Z$125</f>
        <v>0.109483973304471</v>
      </c>
      <c r="AA134" s="19">
        <f>Mitigation_Industry!AA$205-(Mitigation_Industry!AA$205-Mitigation_Industry!AA$195)*AA$125</f>
        <v>0.10839192105294</v>
      </c>
      <c r="AB134" s="19">
        <f>Mitigation_Industry!AB$205-(Mitigation_Industry!AB$205-Mitigation_Industry!AB$195)*AB$125</f>
        <v>0.10735443362670399</v>
      </c>
      <c r="AC134" s="19">
        <f>Mitigation_Industry!AC$205-(Mitigation_Industry!AC$205-Mitigation_Industry!AC$195)*AC$125</f>
        <v>0.105168675441661</v>
      </c>
      <c r="AD134" s="19">
        <f>Mitigation_Industry!AD$205-(Mitigation_Industry!AD$205-Mitigation_Industry!AD$195)*AD$125</f>
        <v>0.103057983256008</v>
      </c>
      <c r="AE134" s="19">
        <f>Mitigation_Industry!AE$205-(Mitigation_Industry!AE$205-Mitigation_Industry!AE$195)*AE$125</f>
        <v>0.100931838990114</v>
      </c>
    </row>
    <row r="136" spans="1:35" customFormat="1" ht="14.25" x14ac:dyDescent="0.45">
      <c r="A136" s="11"/>
      <c r="B136" s="6"/>
      <c r="C136" s="7" t="s">
        <v>2309</v>
      </c>
      <c r="D136" s="6" t="s">
        <v>1488</v>
      </c>
      <c r="E136" s="7" t="s">
        <v>35</v>
      </c>
      <c r="F136" s="7" t="s">
        <v>45</v>
      </c>
      <c r="G136" s="7" t="s">
        <v>37</v>
      </c>
      <c r="H136" s="12" t="s">
        <v>38</v>
      </c>
      <c r="I136" s="6" t="s">
        <v>39</v>
      </c>
      <c r="J136" s="48">
        <v>1</v>
      </c>
      <c r="K136" s="6">
        <v>2021</v>
      </c>
      <c r="L136" s="46">
        <v>2022</v>
      </c>
      <c r="M136" s="6">
        <v>2023</v>
      </c>
      <c r="N136" s="6">
        <v>2024</v>
      </c>
      <c r="O136" s="6">
        <v>2025</v>
      </c>
      <c r="P136" s="6">
        <v>2026</v>
      </c>
      <c r="Q136" s="6">
        <v>2027</v>
      </c>
      <c r="R136" s="6">
        <v>2028</v>
      </c>
      <c r="S136" s="6">
        <v>2029</v>
      </c>
      <c r="T136" s="6">
        <v>2030</v>
      </c>
      <c r="U136" s="6">
        <v>2031</v>
      </c>
      <c r="V136" s="6">
        <v>2032</v>
      </c>
      <c r="W136" s="6">
        <v>2033</v>
      </c>
      <c r="X136" s="6">
        <v>2034</v>
      </c>
      <c r="Y136" s="6">
        <v>2035</v>
      </c>
      <c r="Z136" s="6">
        <v>2036</v>
      </c>
      <c r="AA136" s="6">
        <v>2037</v>
      </c>
      <c r="AB136" s="6">
        <v>2038</v>
      </c>
      <c r="AC136" s="6">
        <v>2039</v>
      </c>
      <c r="AD136" s="6">
        <v>2040</v>
      </c>
      <c r="AE136" s="6">
        <v>2041</v>
      </c>
      <c r="AF136" s="6">
        <v>2042</v>
      </c>
      <c r="AG136" s="6">
        <v>2043</v>
      </c>
      <c r="AH136" s="6">
        <v>2044</v>
      </c>
      <c r="AI136" s="6">
        <v>2045</v>
      </c>
    </row>
    <row r="137" spans="1:35" customFormat="1" ht="14.25" x14ac:dyDescent="0.45">
      <c r="B137" s="14" t="s">
        <v>110</v>
      </c>
      <c r="C137" s="14"/>
      <c r="D137" s="25" t="s">
        <v>2310</v>
      </c>
      <c r="E137" s="16" t="s">
        <v>1854</v>
      </c>
      <c r="F137" s="14" t="s">
        <v>2311</v>
      </c>
      <c r="H137" s="17"/>
      <c r="I137" t="s">
        <v>2312</v>
      </c>
      <c r="L137" s="130">
        <f>Mitigation_Industry!L$400</f>
        <v>0</v>
      </c>
      <c r="M137" s="130">
        <f>Mitigation_Industry!M$400</f>
        <v>0</v>
      </c>
      <c r="N137" s="130">
        <f>Mitigation_Industry!N$400</f>
        <v>0</v>
      </c>
      <c r="O137" s="130">
        <f>Mitigation_Industry!O$400</f>
        <v>0</v>
      </c>
      <c r="P137" s="130">
        <f>Mitigation_Industry!P$400</f>
        <v>0</v>
      </c>
      <c r="Q137" s="130">
        <f>Mitigation_Industry!Q$400</f>
        <v>0</v>
      </c>
      <c r="R137" s="130">
        <f>Mitigation_Industry!R$400</f>
        <v>0</v>
      </c>
      <c r="S137" s="130">
        <f>Mitigation_Industry!S$400</f>
        <v>0</v>
      </c>
      <c r="T137" s="130">
        <f>Mitigation_Industry!T$400</f>
        <v>0</v>
      </c>
      <c r="U137" s="130">
        <f>Mitigation_Industry!U$400</f>
        <v>0</v>
      </c>
      <c r="V137" s="130">
        <f>Mitigation_Industry!V$400</f>
        <v>0</v>
      </c>
      <c r="W137" s="130">
        <f>Mitigation_Industry!W$400</f>
        <v>0</v>
      </c>
      <c r="X137" s="130">
        <f>Mitigation_Industry!X$400</f>
        <v>0</v>
      </c>
      <c r="Y137" s="130">
        <f>Mitigation_Industry!Y$400</f>
        <v>0</v>
      </c>
      <c r="Z137" s="130">
        <f>Mitigation_Industry!Z$400</f>
        <v>0</v>
      </c>
      <c r="AA137" s="130">
        <f>Mitigation_Industry!AA$400</f>
        <v>0</v>
      </c>
      <c r="AB137" s="130">
        <f>Mitigation_Industry!AB$400</f>
        <v>0</v>
      </c>
      <c r="AC137" s="130">
        <f>Mitigation_Industry!AC$400</f>
        <v>0</v>
      </c>
      <c r="AD137" s="130">
        <f>Mitigation_Industry!AD$400</f>
        <v>0</v>
      </c>
      <c r="AE137" s="130">
        <f>Mitigation_Industry!AE$400</f>
        <v>0</v>
      </c>
    </row>
    <row r="138" spans="1:35" customFormat="1" ht="14.25" x14ac:dyDescent="0.45">
      <c r="B138" s="14" t="s">
        <v>110</v>
      </c>
      <c r="C138" s="14"/>
      <c r="D138" s="25" t="s">
        <v>2313</v>
      </c>
      <c r="E138" s="16" t="s">
        <v>1854</v>
      </c>
      <c r="F138" s="14" t="s">
        <v>2242</v>
      </c>
      <c r="H138" s="17"/>
      <c r="L138" s="130">
        <f t="shared" ref="L138:AE138" si="33">L$78</f>
        <v>0</v>
      </c>
      <c r="M138" s="130">
        <f t="shared" si="33"/>
        <v>0</v>
      </c>
      <c r="N138" s="130">
        <f t="shared" si="33"/>
        <v>0</v>
      </c>
      <c r="O138" s="130">
        <f t="shared" si="33"/>
        <v>0</v>
      </c>
      <c r="P138" s="130">
        <f t="shared" si="33"/>
        <v>0</v>
      </c>
      <c r="Q138" s="130">
        <f t="shared" si="33"/>
        <v>0</v>
      </c>
      <c r="R138" s="130">
        <f t="shared" si="33"/>
        <v>0</v>
      </c>
      <c r="S138" s="130">
        <f t="shared" si="33"/>
        <v>0</v>
      </c>
      <c r="T138" s="130">
        <f t="shared" si="33"/>
        <v>0</v>
      </c>
      <c r="U138" s="130">
        <f t="shared" si="33"/>
        <v>0</v>
      </c>
      <c r="V138" s="130">
        <f t="shared" si="33"/>
        <v>0</v>
      </c>
      <c r="W138" s="130">
        <f t="shared" si="33"/>
        <v>0</v>
      </c>
      <c r="X138" s="130">
        <f t="shared" si="33"/>
        <v>0</v>
      </c>
      <c r="Y138" s="130">
        <f t="shared" si="33"/>
        <v>0</v>
      </c>
      <c r="Z138" s="130">
        <f t="shared" si="33"/>
        <v>0</v>
      </c>
      <c r="AA138" s="130">
        <f t="shared" si="33"/>
        <v>0</v>
      </c>
      <c r="AB138" s="130">
        <f t="shared" si="33"/>
        <v>0</v>
      </c>
      <c r="AC138" s="130">
        <f t="shared" si="33"/>
        <v>0</v>
      </c>
      <c r="AD138" s="130">
        <f t="shared" si="33"/>
        <v>0</v>
      </c>
      <c r="AE138" s="130">
        <f t="shared" si="33"/>
        <v>0</v>
      </c>
    </row>
    <row r="139" spans="1:35" customFormat="1" ht="14.25" x14ac:dyDescent="0.45">
      <c r="B139" s="14" t="s">
        <v>110</v>
      </c>
      <c r="C139" s="14"/>
      <c r="D139" s="25" t="s">
        <v>2314</v>
      </c>
      <c r="E139" s="16" t="s">
        <v>1854</v>
      </c>
      <c r="F139" s="14" t="s">
        <v>2315</v>
      </c>
      <c r="H139" s="128" t="str">
        <f>Settings!$B$3&amp;".mit.revnet.cbam.tot.1"</f>
        <v>egy.mit.revnet.cbam.tot.1</v>
      </c>
      <c r="L139" s="130">
        <f t="shared" ref="L139:AE139" si="34">L137-L138</f>
        <v>0</v>
      </c>
      <c r="M139" s="130">
        <f t="shared" si="34"/>
        <v>0</v>
      </c>
      <c r="N139" s="130">
        <f t="shared" si="34"/>
        <v>0</v>
      </c>
      <c r="O139" s="130">
        <f t="shared" si="34"/>
        <v>0</v>
      </c>
      <c r="P139" s="130">
        <f t="shared" si="34"/>
        <v>0</v>
      </c>
      <c r="Q139" s="130">
        <f t="shared" si="34"/>
        <v>0</v>
      </c>
      <c r="R139" s="130">
        <f t="shared" si="34"/>
        <v>0</v>
      </c>
      <c r="S139" s="130">
        <f t="shared" si="34"/>
        <v>0</v>
      </c>
      <c r="T139" s="130">
        <f t="shared" si="34"/>
        <v>0</v>
      </c>
      <c r="U139" s="130">
        <f t="shared" si="34"/>
        <v>0</v>
      </c>
      <c r="V139" s="130">
        <f t="shared" si="34"/>
        <v>0</v>
      </c>
      <c r="W139" s="130">
        <f t="shared" si="34"/>
        <v>0</v>
      </c>
      <c r="X139" s="130">
        <f t="shared" si="34"/>
        <v>0</v>
      </c>
      <c r="Y139" s="130">
        <f t="shared" si="34"/>
        <v>0</v>
      </c>
      <c r="Z139" s="130">
        <f t="shared" si="34"/>
        <v>0</v>
      </c>
      <c r="AA139" s="130">
        <f t="shared" si="34"/>
        <v>0</v>
      </c>
      <c r="AB139" s="130">
        <f t="shared" si="34"/>
        <v>0</v>
      </c>
      <c r="AC139" s="130">
        <f t="shared" si="34"/>
        <v>0</v>
      </c>
      <c r="AD139" s="130">
        <f t="shared" si="34"/>
        <v>0</v>
      </c>
      <c r="AE139" s="130">
        <f t="shared" si="34"/>
        <v>0</v>
      </c>
    </row>
    <row r="142" spans="1:35" customFormat="1" ht="18" customHeight="1" x14ac:dyDescent="0.45">
      <c r="A142" s="8"/>
      <c r="B142" s="9" t="s">
        <v>2316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4" spans="1:35" customFormat="1" ht="14.25" x14ac:dyDescent="0.45">
      <c r="A144" s="11"/>
      <c r="B144" s="6"/>
      <c r="C144" s="7" t="s">
        <v>2176</v>
      </c>
      <c r="D144" s="6" t="s">
        <v>1488</v>
      </c>
      <c r="E144" s="7" t="s">
        <v>35</v>
      </c>
      <c r="F144" s="7" t="s">
        <v>45</v>
      </c>
      <c r="G144" s="7" t="s">
        <v>37</v>
      </c>
      <c r="H144" s="12" t="s">
        <v>38</v>
      </c>
      <c r="I144" s="6" t="s">
        <v>39</v>
      </c>
      <c r="J144" s="48">
        <v>2</v>
      </c>
      <c r="K144" s="6">
        <v>2021</v>
      </c>
      <c r="L144" s="46">
        <v>2022</v>
      </c>
      <c r="M144" s="6">
        <v>2023</v>
      </c>
      <c r="N144" s="6">
        <v>2024</v>
      </c>
      <c r="O144" s="6">
        <v>2025</v>
      </c>
      <c r="P144" s="6">
        <v>2026</v>
      </c>
      <c r="Q144" s="6">
        <v>2027</v>
      </c>
      <c r="R144" s="6">
        <v>2028</v>
      </c>
      <c r="S144" s="6">
        <v>2029</v>
      </c>
      <c r="T144" s="6">
        <v>2030</v>
      </c>
      <c r="U144" s="6">
        <v>2031</v>
      </c>
      <c r="V144" s="6">
        <v>2032</v>
      </c>
      <c r="W144" s="6">
        <v>2033</v>
      </c>
      <c r="X144" s="6">
        <v>2034</v>
      </c>
      <c r="Y144" s="6">
        <v>2035</v>
      </c>
      <c r="Z144" s="6">
        <v>2036</v>
      </c>
      <c r="AA144" s="6">
        <v>2037</v>
      </c>
      <c r="AB144" s="6">
        <v>2038</v>
      </c>
      <c r="AC144" s="6">
        <v>2039</v>
      </c>
      <c r="AD144" s="6">
        <v>2040</v>
      </c>
      <c r="AE144" s="6">
        <v>2041</v>
      </c>
      <c r="AF144" s="6">
        <v>2042</v>
      </c>
      <c r="AG144" s="6">
        <v>2043</v>
      </c>
      <c r="AH144" s="6">
        <v>2044</v>
      </c>
      <c r="AI144" s="6">
        <v>2045</v>
      </c>
    </row>
    <row r="145" spans="1:35" customFormat="1" ht="14.25" x14ac:dyDescent="0.45">
      <c r="B145" s="14" t="s">
        <v>1782</v>
      </c>
      <c r="C145" s="14"/>
      <c r="D145" s="15" t="s">
        <v>2177</v>
      </c>
      <c r="E145" s="16" t="s">
        <v>79</v>
      </c>
      <c r="F145" s="14" t="s">
        <v>1782</v>
      </c>
      <c r="G145" s="128" t="s">
        <v>1785</v>
      </c>
      <c r="H145" s="17"/>
      <c r="I145" t="s">
        <v>2178</v>
      </c>
      <c r="K145" s="18"/>
      <c r="L145" s="19">
        <f>INDEX(Data_Prices!L:L,MATCH($G145,Data_Prices!$A:$A,0))</f>
        <v>0</v>
      </c>
      <c r="M145" s="19">
        <f>INDEX(Data_Prices!M:M,MATCH($G145,Data_Prices!$A:$A,0))</f>
        <v>0</v>
      </c>
      <c r="N145" s="19">
        <f>INDEX(Data_Prices!N:N,MATCH($G145,Data_Prices!$A:$A,0))</f>
        <v>0</v>
      </c>
      <c r="O145" s="19">
        <f>INDEX(Data_Prices!O:O,MATCH($G145,Data_Prices!$A:$A,0))</f>
        <v>0</v>
      </c>
      <c r="P145" s="19">
        <f>INDEX(Data_Prices!P:P,MATCH($G145,Data_Prices!$A:$A,0))</f>
        <v>0</v>
      </c>
      <c r="Q145" s="19">
        <f>INDEX(Data_Prices!Q:Q,MATCH($G145,Data_Prices!$A:$A,0))</f>
        <v>0</v>
      </c>
      <c r="R145" s="19">
        <f>INDEX(Data_Prices!R:R,MATCH($G145,Data_Prices!$A:$A,0))</f>
        <v>0</v>
      </c>
      <c r="S145" s="19">
        <f>INDEX(Data_Prices!S:S,MATCH($G145,Data_Prices!$A:$A,0))</f>
        <v>0</v>
      </c>
      <c r="T145" s="19">
        <f>INDEX(Data_Prices!T:T,MATCH($G145,Data_Prices!$A:$A,0))</f>
        <v>0</v>
      </c>
      <c r="U145" s="19">
        <f>INDEX(Data_Prices!U:U,MATCH($G145,Data_Prices!$A:$A,0))</f>
        <v>0</v>
      </c>
      <c r="V145" s="19">
        <f>INDEX(Data_Prices!V:V,MATCH($G145,Data_Prices!$A:$A,0))</f>
        <v>0</v>
      </c>
      <c r="W145" s="19">
        <f>INDEX(Data_Prices!W:W,MATCH($G145,Data_Prices!$A:$A,0))</f>
        <v>0</v>
      </c>
      <c r="X145" s="19">
        <f>INDEX(Data_Prices!X:X,MATCH($G145,Data_Prices!$A:$A,0))</f>
        <v>0</v>
      </c>
      <c r="Y145" s="19">
        <f>INDEX(Data_Prices!Y:Y,MATCH($G145,Data_Prices!$A:$A,0))</f>
        <v>0</v>
      </c>
      <c r="Z145" s="19">
        <f>INDEX(Data_Prices!Z:Z,MATCH($G145,Data_Prices!$A:$A,0))</f>
        <v>0</v>
      </c>
      <c r="AA145" s="19">
        <f>INDEX(Data_Prices!AA:AA,MATCH($G145,Data_Prices!$A:$A,0))</f>
        <v>0</v>
      </c>
      <c r="AB145" s="19">
        <f>INDEX(Data_Prices!AB:AB,MATCH($G145,Data_Prices!$A:$A,0))</f>
        <v>0</v>
      </c>
      <c r="AC145" s="19">
        <f>INDEX(Data_Prices!AC:AC,MATCH($G145,Data_Prices!$A:$A,0))</f>
        <v>0</v>
      </c>
      <c r="AD145" s="19">
        <f>INDEX(Data_Prices!AD:AD,MATCH($G145,Data_Prices!$A:$A,0))</f>
        <v>0</v>
      </c>
      <c r="AE145" s="19">
        <f>INDEX(Data_Prices!AE:AE,MATCH($G145,Data_Prices!$A:$A,0))</f>
        <v>0</v>
      </c>
    </row>
    <row r="146" spans="1:35" customFormat="1" ht="14.25" x14ac:dyDescent="0.45">
      <c r="B146" s="14" t="s">
        <v>1786</v>
      </c>
      <c r="C146" s="14"/>
      <c r="D146" s="15" t="s">
        <v>2179</v>
      </c>
      <c r="E146" s="16" t="s">
        <v>1398</v>
      </c>
      <c r="F146" s="14" t="s">
        <v>1786</v>
      </c>
      <c r="G146" s="128" t="s">
        <v>1788</v>
      </c>
      <c r="H146" s="17"/>
      <c r="I146" t="s">
        <v>2317</v>
      </c>
      <c r="K146" s="18"/>
      <c r="L146" s="19">
        <f>INDEX(Data_Prices!L:L,MATCH($G146,Data_Prices!$A:$A,0))</f>
        <v>0</v>
      </c>
      <c r="M146" s="19">
        <f>INDEX(Data_Prices!M:M,MATCH($G146,Data_Prices!$A:$A,0))</f>
        <v>0</v>
      </c>
      <c r="N146" s="19">
        <f>INDEX(Data_Prices!N:N,MATCH($G146,Data_Prices!$A:$A,0))</f>
        <v>0</v>
      </c>
      <c r="O146" s="19">
        <f>INDEX(Data_Prices!O:O,MATCH($G146,Data_Prices!$A:$A,0))</f>
        <v>0</v>
      </c>
      <c r="P146" s="19">
        <f>INDEX(Data_Prices!P:P,MATCH($G146,Data_Prices!$A:$A,0))</f>
        <v>0</v>
      </c>
      <c r="Q146" s="19">
        <f>INDEX(Data_Prices!Q:Q,MATCH($G146,Data_Prices!$A:$A,0))</f>
        <v>0</v>
      </c>
      <c r="R146" s="19">
        <f>INDEX(Data_Prices!R:R,MATCH($G146,Data_Prices!$A:$A,0))</f>
        <v>0</v>
      </c>
      <c r="S146" s="19">
        <f>INDEX(Data_Prices!S:S,MATCH($G146,Data_Prices!$A:$A,0))</f>
        <v>0</v>
      </c>
      <c r="T146" s="19">
        <f>INDEX(Data_Prices!T:T,MATCH($G146,Data_Prices!$A:$A,0))</f>
        <v>0</v>
      </c>
      <c r="U146" s="19">
        <f>INDEX(Data_Prices!U:U,MATCH($G146,Data_Prices!$A:$A,0))</f>
        <v>0</v>
      </c>
      <c r="V146" s="19">
        <f>INDEX(Data_Prices!V:V,MATCH($G146,Data_Prices!$A:$A,0))</f>
        <v>0</v>
      </c>
      <c r="W146" s="19">
        <f>INDEX(Data_Prices!W:W,MATCH($G146,Data_Prices!$A:$A,0))</f>
        <v>0</v>
      </c>
      <c r="X146" s="19">
        <f>INDEX(Data_Prices!X:X,MATCH($G146,Data_Prices!$A:$A,0))</f>
        <v>0</v>
      </c>
      <c r="Y146" s="19">
        <f>INDEX(Data_Prices!Y:Y,MATCH($G146,Data_Prices!$A:$A,0))</f>
        <v>0</v>
      </c>
      <c r="Z146" s="19">
        <f>INDEX(Data_Prices!Z:Z,MATCH($G146,Data_Prices!$A:$A,0))</f>
        <v>0</v>
      </c>
      <c r="AA146" s="19">
        <f>INDEX(Data_Prices!AA:AA,MATCH($G146,Data_Prices!$A:$A,0))</f>
        <v>0</v>
      </c>
      <c r="AB146" s="19">
        <f>INDEX(Data_Prices!AB:AB,MATCH($G146,Data_Prices!$A:$A,0))</f>
        <v>0</v>
      </c>
      <c r="AC146" s="19">
        <f>INDEX(Data_Prices!AC:AC,MATCH($G146,Data_Prices!$A:$A,0))</f>
        <v>0</v>
      </c>
      <c r="AD146" s="19">
        <f>INDEX(Data_Prices!AD:AD,MATCH($G146,Data_Prices!$A:$A,0))</f>
        <v>0</v>
      </c>
      <c r="AE146" s="19">
        <f>INDEX(Data_Prices!AE:AE,MATCH($G146,Data_Prices!$A:$A,0))</f>
        <v>0</v>
      </c>
    </row>
    <row r="148" spans="1:35" customFormat="1" ht="14.25" x14ac:dyDescent="0.45">
      <c r="A148" s="11"/>
      <c r="B148" s="6"/>
      <c r="C148" s="7" t="s">
        <v>2181</v>
      </c>
      <c r="D148" s="6" t="s">
        <v>1488</v>
      </c>
      <c r="E148" s="7" t="s">
        <v>35</v>
      </c>
      <c r="F148" s="7" t="s">
        <v>45</v>
      </c>
      <c r="G148" s="7" t="s">
        <v>37</v>
      </c>
      <c r="H148" s="12" t="s">
        <v>38</v>
      </c>
      <c r="I148" s="6" t="s">
        <v>39</v>
      </c>
      <c r="J148" s="48">
        <v>2</v>
      </c>
      <c r="K148" s="6">
        <v>2021</v>
      </c>
      <c r="L148" s="46">
        <v>2022</v>
      </c>
      <c r="M148" s="6">
        <v>2023</v>
      </c>
      <c r="N148" s="6">
        <v>2024</v>
      </c>
      <c r="O148" s="6">
        <v>2025</v>
      </c>
      <c r="P148" s="6">
        <v>2026</v>
      </c>
      <c r="Q148" s="6">
        <v>2027</v>
      </c>
      <c r="R148" s="6">
        <v>2028</v>
      </c>
      <c r="S148" s="6">
        <v>2029</v>
      </c>
      <c r="T148" s="6">
        <v>2030</v>
      </c>
      <c r="U148" s="6">
        <v>2031</v>
      </c>
      <c r="V148" s="6">
        <v>2032</v>
      </c>
      <c r="W148" s="6">
        <v>2033</v>
      </c>
      <c r="X148" s="6">
        <v>2034</v>
      </c>
      <c r="Y148" s="6">
        <v>2035</v>
      </c>
      <c r="Z148" s="6">
        <v>2036</v>
      </c>
      <c r="AA148" s="6">
        <v>2037</v>
      </c>
      <c r="AB148" s="6">
        <v>2038</v>
      </c>
      <c r="AC148" s="6">
        <v>2039</v>
      </c>
      <c r="AD148" s="6">
        <v>2040</v>
      </c>
      <c r="AE148" s="6">
        <v>2041</v>
      </c>
      <c r="AF148" s="6">
        <v>2042</v>
      </c>
      <c r="AG148" s="6">
        <v>2043</v>
      </c>
      <c r="AH148" s="6">
        <v>2044</v>
      </c>
      <c r="AI148" s="6">
        <v>2045</v>
      </c>
    </row>
    <row r="149" spans="1:35" customFormat="1" ht="14.25" x14ac:dyDescent="0.45">
      <c r="B149" s="14" t="s">
        <v>1435</v>
      </c>
      <c r="C149" s="14" t="s">
        <v>43</v>
      </c>
      <c r="D149" s="15" t="s">
        <v>2182</v>
      </c>
      <c r="E149" s="16" t="s">
        <v>2183</v>
      </c>
      <c r="F149" s="14" t="s">
        <v>2181</v>
      </c>
      <c r="G149" s="17"/>
      <c r="H149" s="128" t="str">
        <f>Settings!$B$3&amp;".mit.obrbm.stl.drg.2"</f>
        <v>egy.mit.obrbm.stl.drg.2</v>
      </c>
      <c r="I149" t="s">
        <v>2184</v>
      </c>
      <c r="K149" s="18"/>
      <c r="L149" s="19">
        <f>Mitigation_Industry!$Z$663</f>
        <v>0.48099999999999998</v>
      </c>
      <c r="M149" s="19">
        <f>Mitigation_Industry!$Z$663</f>
        <v>0.48099999999999998</v>
      </c>
      <c r="N149" s="19">
        <f>Mitigation_Industry!$Z$663</f>
        <v>0.48099999999999998</v>
      </c>
      <c r="O149" s="19">
        <f>Mitigation_Industry!$Z$663</f>
        <v>0.48099999999999998</v>
      </c>
      <c r="P149" s="19">
        <f>Mitigation_Industry!$Z$663</f>
        <v>0.48099999999999998</v>
      </c>
      <c r="Q149" s="19">
        <f>Mitigation_Industry!$Z$663</f>
        <v>0.48099999999999998</v>
      </c>
      <c r="R149" s="19">
        <f>Mitigation_Industry!$Z$663</f>
        <v>0.48099999999999998</v>
      </c>
      <c r="S149" s="19">
        <f>Mitigation_Industry!$Z$663</f>
        <v>0.48099999999999998</v>
      </c>
      <c r="T149" s="19">
        <f>Mitigation_Industry!$Z$663</f>
        <v>0.48099999999999998</v>
      </c>
      <c r="U149" s="19">
        <f>Mitigation_Industry!$Z$663</f>
        <v>0.48099999999999998</v>
      </c>
      <c r="V149" s="19">
        <f>Mitigation_Industry!$Z$663</f>
        <v>0.48099999999999998</v>
      </c>
      <c r="W149" s="19">
        <f>Mitigation_Industry!$Z$663</f>
        <v>0.48099999999999998</v>
      </c>
      <c r="X149" s="19">
        <f>Mitigation_Industry!$Z$663</f>
        <v>0.48099999999999998</v>
      </c>
      <c r="Y149" s="19">
        <f>Mitigation_Industry!$Z$663</f>
        <v>0.48099999999999998</v>
      </c>
      <c r="Z149" s="19">
        <f>Mitigation_Industry!$Z$663</f>
        <v>0.48099999999999998</v>
      </c>
      <c r="AA149" s="19">
        <f>Mitigation_Industry!$Z$663</f>
        <v>0.48099999999999998</v>
      </c>
      <c r="AB149" s="19">
        <f>Mitigation_Industry!$Z$663</f>
        <v>0.48099999999999998</v>
      </c>
      <c r="AC149" s="19">
        <f>Mitigation_Industry!$Z$663</f>
        <v>0.48099999999999998</v>
      </c>
      <c r="AD149" s="19">
        <f>Mitigation_Industry!$Z$663</f>
        <v>0.48099999999999998</v>
      </c>
      <c r="AE149" s="19">
        <f>Mitigation_Industry!$Z$663</f>
        <v>0.48099999999999998</v>
      </c>
    </row>
    <row r="150" spans="1:35" customFormat="1" ht="14.25" x14ac:dyDescent="0.45">
      <c r="B150" s="14" t="s">
        <v>1438</v>
      </c>
      <c r="C150" s="14" t="s">
        <v>43</v>
      </c>
      <c r="D150" s="15" t="s">
        <v>2185</v>
      </c>
      <c r="E150" s="16" t="s">
        <v>2183</v>
      </c>
      <c r="F150" s="14" t="s">
        <v>2181</v>
      </c>
      <c r="G150" s="17"/>
      <c r="H150" s="128" t="str">
        <f>Settings!$B$3&amp;".mit.obrbm.stl.scr.2"</f>
        <v>egy.mit.obrbm.stl.scr.2</v>
      </c>
      <c r="K150" s="18"/>
      <c r="L150" s="19">
        <f>Mitigation_Industry!$Z$664</f>
        <v>7.1999999999999995E-2</v>
      </c>
      <c r="M150" s="19">
        <f>Mitigation_Industry!$Z$664</f>
        <v>7.1999999999999995E-2</v>
      </c>
      <c r="N150" s="19">
        <f>Mitigation_Industry!$Z$664</f>
        <v>7.1999999999999995E-2</v>
      </c>
      <c r="O150" s="19">
        <f>Mitigation_Industry!$Z$664</f>
        <v>7.1999999999999995E-2</v>
      </c>
      <c r="P150" s="19">
        <f>Mitigation_Industry!$Z$664</f>
        <v>7.1999999999999995E-2</v>
      </c>
      <c r="Q150" s="19">
        <f>Mitigation_Industry!$Z$664</f>
        <v>7.1999999999999995E-2</v>
      </c>
      <c r="R150" s="19">
        <f>Mitigation_Industry!$Z$664</f>
        <v>7.1999999999999995E-2</v>
      </c>
      <c r="S150" s="19">
        <f>Mitigation_Industry!$Z$664</f>
        <v>7.1999999999999995E-2</v>
      </c>
      <c r="T150" s="19">
        <f>Mitigation_Industry!$Z$664</f>
        <v>7.1999999999999995E-2</v>
      </c>
      <c r="U150" s="19">
        <f>Mitigation_Industry!$Z$664</f>
        <v>7.1999999999999995E-2</v>
      </c>
      <c r="V150" s="19">
        <f>Mitigation_Industry!$Z$664</f>
        <v>7.1999999999999995E-2</v>
      </c>
      <c r="W150" s="19">
        <f>Mitigation_Industry!$Z$664</f>
        <v>7.1999999999999995E-2</v>
      </c>
      <c r="X150" s="19">
        <f>Mitigation_Industry!$Z$664</f>
        <v>7.1999999999999995E-2</v>
      </c>
      <c r="Y150" s="19">
        <f>Mitigation_Industry!$Z$664</f>
        <v>7.1999999999999995E-2</v>
      </c>
      <c r="Z150" s="19">
        <f>Mitigation_Industry!$Z$664</f>
        <v>7.1999999999999995E-2</v>
      </c>
      <c r="AA150" s="19">
        <f>Mitigation_Industry!$Z$664</f>
        <v>7.1999999999999995E-2</v>
      </c>
      <c r="AB150" s="19">
        <f>Mitigation_Industry!$Z$664</f>
        <v>7.1999999999999995E-2</v>
      </c>
      <c r="AC150" s="19">
        <f>Mitigation_Industry!$Z$664</f>
        <v>7.1999999999999995E-2</v>
      </c>
      <c r="AD150" s="19">
        <f>Mitigation_Industry!$Z$664</f>
        <v>7.1999999999999995E-2</v>
      </c>
      <c r="AE150" s="19">
        <f>Mitigation_Industry!$Z$664</f>
        <v>7.1999999999999995E-2</v>
      </c>
    </row>
    <row r="151" spans="1:35" customFormat="1" ht="14.25" x14ac:dyDescent="0.45">
      <c r="B151" s="14" t="s">
        <v>1441</v>
      </c>
      <c r="C151" s="14" t="s">
        <v>43</v>
      </c>
      <c r="D151" s="15" t="s">
        <v>2186</v>
      </c>
      <c r="E151" s="16" t="s">
        <v>2183</v>
      </c>
      <c r="F151" s="14" t="s">
        <v>2181</v>
      </c>
      <c r="G151" s="17"/>
      <c r="H151" s="128" t="str">
        <f>Settings!$B$3&amp;".mit.obrbm.stl.bof.2"</f>
        <v>egy.mit.obrbm.stl.bof.2</v>
      </c>
      <c r="K151" s="18"/>
      <c r="L151" s="19">
        <f>Mitigation_Industry!$Z$665</f>
        <v>1.37</v>
      </c>
      <c r="M151" s="19">
        <f>Mitigation_Industry!$Z$665</f>
        <v>1.37</v>
      </c>
      <c r="N151" s="19">
        <f>Mitigation_Industry!$Z$665</f>
        <v>1.37</v>
      </c>
      <c r="O151" s="19">
        <f>Mitigation_Industry!$Z$665</f>
        <v>1.37</v>
      </c>
      <c r="P151" s="19">
        <f>Mitigation_Industry!$Z$665</f>
        <v>1.37</v>
      </c>
      <c r="Q151" s="19">
        <f>Mitigation_Industry!$Z$665</f>
        <v>1.37</v>
      </c>
      <c r="R151" s="19">
        <f>Mitigation_Industry!$Z$665</f>
        <v>1.37</v>
      </c>
      <c r="S151" s="19">
        <f>Mitigation_Industry!$Z$665</f>
        <v>1.37</v>
      </c>
      <c r="T151" s="19">
        <f>Mitigation_Industry!$Z$665</f>
        <v>1.37</v>
      </c>
      <c r="U151" s="19">
        <f>Mitigation_Industry!$Z$665</f>
        <v>1.37</v>
      </c>
      <c r="V151" s="19">
        <f>Mitigation_Industry!$Z$665</f>
        <v>1.37</v>
      </c>
      <c r="W151" s="19">
        <f>Mitigation_Industry!$Z$665</f>
        <v>1.37</v>
      </c>
      <c r="X151" s="19">
        <f>Mitigation_Industry!$Z$665</f>
        <v>1.37</v>
      </c>
      <c r="Y151" s="19">
        <f>Mitigation_Industry!$Z$665</f>
        <v>1.37</v>
      </c>
      <c r="Z151" s="19">
        <f>Mitigation_Industry!$Z$665</f>
        <v>1.37</v>
      </c>
      <c r="AA151" s="19">
        <f>Mitigation_Industry!$Z$665</f>
        <v>1.37</v>
      </c>
      <c r="AB151" s="19">
        <f>Mitigation_Industry!$Z$665</f>
        <v>1.37</v>
      </c>
      <c r="AC151" s="19">
        <f>Mitigation_Industry!$Z$665</f>
        <v>1.37</v>
      </c>
      <c r="AD151" s="19">
        <f>Mitigation_Industry!$Z$665</f>
        <v>1.37</v>
      </c>
      <c r="AE151" s="19">
        <f>Mitigation_Industry!$Z$665</f>
        <v>1.37</v>
      </c>
    </row>
    <row r="152" spans="1:35" customFormat="1" ht="14.25" x14ac:dyDescent="0.45">
      <c r="B152" s="14" t="s">
        <v>1444</v>
      </c>
      <c r="C152" s="14" t="s">
        <v>113</v>
      </c>
      <c r="D152" s="15" t="s">
        <v>2187</v>
      </c>
      <c r="E152" s="16" t="s">
        <v>2183</v>
      </c>
      <c r="F152" s="14" t="s">
        <v>2181</v>
      </c>
      <c r="G152" s="17"/>
      <c r="H152" s="128" t="str">
        <f>Settings!$B$3&amp;".mit.obrbm.cmt.dry.2"</f>
        <v>egy.mit.obrbm.cmt.dry.2</v>
      </c>
      <c r="K152" s="18"/>
      <c r="L152" s="19">
        <f>Mitigation_Industry!$Z$666</f>
        <v>0.66600000000000004</v>
      </c>
      <c r="M152" s="19">
        <f>Mitigation_Industry!$Z$666</f>
        <v>0.66600000000000004</v>
      </c>
      <c r="N152" s="19">
        <f>Mitigation_Industry!$Z$666</f>
        <v>0.66600000000000004</v>
      </c>
      <c r="O152" s="19">
        <f>Mitigation_Industry!$Z$666</f>
        <v>0.66600000000000004</v>
      </c>
      <c r="P152" s="19">
        <f>Mitigation_Industry!$Z$666</f>
        <v>0.66600000000000004</v>
      </c>
      <c r="Q152" s="19">
        <f>Mitigation_Industry!$Z$666</f>
        <v>0.66600000000000004</v>
      </c>
      <c r="R152" s="19">
        <f>Mitigation_Industry!$Z$666</f>
        <v>0.66600000000000004</v>
      </c>
      <c r="S152" s="19">
        <f>Mitigation_Industry!$Z$666</f>
        <v>0.66600000000000004</v>
      </c>
      <c r="T152" s="19">
        <f>Mitigation_Industry!$Z$666</f>
        <v>0.66600000000000004</v>
      </c>
      <c r="U152" s="19">
        <f>Mitigation_Industry!$Z$666</f>
        <v>0.66600000000000004</v>
      </c>
      <c r="V152" s="19">
        <f>Mitigation_Industry!$Z$666</f>
        <v>0.66600000000000004</v>
      </c>
      <c r="W152" s="19">
        <f>Mitigation_Industry!$Z$666</f>
        <v>0.66600000000000004</v>
      </c>
      <c r="X152" s="19">
        <f>Mitigation_Industry!$Z$666</f>
        <v>0.66600000000000004</v>
      </c>
      <c r="Y152" s="19">
        <f>Mitigation_Industry!$Z$666</f>
        <v>0.66600000000000004</v>
      </c>
      <c r="Z152" s="19">
        <f>Mitigation_Industry!$Z$666</f>
        <v>0.66600000000000004</v>
      </c>
      <c r="AA152" s="19">
        <f>Mitigation_Industry!$Z$666</f>
        <v>0.66600000000000004</v>
      </c>
      <c r="AB152" s="19">
        <f>Mitigation_Industry!$Z$666</f>
        <v>0.66600000000000004</v>
      </c>
      <c r="AC152" s="19">
        <f>Mitigation_Industry!$Z$666</f>
        <v>0.66600000000000004</v>
      </c>
      <c r="AD152" s="19">
        <f>Mitigation_Industry!$Z$666</f>
        <v>0.66600000000000004</v>
      </c>
      <c r="AE152" s="19">
        <f>Mitigation_Industry!$Z$666</f>
        <v>0.66600000000000004</v>
      </c>
    </row>
    <row r="153" spans="1:35" customFormat="1" ht="14.25" x14ac:dyDescent="0.45">
      <c r="B153" s="14" t="s">
        <v>1447</v>
      </c>
      <c r="C153" s="14" t="s">
        <v>117</v>
      </c>
      <c r="D153" s="15" t="s">
        <v>2188</v>
      </c>
      <c r="E153" s="16" t="s">
        <v>2183</v>
      </c>
      <c r="F153" s="14" t="s">
        <v>2181</v>
      </c>
      <c r="G153" s="17"/>
      <c r="H153" s="128" t="str">
        <f>Settings!$B$3&amp;".mit.obrbm.frt.amc.2"</f>
        <v>egy.mit.obrbm.frt.amc.2</v>
      </c>
      <c r="K153" s="18"/>
      <c r="L153" s="19">
        <f>Mitigation_Industry!$Z$667</f>
        <v>1.484</v>
      </c>
      <c r="M153" s="19">
        <f>Mitigation_Industry!$Z$667</f>
        <v>1.484</v>
      </c>
      <c r="N153" s="19">
        <f>Mitigation_Industry!$Z$667</f>
        <v>1.484</v>
      </c>
      <c r="O153" s="19">
        <f>Mitigation_Industry!$Z$667</f>
        <v>1.484</v>
      </c>
      <c r="P153" s="19">
        <f>Mitigation_Industry!$Z$667</f>
        <v>1.484</v>
      </c>
      <c r="Q153" s="19">
        <f>Mitigation_Industry!$Z$667</f>
        <v>1.484</v>
      </c>
      <c r="R153" s="19">
        <f>Mitigation_Industry!$Z$667</f>
        <v>1.484</v>
      </c>
      <c r="S153" s="19">
        <f>Mitigation_Industry!$Z$667</f>
        <v>1.484</v>
      </c>
      <c r="T153" s="19">
        <f>Mitigation_Industry!$Z$667</f>
        <v>1.484</v>
      </c>
      <c r="U153" s="19">
        <f>Mitigation_Industry!$Z$667</f>
        <v>1.484</v>
      </c>
      <c r="V153" s="19">
        <f>Mitigation_Industry!$Z$667</f>
        <v>1.484</v>
      </c>
      <c r="W153" s="19">
        <f>Mitigation_Industry!$Z$667</f>
        <v>1.484</v>
      </c>
      <c r="X153" s="19">
        <f>Mitigation_Industry!$Z$667</f>
        <v>1.484</v>
      </c>
      <c r="Y153" s="19">
        <f>Mitigation_Industry!$Z$667</f>
        <v>1.484</v>
      </c>
      <c r="Z153" s="19">
        <f>Mitigation_Industry!$Z$667</f>
        <v>1.484</v>
      </c>
      <c r="AA153" s="19">
        <f>Mitigation_Industry!$Z$667</f>
        <v>1.484</v>
      </c>
      <c r="AB153" s="19">
        <f>Mitigation_Industry!$Z$667</f>
        <v>1.484</v>
      </c>
      <c r="AC153" s="19">
        <f>Mitigation_Industry!$Z$667</f>
        <v>1.484</v>
      </c>
      <c r="AD153" s="19">
        <f>Mitigation_Industry!$Z$667</f>
        <v>1.484</v>
      </c>
      <c r="AE153" s="19">
        <f>Mitigation_Industry!$Z$667</f>
        <v>1.484</v>
      </c>
    </row>
    <row r="154" spans="1:35" customFormat="1" ht="14.25" x14ac:dyDescent="0.45">
      <c r="B154" s="14" t="s">
        <v>1450</v>
      </c>
      <c r="C154" s="14" t="s">
        <v>117</v>
      </c>
      <c r="D154" s="15" t="s">
        <v>2189</v>
      </c>
      <c r="E154" s="16" t="s">
        <v>2183</v>
      </c>
      <c r="F154" s="14" t="s">
        <v>2181</v>
      </c>
      <c r="G154" s="17"/>
      <c r="H154" s="128" t="str">
        <f>Settings!$B$3&amp;".mit.obrbm.frt.ure.2"</f>
        <v>egy.mit.obrbm.frt.ure.2</v>
      </c>
      <c r="K154" s="18"/>
      <c r="L154" s="19">
        <f>Mitigation_Industry!$Z$668</f>
        <v>0.90200000000000002</v>
      </c>
      <c r="M154" s="19">
        <f>Mitigation_Industry!$Z$668</f>
        <v>0.90200000000000002</v>
      </c>
      <c r="N154" s="19">
        <f>Mitigation_Industry!$Z$668</f>
        <v>0.90200000000000002</v>
      </c>
      <c r="O154" s="19">
        <f>Mitigation_Industry!$Z$668</f>
        <v>0.90200000000000002</v>
      </c>
      <c r="P154" s="19">
        <f>Mitigation_Industry!$Z$668</f>
        <v>0.90200000000000002</v>
      </c>
      <c r="Q154" s="19">
        <f>Mitigation_Industry!$Z$668</f>
        <v>0.90200000000000002</v>
      </c>
      <c r="R154" s="19">
        <f>Mitigation_Industry!$Z$668</f>
        <v>0.90200000000000002</v>
      </c>
      <c r="S154" s="19">
        <f>Mitigation_Industry!$Z$668</f>
        <v>0.90200000000000002</v>
      </c>
      <c r="T154" s="19">
        <f>Mitigation_Industry!$Z$668</f>
        <v>0.90200000000000002</v>
      </c>
      <c r="U154" s="19">
        <f>Mitigation_Industry!$Z$668</f>
        <v>0.90200000000000002</v>
      </c>
      <c r="V154" s="19">
        <f>Mitigation_Industry!$Z$668</f>
        <v>0.90200000000000002</v>
      </c>
      <c r="W154" s="19">
        <f>Mitigation_Industry!$Z$668</f>
        <v>0.90200000000000002</v>
      </c>
      <c r="X154" s="19">
        <f>Mitigation_Industry!$Z$668</f>
        <v>0.90200000000000002</v>
      </c>
      <c r="Y154" s="19">
        <f>Mitigation_Industry!$Z$668</f>
        <v>0.90200000000000002</v>
      </c>
      <c r="Z154" s="19">
        <f>Mitigation_Industry!$Z$668</f>
        <v>0.90200000000000002</v>
      </c>
      <c r="AA154" s="19">
        <f>Mitigation_Industry!$Z$668</f>
        <v>0.90200000000000002</v>
      </c>
      <c r="AB154" s="19">
        <f>Mitigation_Industry!$Z$668</f>
        <v>0.90200000000000002</v>
      </c>
      <c r="AC154" s="19">
        <f>Mitigation_Industry!$Z$668</f>
        <v>0.90200000000000002</v>
      </c>
      <c r="AD154" s="19">
        <f>Mitigation_Industry!$Z$668</f>
        <v>0.90200000000000002</v>
      </c>
      <c r="AE154" s="19">
        <f>Mitigation_Industry!$Z$668</f>
        <v>0.90200000000000002</v>
      </c>
    </row>
    <row r="155" spans="1:35" customFormat="1" ht="14.25" x14ac:dyDescent="0.45">
      <c r="B155" s="14" t="s">
        <v>1453</v>
      </c>
      <c r="C155" s="14" t="s">
        <v>117</v>
      </c>
      <c r="D155" s="15" t="s">
        <v>2190</v>
      </c>
      <c r="E155" s="16" t="s">
        <v>2183</v>
      </c>
      <c r="F155" s="14" t="s">
        <v>2181</v>
      </c>
      <c r="G155" s="17"/>
      <c r="H155" s="128" t="str">
        <f>Settings!$B$3&amp;".mit.obrbm.frt.nit.2"</f>
        <v>egy.mit.obrbm.frt.nit.2</v>
      </c>
      <c r="K155" s="18"/>
      <c r="L155" s="19">
        <f>Mitigation_Industry!$Z$669</f>
        <v>0.30199999999999999</v>
      </c>
      <c r="M155" s="19">
        <f>Mitigation_Industry!$Z$669</f>
        <v>0.30199999999999999</v>
      </c>
      <c r="N155" s="19">
        <f>Mitigation_Industry!$Z$669</f>
        <v>0.30199999999999999</v>
      </c>
      <c r="O155" s="19">
        <f>Mitigation_Industry!$Z$669</f>
        <v>0.30199999999999999</v>
      </c>
      <c r="P155" s="19">
        <f>Mitigation_Industry!$Z$669</f>
        <v>0.30199999999999999</v>
      </c>
      <c r="Q155" s="19">
        <f>Mitigation_Industry!$Z$669</f>
        <v>0.30199999999999999</v>
      </c>
      <c r="R155" s="19">
        <f>Mitigation_Industry!$Z$669</f>
        <v>0.30199999999999999</v>
      </c>
      <c r="S155" s="19">
        <f>Mitigation_Industry!$Z$669</f>
        <v>0.30199999999999999</v>
      </c>
      <c r="T155" s="19">
        <f>Mitigation_Industry!$Z$669</f>
        <v>0.30199999999999999</v>
      </c>
      <c r="U155" s="19">
        <f>Mitigation_Industry!$Z$669</f>
        <v>0.30199999999999999</v>
      </c>
      <c r="V155" s="19">
        <f>Mitigation_Industry!$Z$669</f>
        <v>0.30199999999999999</v>
      </c>
      <c r="W155" s="19">
        <f>Mitigation_Industry!$Z$669</f>
        <v>0.30199999999999999</v>
      </c>
      <c r="X155" s="19">
        <f>Mitigation_Industry!$Z$669</f>
        <v>0.30199999999999999</v>
      </c>
      <c r="Y155" s="19">
        <f>Mitigation_Industry!$Z$669</f>
        <v>0.30199999999999999</v>
      </c>
      <c r="Z155" s="19">
        <f>Mitigation_Industry!$Z$669</f>
        <v>0.30199999999999999</v>
      </c>
      <c r="AA155" s="19">
        <f>Mitigation_Industry!$Z$669</f>
        <v>0.30199999999999999</v>
      </c>
      <c r="AB155" s="19">
        <f>Mitigation_Industry!$Z$669</f>
        <v>0.30199999999999999</v>
      </c>
      <c r="AC155" s="19">
        <f>Mitigation_Industry!$Z$669</f>
        <v>0.30199999999999999</v>
      </c>
      <c r="AD155" s="19">
        <f>Mitigation_Industry!$Z$669</f>
        <v>0.30199999999999999</v>
      </c>
      <c r="AE155" s="19">
        <f>Mitigation_Industry!$Z$669</f>
        <v>0.30199999999999999</v>
      </c>
    </row>
    <row r="156" spans="1:35" customFormat="1" ht="14.25" x14ac:dyDescent="0.45">
      <c r="B156" s="14" t="s">
        <v>1456</v>
      </c>
      <c r="C156" s="14" t="s">
        <v>115</v>
      </c>
      <c r="D156" s="15" t="s">
        <v>2191</v>
      </c>
      <c r="E156" s="16" t="s">
        <v>2183</v>
      </c>
      <c r="F156" s="14" t="s">
        <v>2181</v>
      </c>
      <c r="G156" s="17"/>
      <c r="H156" s="128" t="str">
        <f>Settings!$B$3&amp;".mit.obrbm.alu.prp.2"</f>
        <v>egy.mit.obrbm.alu.prp.2</v>
      </c>
      <c r="K156" s="18"/>
      <c r="L156" s="19">
        <f>Mitigation_Industry!$Z$670</f>
        <v>1.423</v>
      </c>
      <c r="M156" s="19">
        <f>Mitigation_Industry!$Z$670</f>
        <v>1.423</v>
      </c>
      <c r="N156" s="19">
        <f>Mitigation_Industry!$Z$670</f>
        <v>1.423</v>
      </c>
      <c r="O156" s="19">
        <f>Mitigation_Industry!$Z$670</f>
        <v>1.423</v>
      </c>
      <c r="P156" s="19">
        <f>Mitigation_Industry!$Z$670</f>
        <v>1.423</v>
      </c>
      <c r="Q156" s="19">
        <f>Mitigation_Industry!$Z$670</f>
        <v>1.423</v>
      </c>
      <c r="R156" s="19">
        <f>Mitigation_Industry!$Z$670</f>
        <v>1.423</v>
      </c>
      <c r="S156" s="19">
        <f>Mitigation_Industry!$Z$670</f>
        <v>1.423</v>
      </c>
      <c r="T156" s="19">
        <f>Mitigation_Industry!$Z$670</f>
        <v>1.423</v>
      </c>
      <c r="U156" s="19">
        <f>Mitigation_Industry!$Z$670</f>
        <v>1.423</v>
      </c>
      <c r="V156" s="19">
        <f>Mitigation_Industry!$Z$670</f>
        <v>1.423</v>
      </c>
      <c r="W156" s="19">
        <f>Mitigation_Industry!$Z$670</f>
        <v>1.423</v>
      </c>
      <c r="X156" s="19">
        <f>Mitigation_Industry!$Z$670</f>
        <v>1.423</v>
      </c>
      <c r="Y156" s="19">
        <f>Mitigation_Industry!$Z$670</f>
        <v>1.423</v>
      </c>
      <c r="Z156" s="19">
        <f>Mitigation_Industry!$Z$670</f>
        <v>1.423</v>
      </c>
      <c r="AA156" s="19">
        <f>Mitigation_Industry!$Z$670</f>
        <v>1.423</v>
      </c>
      <c r="AB156" s="19">
        <f>Mitigation_Industry!$Z$670</f>
        <v>1.423</v>
      </c>
      <c r="AC156" s="19">
        <f>Mitigation_Industry!$Z$670</f>
        <v>1.423</v>
      </c>
      <c r="AD156" s="19">
        <f>Mitigation_Industry!$Z$670</f>
        <v>1.423</v>
      </c>
      <c r="AE156" s="19">
        <f>Mitigation_Industry!$Z$670</f>
        <v>1.423</v>
      </c>
    </row>
    <row r="158" spans="1:35" customFormat="1" ht="14.25" x14ac:dyDescent="0.45">
      <c r="A158" s="11"/>
      <c r="B158" s="6"/>
      <c r="C158" s="7" t="s">
        <v>2192</v>
      </c>
      <c r="D158" s="6" t="s">
        <v>1488</v>
      </c>
      <c r="E158" s="7" t="s">
        <v>35</v>
      </c>
      <c r="F158" s="7" t="s">
        <v>45</v>
      </c>
      <c r="G158" s="7" t="s">
        <v>37</v>
      </c>
      <c r="H158" s="12" t="s">
        <v>38</v>
      </c>
      <c r="I158" s="6" t="s">
        <v>39</v>
      </c>
      <c r="J158" s="48">
        <v>2</v>
      </c>
      <c r="K158" s="6">
        <v>2021</v>
      </c>
      <c r="L158" s="46">
        <v>2022</v>
      </c>
      <c r="M158" s="6">
        <v>2023</v>
      </c>
      <c r="N158" s="6">
        <v>2024</v>
      </c>
      <c r="O158" s="6">
        <v>2025</v>
      </c>
      <c r="P158" s="6">
        <v>2026</v>
      </c>
      <c r="Q158" s="6">
        <v>2027</v>
      </c>
      <c r="R158" s="6">
        <v>2028</v>
      </c>
      <c r="S158" s="6">
        <v>2029</v>
      </c>
      <c r="T158" s="6">
        <v>2030</v>
      </c>
      <c r="U158" s="6">
        <v>2031</v>
      </c>
      <c r="V158" s="6">
        <v>2032</v>
      </c>
      <c r="W158" s="6">
        <v>2033</v>
      </c>
      <c r="X158" s="6">
        <v>2034</v>
      </c>
      <c r="Y158" s="6">
        <v>2035</v>
      </c>
      <c r="Z158" s="6">
        <v>2036</v>
      </c>
      <c r="AA158" s="6">
        <v>2037</v>
      </c>
      <c r="AB158" s="6">
        <v>2038</v>
      </c>
      <c r="AC158" s="6">
        <v>2039</v>
      </c>
      <c r="AD158" s="6">
        <v>2040</v>
      </c>
      <c r="AE158" s="6">
        <v>2041</v>
      </c>
      <c r="AF158" s="6">
        <v>2042</v>
      </c>
      <c r="AG158" s="6">
        <v>2043</v>
      </c>
      <c r="AH158" s="6">
        <v>2044</v>
      </c>
      <c r="AI158" s="6">
        <v>2045</v>
      </c>
    </row>
    <row r="159" spans="1:35" customFormat="1" ht="14.25" x14ac:dyDescent="0.45">
      <c r="B159" s="14" t="s">
        <v>1435</v>
      </c>
      <c r="C159" s="14" t="s">
        <v>43</v>
      </c>
      <c r="D159" s="15" t="s">
        <v>2193</v>
      </c>
      <c r="E159" s="16" t="s">
        <v>2194</v>
      </c>
      <c r="F159" s="14" t="s">
        <v>2192</v>
      </c>
      <c r="G159" s="17"/>
      <c r="H159" s="128" t="str">
        <f>Settings!$B$3&amp;".mit.ccpt.stl.drg.2"</f>
        <v>egy.mit.ccpt.stl.drg.2</v>
      </c>
      <c r="I159" t="s">
        <v>2195</v>
      </c>
      <c r="K159" s="18"/>
      <c r="L159" s="19">
        <f>Mitigation_Industry!L$698+Mitigation_Industry!L$709</f>
        <v>0</v>
      </c>
      <c r="M159" s="19">
        <f>Mitigation_Industry!M$698+Mitigation_Industry!M$709</f>
        <v>0</v>
      </c>
      <c r="N159" s="19">
        <f>Mitigation_Industry!N$698+Mitigation_Industry!N$709</f>
        <v>0</v>
      </c>
      <c r="O159" s="19">
        <f>Mitigation_Industry!O$698+Mitigation_Industry!O$709</f>
        <v>0</v>
      </c>
      <c r="P159" s="19">
        <f>Mitigation_Industry!P$698+Mitigation_Industry!P$709</f>
        <v>0</v>
      </c>
      <c r="Q159" s="19">
        <f>Mitigation_Industry!Q$698+Mitigation_Industry!Q$709</f>
        <v>7.1373846250000001</v>
      </c>
      <c r="R159" s="19">
        <f>Mitigation_Industry!R$698+Mitigation_Industry!R$709</f>
        <v>14.27476925</v>
      </c>
      <c r="S159" s="19">
        <f>Mitigation_Industry!S$698+Mitigation_Industry!S$709</f>
        <v>21.412153874999998</v>
      </c>
      <c r="T159" s="19">
        <f>Mitigation_Industry!T$698+Mitigation_Industry!T$709</f>
        <v>28.549538500000001</v>
      </c>
      <c r="U159" s="19">
        <f>Mitigation_Industry!U$698+Mitigation_Industry!U$709</f>
        <v>35.686923125</v>
      </c>
      <c r="V159" s="19">
        <f>Mitigation_Industry!V$698+Mitigation_Industry!V$709</f>
        <v>42.824307749999996</v>
      </c>
      <c r="W159" s="19">
        <f>Mitigation_Industry!W$698+Mitigation_Industry!W$709</f>
        <v>49.961692374999998</v>
      </c>
      <c r="X159" s="19">
        <f>Mitigation_Industry!X$698+Mitigation_Industry!X$709</f>
        <v>57.099077000000001</v>
      </c>
      <c r="Y159" s="19">
        <f>Mitigation_Industry!Y$698+Mitigation_Industry!Y$709</f>
        <v>64.236461625000004</v>
      </c>
      <c r="Z159" s="19">
        <f>Mitigation_Industry!Z$698+Mitigation_Industry!Z$709</f>
        <v>71.37384625</v>
      </c>
      <c r="AA159" s="19">
        <f>Mitigation_Industry!AA$698+Mitigation_Industry!AA$709</f>
        <v>78.511230874999995</v>
      </c>
      <c r="AB159" s="19">
        <f>Mitigation_Industry!AB$698+Mitigation_Industry!AB$709</f>
        <v>85.648615499999991</v>
      </c>
      <c r="AC159" s="19">
        <f>Mitigation_Industry!AC$698+Mitigation_Industry!AC$709</f>
        <v>92.786000125000001</v>
      </c>
      <c r="AD159" s="19">
        <f>Mitigation_Industry!AD$698+Mitigation_Industry!AD$709</f>
        <v>99.923384749999997</v>
      </c>
      <c r="AE159" s="19">
        <f>Mitigation_Industry!AE$698+Mitigation_Industry!AE$709</f>
        <v>107.06076937499999</v>
      </c>
    </row>
    <row r="160" spans="1:35" customFormat="1" ht="14.25" x14ac:dyDescent="0.45">
      <c r="B160" s="14" t="s">
        <v>1438</v>
      </c>
      <c r="C160" s="14" t="s">
        <v>43</v>
      </c>
      <c r="D160" s="15" t="s">
        <v>2196</v>
      </c>
      <c r="E160" s="16" t="s">
        <v>2194</v>
      </c>
      <c r="F160" s="14" t="s">
        <v>2192</v>
      </c>
      <c r="G160" s="17"/>
      <c r="H160" s="128" t="str">
        <f>Settings!$B$3&amp;".mit.ccpt.stl.scr.2"</f>
        <v>egy.mit.ccpt.stl.scr.2</v>
      </c>
      <c r="K160" s="18"/>
      <c r="L160" s="19">
        <f>Mitigation_Industry!L$699+Mitigation_Industry!L$710</f>
        <v>0</v>
      </c>
      <c r="M160" s="19">
        <f>Mitigation_Industry!M$699+Mitigation_Industry!M$710</f>
        <v>0</v>
      </c>
      <c r="N160" s="19">
        <f>Mitigation_Industry!N$699+Mitigation_Industry!N$710</f>
        <v>0</v>
      </c>
      <c r="O160" s="19">
        <f>Mitigation_Industry!O$699+Mitigation_Industry!O$710</f>
        <v>0</v>
      </c>
      <c r="P160" s="19">
        <f>Mitigation_Industry!P$699+Mitigation_Industry!P$710</f>
        <v>0</v>
      </c>
      <c r="Q160" s="19">
        <f>Mitigation_Industry!Q$699+Mitigation_Industry!Q$710</f>
        <v>0.56100000000000005</v>
      </c>
      <c r="R160" s="19">
        <f>Mitigation_Industry!R$699+Mitigation_Industry!R$710</f>
        <v>1.1220000000000001</v>
      </c>
      <c r="S160" s="19">
        <f>Mitigation_Industry!S$699+Mitigation_Industry!S$710</f>
        <v>1.6830000000000001</v>
      </c>
      <c r="T160" s="19">
        <f>Mitigation_Industry!T$699+Mitigation_Industry!T$710</f>
        <v>2.2440000000000002</v>
      </c>
      <c r="U160" s="19">
        <f>Mitigation_Industry!U$699+Mitigation_Industry!U$710</f>
        <v>2.8050000000000002</v>
      </c>
      <c r="V160" s="19">
        <f>Mitigation_Industry!V$699+Mitigation_Industry!V$710</f>
        <v>3.3660000000000001</v>
      </c>
      <c r="W160" s="19">
        <f>Mitigation_Industry!W$699+Mitigation_Industry!W$710</f>
        <v>3.9270000000000005</v>
      </c>
      <c r="X160" s="19">
        <f>Mitigation_Industry!X$699+Mitigation_Industry!X$710</f>
        <v>4.4880000000000004</v>
      </c>
      <c r="Y160" s="19">
        <f>Mitigation_Industry!Y$699+Mitigation_Industry!Y$710</f>
        <v>5.0490000000000004</v>
      </c>
      <c r="Z160" s="19">
        <f>Mitigation_Industry!Z$699+Mitigation_Industry!Z$710</f>
        <v>5.61</v>
      </c>
      <c r="AA160" s="19">
        <f>Mitigation_Industry!AA$699+Mitigation_Industry!AA$710</f>
        <v>6.1710000000000003</v>
      </c>
      <c r="AB160" s="19">
        <f>Mitigation_Industry!AB$699+Mitigation_Industry!AB$710</f>
        <v>6.7320000000000002</v>
      </c>
      <c r="AC160" s="19">
        <f>Mitigation_Industry!AC$699+Mitigation_Industry!AC$710</f>
        <v>7.2930000000000001</v>
      </c>
      <c r="AD160" s="19">
        <f>Mitigation_Industry!AD$699+Mitigation_Industry!AD$710</f>
        <v>7.854000000000001</v>
      </c>
      <c r="AE160" s="19">
        <f>Mitigation_Industry!AE$699+Mitigation_Industry!AE$710</f>
        <v>8.4150000000000009</v>
      </c>
    </row>
    <row r="161" spans="1:35" customFormat="1" ht="14.25" x14ac:dyDescent="0.45">
      <c r="B161" s="14" t="s">
        <v>1441</v>
      </c>
      <c r="C161" s="14" t="s">
        <v>43</v>
      </c>
      <c r="D161" s="15" t="s">
        <v>2197</v>
      </c>
      <c r="E161" s="16" t="s">
        <v>2194</v>
      </c>
      <c r="F161" s="14" t="s">
        <v>2192</v>
      </c>
      <c r="G161" s="17"/>
      <c r="H161" s="128" t="str">
        <f>Settings!$B$3&amp;".mit.ccpt.stl.bof.2"</f>
        <v>egy.mit.ccpt.stl.bof.2</v>
      </c>
      <c r="K161" s="18"/>
      <c r="L161" s="19">
        <f>Mitigation_Industry!L$700+Mitigation_Industry!L$711</f>
        <v>0</v>
      </c>
      <c r="M161" s="19">
        <f>Mitigation_Industry!M$700+Mitigation_Industry!M$711</f>
        <v>0</v>
      </c>
      <c r="N161" s="19">
        <f>Mitigation_Industry!N$700+Mitigation_Industry!N$711</f>
        <v>0</v>
      </c>
      <c r="O161" s="19">
        <f>Mitigation_Industry!O$700+Mitigation_Industry!O$711</f>
        <v>0</v>
      </c>
      <c r="P161" s="19">
        <f>Mitigation_Industry!P$700+Mitigation_Industry!P$711</f>
        <v>0</v>
      </c>
      <c r="Q161" s="19">
        <f>Mitigation_Industry!Q$700+Mitigation_Industry!Q$711</f>
        <v>17.812253374999997</v>
      </c>
      <c r="R161" s="19">
        <f>Mitigation_Industry!R$700+Mitigation_Industry!R$711</f>
        <v>35.624506749999995</v>
      </c>
      <c r="S161" s="19">
        <f>Mitigation_Industry!S$700+Mitigation_Industry!S$711</f>
        <v>53.436760124999992</v>
      </c>
      <c r="T161" s="19">
        <f>Mitigation_Industry!T$700+Mitigation_Industry!T$711</f>
        <v>71.24901349999999</v>
      </c>
      <c r="U161" s="19">
        <f>Mitigation_Industry!U$700+Mitigation_Industry!U$711</f>
        <v>89.061266874999987</v>
      </c>
      <c r="V161" s="19">
        <f>Mitigation_Industry!V$700+Mitigation_Industry!V$711</f>
        <v>106.87352024999998</v>
      </c>
      <c r="W161" s="19">
        <f>Mitigation_Industry!W$700+Mitigation_Industry!W$711</f>
        <v>124.68577362499998</v>
      </c>
      <c r="X161" s="19">
        <f>Mitigation_Industry!X$700+Mitigation_Industry!X$711</f>
        <v>142.49802699999998</v>
      </c>
      <c r="Y161" s="19">
        <f>Mitigation_Industry!Y$700+Mitigation_Industry!Y$711</f>
        <v>160.31028037499999</v>
      </c>
      <c r="Z161" s="19">
        <f>Mitigation_Industry!Z$700+Mitigation_Industry!Z$711</f>
        <v>178.12253374999997</v>
      </c>
      <c r="AA161" s="19">
        <f>Mitigation_Industry!AA$700+Mitigation_Industry!AA$711</f>
        <v>195.93478712499999</v>
      </c>
      <c r="AB161" s="19">
        <f>Mitigation_Industry!AB$700+Mitigation_Industry!AB$711</f>
        <v>213.74704049999997</v>
      </c>
      <c r="AC161" s="19">
        <f>Mitigation_Industry!AC$700+Mitigation_Industry!AC$711</f>
        <v>231.55929387499998</v>
      </c>
      <c r="AD161" s="19">
        <f>Mitigation_Industry!AD$700+Mitigation_Industry!AD$711</f>
        <v>249.37154724999996</v>
      </c>
      <c r="AE161" s="19">
        <f>Mitigation_Industry!AE$700+Mitigation_Industry!AE$711</f>
        <v>267.18380062499995</v>
      </c>
    </row>
    <row r="162" spans="1:35" customFormat="1" ht="14.25" x14ac:dyDescent="0.45">
      <c r="B162" s="14" t="s">
        <v>1444</v>
      </c>
      <c r="C162" s="14" t="s">
        <v>113</v>
      </c>
      <c r="D162" s="15" t="s">
        <v>2198</v>
      </c>
      <c r="E162" s="16" t="s">
        <v>2194</v>
      </c>
      <c r="F162" s="14" t="s">
        <v>2192</v>
      </c>
      <c r="G162" s="17"/>
      <c r="H162" s="128" t="str">
        <f>Settings!$B$3&amp;".mit.ccpt.cmt.dry.2"</f>
        <v>egy.mit.ccpt.cmt.dry.2</v>
      </c>
      <c r="K162" s="18"/>
      <c r="L162" s="19">
        <f>Mitigation_Industry!L$701+Mitigation_Industry!L$712</f>
        <v>0</v>
      </c>
      <c r="M162" s="19">
        <f>Mitigation_Industry!M$701+Mitigation_Industry!M$712</f>
        <v>0</v>
      </c>
      <c r="N162" s="19">
        <f>Mitigation_Industry!N$701+Mitigation_Industry!N$712</f>
        <v>0</v>
      </c>
      <c r="O162" s="19">
        <f>Mitigation_Industry!O$701+Mitigation_Industry!O$712</f>
        <v>0</v>
      </c>
      <c r="P162" s="19">
        <f>Mitigation_Industry!P$701+Mitigation_Industry!P$712</f>
        <v>0</v>
      </c>
      <c r="Q162" s="19">
        <f>Mitigation_Industry!Q$701+Mitigation_Industry!Q$712</f>
        <v>3.9196062499999997</v>
      </c>
      <c r="R162" s="19">
        <f>Mitigation_Industry!R$701+Mitigation_Industry!R$712</f>
        <v>7.8392124999999995</v>
      </c>
      <c r="S162" s="19">
        <f>Mitigation_Industry!S$701+Mitigation_Industry!S$712</f>
        <v>11.75881875</v>
      </c>
      <c r="T162" s="19">
        <f>Mitigation_Industry!T$701+Mitigation_Industry!T$712</f>
        <v>15.678424999999999</v>
      </c>
      <c r="U162" s="19">
        <f>Mitigation_Industry!U$701+Mitigation_Industry!U$712</f>
        <v>19.598031249999998</v>
      </c>
      <c r="V162" s="19">
        <f>Mitigation_Industry!V$701+Mitigation_Industry!V$712</f>
        <v>23.517637499999999</v>
      </c>
      <c r="W162" s="19">
        <f>Mitigation_Industry!W$701+Mitigation_Industry!W$712</f>
        <v>27.437243749999997</v>
      </c>
      <c r="X162" s="19">
        <f>Mitigation_Industry!X$701+Mitigation_Industry!X$712</f>
        <v>31.356849999999998</v>
      </c>
      <c r="Y162" s="19">
        <f>Mitigation_Industry!Y$701+Mitigation_Industry!Y$712</f>
        <v>35.276456249999995</v>
      </c>
      <c r="Z162" s="19">
        <f>Mitigation_Industry!Z$701+Mitigation_Industry!Z$712</f>
        <v>39.196062499999996</v>
      </c>
      <c r="AA162" s="19">
        <f>Mitigation_Industry!AA$701+Mitigation_Industry!AA$712</f>
        <v>43.115668749999998</v>
      </c>
      <c r="AB162" s="19">
        <f>Mitigation_Industry!AB$701+Mitigation_Industry!AB$712</f>
        <v>47.035274999999999</v>
      </c>
      <c r="AC162" s="19">
        <f>Mitigation_Industry!AC$701+Mitigation_Industry!AC$712</f>
        <v>50.954881249999993</v>
      </c>
      <c r="AD162" s="19">
        <f>Mitigation_Industry!AD$701+Mitigation_Industry!AD$712</f>
        <v>54.874487499999994</v>
      </c>
      <c r="AE162" s="19">
        <f>Mitigation_Industry!AE$701+Mitigation_Industry!AE$712</f>
        <v>58.794093749999995</v>
      </c>
    </row>
    <row r="163" spans="1:35" customFormat="1" ht="14.25" x14ac:dyDescent="0.45">
      <c r="B163" s="14" t="s">
        <v>1447</v>
      </c>
      <c r="C163" s="14" t="s">
        <v>117</v>
      </c>
      <c r="D163" s="15" t="s">
        <v>2199</v>
      </c>
      <c r="E163" s="16" t="s">
        <v>2194</v>
      </c>
      <c r="F163" s="14" t="s">
        <v>2192</v>
      </c>
      <c r="G163" s="17"/>
      <c r="H163" s="128" t="str">
        <f>Settings!$B$3&amp;".mit.ccpt.frt.amc.2"</f>
        <v>egy.mit.ccpt.frt.amc.2</v>
      </c>
      <c r="K163" s="18"/>
      <c r="L163" s="19">
        <f>Mitigation_Industry!L$702+Mitigation_Industry!L$713</f>
        <v>0</v>
      </c>
      <c r="M163" s="19">
        <f>Mitigation_Industry!M$702+Mitigation_Industry!M$713</f>
        <v>0</v>
      </c>
      <c r="N163" s="19">
        <f>Mitigation_Industry!N$702+Mitigation_Industry!N$713</f>
        <v>0</v>
      </c>
      <c r="O163" s="19">
        <f>Mitigation_Industry!O$702+Mitigation_Industry!O$713</f>
        <v>0</v>
      </c>
      <c r="P163" s="19">
        <f>Mitigation_Industry!P$702+Mitigation_Industry!P$713</f>
        <v>0</v>
      </c>
      <c r="Q163" s="19">
        <f>Mitigation_Industry!Q$702+Mitigation_Industry!Q$713</f>
        <v>24.684000000000001</v>
      </c>
      <c r="R163" s="19">
        <f>Mitigation_Industry!R$702+Mitigation_Industry!R$713</f>
        <v>49.368000000000002</v>
      </c>
      <c r="S163" s="19">
        <f>Mitigation_Industry!S$702+Mitigation_Industry!S$713</f>
        <v>74.052000000000007</v>
      </c>
      <c r="T163" s="19">
        <f>Mitigation_Industry!T$702+Mitigation_Industry!T$713</f>
        <v>98.736000000000004</v>
      </c>
      <c r="U163" s="19">
        <f>Mitigation_Industry!U$702+Mitigation_Industry!U$713</f>
        <v>123.42</v>
      </c>
      <c r="V163" s="19">
        <f>Mitigation_Industry!V$702+Mitigation_Industry!V$713</f>
        <v>148.10400000000001</v>
      </c>
      <c r="W163" s="19">
        <f>Mitigation_Industry!W$702+Mitigation_Industry!W$713</f>
        <v>172.78800000000001</v>
      </c>
      <c r="X163" s="19">
        <f>Mitigation_Industry!X$702+Mitigation_Industry!X$713</f>
        <v>197.47200000000001</v>
      </c>
      <c r="Y163" s="19">
        <f>Mitigation_Industry!Y$702+Mitigation_Industry!Y$713</f>
        <v>222.15600000000001</v>
      </c>
      <c r="Z163" s="19">
        <f>Mitigation_Industry!Z$702+Mitigation_Industry!Z$713</f>
        <v>246.84</v>
      </c>
      <c r="AA163" s="19">
        <f>Mitigation_Industry!AA$702+Mitigation_Industry!AA$713</f>
        <v>271.524</v>
      </c>
      <c r="AB163" s="19">
        <f>Mitigation_Industry!AB$702+Mitigation_Industry!AB$713</f>
        <v>296.20800000000003</v>
      </c>
      <c r="AC163" s="19">
        <f>Mitigation_Industry!AC$702+Mitigation_Industry!AC$713</f>
        <v>320.892</v>
      </c>
      <c r="AD163" s="19">
        <f>Mitigation_Industry!AD$702+Mitigation_Industry!AD$713</f>
        <v>345.57600000000002</v>
      </c>
      <c r="AE163" s="19">
        <f>Mitigation_Industry!AE$702+Mitigation_Industry!AE$713</f>
        <v>370.26</v>
      </c>
    </row>
    <row r="164" spans="1:35" customFormat="1" ht="14.25" x14ac:dyDescent="0.45">
      <c r="B164" s="14" t="s">
        <v>1450</v>
      </c>
      <c r="C164" s="14" t="s">
        <v>117</v>
      </c>
      <c r="D164" s="15" t="s">
        <v>2200</v>
      </c>
      <c r="E164" s="16" t="s">
        <v>2194</v>
      </c>
      <c r="F164" s="14" t="s">
        <v>2192</v>
      </c>
      <c r="G164" s="17"/>
      <c r="H164" s="128" t="str">
        <f>Settings!$B$3&amp;".mit.ccpt.frt.ure.2"</f>
        <v>egy.mit.ccpt.frt.ure.2</v>
      </c>
      <c r="K164" s="18"/>
      <c r="L164" s="19">
        <f>Mitigation_Industry!L$703+Mitigation_Industry!L$714</f>
        <v>0</v>
      </c>
      <c r="M164" s="19">
        <f>Mitigation_Industry!M$703+Mitigation_Industry!M$714</f>
        <v>0</v>
      </c>
      <c r="N164" s="19">
        <f>Mitigation_Industry!N$703+Mitigation_Industry!N$714</f>
        <v>0</v>
      </c>
      <c r="O164" s="19">
        <f>Mitigation_Industry!O$703+Mitigation_Industry!O$714</f>
        <v>0</v>
      </c>
      <c r="P164" s="19">
        <f>Mitigation_Industry!P$703+Mitigation_Industry!P$714</f>
        <v>0</v>
      </c>
      <c r="Q164" s="19">
        <f>Mitigation_Industry!Q$703+Mitigation_Industry!Q$714</f>
        <v>1.4024999999999999</v>
      </c>
      <c r="R164" s="19">
        <f>Mitigation_Industry!R$703+Mitigation_Industry!R$714</f>
        <v>2.8049999999999997</v>
      </c>
      <c r="S164" s="19">
        <f>Mitigation_Industry!S$703+Mitigation_Industry!S$714</f>
        <v>4.2074999999999996</v>
      </c>
      <c r="T164" s="19">
        <f>Mitigation_Industry!T$703+Mitigation_Industry!T$714</f>
        <v>5.6099999999999994</v>
      </c>
      <c r="U164" s="19">
        <f>Mitigation_Industry!U$703+Mitigation_Industry!U$714</f>
        <v>7.0124999999999993</v>
      </c>
      <c r="V164" s="19">
        <f>Mitigation_Industry!V$703+Mitigation_Industry!V$714</f>
        <v>8.4149999999999991</v>
      </c>
      <c r="W164" s="19">
        <f>Mitigation_Industry!W$703+Mitigation_Industry!W$714</f>
        <v>9.817499999999999</v>
      </c>
      <c r="X164" s="19">
        <f>Mitigation_Industry!X$703+Mitigation_Industry!X$714</f>
        <v>11.219999999999999</v>
      </c>
      <c r="Y164" s="19">
        <f>Mitigation_Industry!Y$703+Mitigation_Industry!Y$714</f>
        <v>12.622499999999999</v>
      </c>
      <c r="Z164" s="19">
        <f>Mitigation_Industry!Z$703+Mitigation_Industry!Z$714</f>
        <v>14.024999999999999</v>
      </c>
      <c r="AA164" s="19">
        <f>Mitigation_Industry!AA$703+Mitigation_Industry!AA$714</f>
        <v>15.427499999999998</v>
      </c>
      <c r="AB164" s="19">
        <f>Mitigation_Industry!AB$703+Mitigation_Industry!AB$714</f>
        <v>16.829999999999998</v>
      </c>
      <c r="AC164" s="19">
        <f>Mitigation_Industry!AC$703+Mitigation_Industry!AC$714</f>
        <v>18.232499999999998</v>
      </c>
      <c r="AD164" s="19">
        <f>Mitigation_Industry!AD$703+Mitigation_Industry!AD$714</f>
        <v>19.634999999999998</v>
      </c>
      <c r="AE164" s="19">
        <f>Mitigation_Industry!AE$703+Mitigation_Industry!AE$714</f>
        <v>21.037499999999998</v>
      </c>
    </row>
    <row r="165" spans="1:35" customFormat="1" ht="14.25" x14ac:dyDescent="0.45">
      <c r="B165" s="14" t="s">
        <v>1453</v>
      </c>
      <c r="C165" s="14" t="s">
        <v>117</v>
      </c>
      <c r="D165" s="15" t="s">
        <v>2201</v>
      </c>
      <c r="E165" s="16" t="s">
        <v>2194</v>
      </c>
      <c r="F165" s="14" t="s">
        <v>2192</v>
      </c>
      <c r="G165" s="17"/>
      <c r="H165" s="128" t="str">
        <f>Settings!$B$3&amp;".mit.ccpt.frt.nit.2"</f>
        <v>egy.mit.ccpt.frt.nit.2</v>
      </c>
      <c r="K165" s="18"/>
      <c r="L165" s="19">
        <f>Mitigation_Industry!L$704+Mitigation_Industry!L$715</f>
        <v>0</v>
      </c>
      <c r="M165" s="19">
        <f>Mitigation_Industry!M$704+Mitigation_Industry!M$715</f>
        <v>0</v>
      </c>
      <c r="N165" s="19">
        <f>Mitigation_Industry!N$704+Mitigation_Industry!N$715</f>
        <v>0</v>
      </c>
      <c r="O165" s="19">
        <f>Mitigation_Industry!O$704+Mitigation_Industry!O$715</f>
        <v>0</v>
      </c>
      <c r="P165" s="19">
        <f>Mitigation_Industry!P$704+Mitigation_Industry!P$715</f>
        <v>0</v>
      </c>
      <c r="Q165" s="19">
        <f>Mitigation_Industry!Q$704+Mitigation_Industry!Q$715</f>
        <v>1.4024999999999999</v>
      </c>
      <c r="R165" s="19">
        <f>Mitigation_Industry!R$704+Mitigation_Industry!R$715</f>
        <v>2.8049999999999997</v>
      </c>
      <c r="S165" s="19">
        <f>Mitigation_Industry!S$704+Mitigation_Industry!S$715</f>
        <v>4.2074999999999996</v>
      </c>
      <c r="T165" s="19">
        <f>Mitigation_Industry!T$704+Mitigation_Industry!T$715</f>
        <v>5.6099999999999994</v>
      </c>
      <c r="U165" s="19">
        <f>Mitigation_Industry!U$704+Mitigation_Industry!U$715</f>
        <v>7.0124999999999993</v>
      </c>
      <c r="V165" s="19">
        <f>Mitigation_Industry!V$704+Mitigation_Industry!V$715</f>
        <v>8.4149999999999991</v>
      </c>
      <c r="W165" s="19">
        <f>Mitigation_Industry!W$704+Mitigation_Industry!W$715</f>
        <v>9.817499999999999</v>
      </c>
      <c r="X165" s="19">
        <f>Mitigation_Industry!X$704+Mitigation_Industry!X$715</f>
        <v>11.219999999999999</v>
      </c>
      <c r="Y165" s="19">
        <f>Mitigation_Industry!Y$704+Mitigation_Industry!Y$715</f>
        <v>12.622499999999999</v>
      </c>
      <c r="Z165" s="19">
        <f>Mitigation_Industry!Z$704+Mitigation_Industry!Z$715</f>
        <v>14.024999999999999</v>
      </c>
      <c r="AA165" s="19">
        <f>Mitigation_Industry!AA$704+Mitigation_Industry!AA$715</f>
        <v>15.427499999999998</v>
      </c>
      <c r="AB165" s="19">
        <f>Mitigation_Industry!AB$704+Mitigation_Industry!AB$715</f>
        <v>16.829999999999998</v>
      </c>
      <c r="AC165" s="19">
        <f>Mitigation_Industry!AC$704+Mitigation_Industry!AC$715</f>
        <v>18.232499999999998</v>
      </c>
      <c r="AD165" s="19">
        <f>Mitigation_Industry!AD$704+Mitigation_Industry!AD$715</f>
        <v>19.634999999999998</v>
      </c>
      <c r="AE165" s="19">
        <f>Mitigation_Industry!AE$704+Mitigation_Industry!AE$715</f>
        <v>21.037499999999998</v>
      </c>
    </row>
    <row r="166" spans="1:35" customFormat="1" ht="14.25" x14ac:dyDescent="0.45">
      <c r="B166" s="14" t="s">
        <v>1456</v>
      </c>
      <c r="C166" s="14" t="s">
        <v>115</v>
      </c>
      <c r="D166" s="15" t="s">
        <v>2202</v>
      </c>
      <c r="E166" s="16" t="s">
        <v>2194</v>
      </c>
      <c r="F166" s="14" t="s">
        <v>2192</v>
      </c>
      <c r="G166" s="17"/>
      <c r="H166" s="128" t="str">
        <f>Settings!$B$3&amp;".mit.ccpt.alu.prp.2"</f>
        <v>egy.mit.ccpt.alu.prp.2</v>
      </c>
      <c r="K166" s="18"/>
      <c r="L166" s="19">
        <f>Mitigation_Industry!L$705+Mitigation_Industry!L$716</f>
        <v>0</v>
      </c>
      <c r="M166" s="19">
        <f>Mitigation_Industry!M$705+Mitigation_Industry!M$716</f>
        <v>0</v>
      </c>
      <c r="N166" s="19">
        <f>Mitigation_Industry!N$705+Mitigation_Industry!N$716</f>
        <v>0</v>
      </c>
      <c r="O166" s="19">
        <f>Mitigation_Industry!O$705+Mitigation_Industry!O$716</f>
        <v>0</v>
      </c>
      <c r="P166" s="19">
        <f>Mitigation_Industry!P$705+Mitigation_Industry!P$716</f>
        <v>0</v>
      </c>
      <c r="Q166" s="19">
        <f>Mitigation_Industry!Q$705+Mitigation_Industry!Q$716</f>
        <v>1.5427500000000001</v>
      </c>
      <c r="R166" s="19">
        <f>Mitigation_Industry!R$705+Mitigation_Industry!R$716</f>
        <v>3.0855000000000001</v>
      </c>
      <c r="S166" s="19">
        <f>Mitigation_Industry!S$705+Mitigation_Industry!S$716</f>
        <v>4.6282500000000004</v>
      </c>
      <c r="T166" s="19">
        <f>Mitigation_Industry!T$705+Mitigation_Industry!T$716</f>
        <v>6.1710000000000003</v>
      </c>
      <c r="U166" s="19">
        <f>Mitigation_Industry!U$705+Mitigation_Industry!U$716</f>
        <v>7.7137500000000001</v>
      </c>
      <c r="V166" s="19">
        <f>Mitigation_Industry!V$705+Mitigation_Industry!V$716</f>
        <v>9.2565000000000008</v>
      </c>
      <c r="W166" s="19">
        <f>Mitigation_Industry!W$705+Mitigation_Industry!W$716</f>
        <v>10.799250000000001</v>
      </c>
      <c r="X166" s="19">
        <f>Mitigation_Industry!X$705+Mitigation_Industry!X$716</f>
        <v>12.342000000000001</v>
      </c>
      <c r="Y166" s="19">
        <f>Mitigation_Industry!Y$705+Mitigation_Industry!Y$716</f>
        <v>13.88475</v>
      </c>
      <c r="Z166" s="19">
        <f>Mitigation_Industry!Z$705+Mitigation_Industry!Z$716</f>
        <v>15.4275</v>
      </c>
      <c r="AA166" s="19">
        <f>Mitigation_Industry!AA$705+Mitigation_Industry!AA$716</f>
        <v>16.97025</v>
      </c>
      <c r="AB166" s="19">
        <f>Mitigation_Industry!AB$705+Mitigation_Industry!AB$716</f>
        <v>18.513000000000002</v>
      </c>
      <c r="AC166" s="19">
        <f>Mitigation_Industry!AC$705+Mitigation_Industry!AC$716</f>
        <v>20.05575</v>
      </c>
      <c r="AD166" s="19">
        <f>Mitigation_Industry!AD$705+Mitigation_Industry!AD$716</f>
        <v>21.598500000000001</v>
      </c>
      <c r="AE166" s="19">
        <f>Mitigation_Industry!AE$705+Mitigation_Industry!AE$716</f>
        <v>23.141249999999999</v>
      </c>
    </row>
    <row r="168" spans="1:35" customFormat="1" ht="14.25" x14ac:dyDescent="0.45">
      <c r="A168" s="11"/>
      <c r="B168" s="6"/>
      <c r="C168" s="7" t="s">
        <v>2203</v>
      </c>
      <c r="D168" s="6" t="s">
        <v>1488</v>
      </c>
      <c r="E168" s="7" t="s">
        <v>35</v>
      </c>
      <c r="F168" s="7" t="s">
        <v>45</v>
      </c>
      <c r="G168" s="7" t="s">
        <v>37</v>
      </c>
      <c r="H168" s="12" t="s">
        <v>38</v>
      </c>
      <c r="I168" s="6" t="s">
        <v>39</v>
      </c>
      <c r="J168" s="48">
        <v>2</v>
      </c>
      <c r="K168" s="6">
        <v>2021</v>
      </c>
      <c r="L168" s="46">
        <v>2022</v>
      </c>
      <c r="M168" s="6">
        <v>2023</v>
      </c>
      <c r="N168" s="6">
        <v>2024</v>
      </c>
      <c r="O168" s="6">
        <v>2025</v>
      </c>
      <c r="P168" s="6">
        <v>2026</v>
      </c>
      <c r="Q168" s="6">
        <v>2027</v>
      </c>
      <c r="R168" s="6">
        <v>2028</v>
      </c>
      <c r="S168" s="6">
        <v>2029</v>
      </c>
      <c r="T168" s="6">
        <v>2030</v>
      </c>
      <c r="U168" s="6">
        <v>2031</v>
      </c>
      <c r="V168" s="6">
        <v>2032</v>
      </c>
      <c r="W168" s="6">
        <v>2033</v>
      </c>
      <c r="X168" s="6">
        <v>2034</v>
      </c>
      <c r="Y168" s="6">
        <v>2035</v>
      </c>
      <c r="Z168" s="6">
        <v>2036</v>
      </c>
      <c r="AA168" s="6">
        <v>2037</v>
      </c>
      <c r="AB168" s="6">
        <v>2038</v>
      </c>
      <c r="AC168" s="6">
        <v>2039</v>
      </c>
      <c r="AD168" s="6">
        <v>2040</v>
      </c>
      <c r="AE168" s="6">
        <v>2041</v>
      </c>
      <c r="AF168" s="6">
        <v>2042</v>
      </c>
      <c r="AG168" s="6">
        <v>2043</v>
      </c>
      <c r="AH168" s="6">
        <v>2044</v>
      </c>
      <c r="AI168" s="6">
        <v>2045</v>
      </c>
    </row>
    <row r="169" spans="1:35" customFormat="1" ht="14.25" x14ac:dyDescent="0.45">
      <c r="B169" s="14" t="s">
        <v>1435</v>
      </c>
      <c r="C169" s="14" t="s">
        <v>43</v>
      </c>
      <c r="D169" s="15" t="s">
        <v>2204</v>
      </c>
      <c r="E169" s="16" t="s">
        <v>2194</v>
      </c>
      <c r="F169" s="14" t="s">
        <v>2203</v>
      </c>
      <c r="G169" s="17"/>
      <c r="H169" s="128" t="str">
        <f>Settings!$B$3&amp;".mit.obrpu.stl.drg.2"</f>
        <v>egy.mit.obrpu.stl.drg.2</v>
      </c>
      <c r="I169" t="s">
        <v>2205</v>
      </c>
      <c r="K169" s="18"/>
      <c r="L169" s="19">
        <f t="shared" ref="L169:AE169" si="35">L$146*L$149</f>
        <v>0</v>
      </c>
      <c r="M169" s="19">
        <f t="shared" si="35"/>
        <v>0</v>
      </c>
      <c r="N169" s="19">
        <f t="shared" si="35"/>
        <v>0</v>
      </c>
      <c r="O169" s="19">
        <f t="shared" si="35"/>
        <v>0</v>
      </c>
      <c r="P169" s="19">
        <f t="shared" si="35"/>
        <v>0</v>
      </c>
      <c r="Q169" s="19">
        <f t="shared" si="35"/>
        <v>0</v>
      </c>
      <c r="R169" s="19">
        <f t="shared" si="35"/>
        <v>0</v>
      </c>
      <c r="S169" s="19">
        <f t="shared" si="35"/>
        <v>0</v>
      </c>
      <c r="T169" s="19">
        <f t="shared" si="35"/>
        <v>0</v>
      </c>
      <c r="U169" s="19">
        <f t="shared" si="35"/>
        <v>0</v>
      </c>
      <c r="V169" s="19">
        <f t="shared" si="35"/>
        <v>0</v>
      </c>
      <c r="W169" s="19">
        <f t="shared" si="35"/>
        <v>0</v>
      </c>
      <c r="X169" s="19">
        <f t="shared" si="35"/>
        <v>0</v>
      </c>
      <c r="Y169" s="19">
        <f t="shared" si="35"/>
        <v>0</v>
      </c>
      <c r="Z169" s="19">
        <f t="shared" si="35"/>
        <v>0</v>
      </c>
      <c r="AA169" s="19">
        <f t="shared" si="35"/>
        <v>0</v>
      </c>
      <c r="AB169" s="19">
        <f t="shared" si="35"/>
        <v>0</v>
      </c>
      <c r="AC169" s="19">
        <f t="shared" si="35"/>
        <v>0</v>
      </c>
      <c r="AD169" s="19">
        <f t="shared" si="35"/>
        <v>0</v>
      </c>
      <c r="AE169" s="19">
        <f t="shared" si="35"/>
        <v>0</v>
      </c>
    </row>
    <row r="170" spans="1:35" customFormat="1" ht="14.25" x14ac:dyDescent="0.45">
      <c r="B170" s="14" t="s">
        <v>1438</v>
      </c>
      <c r="C170" s="14" t="s">
        <v>43</v>
      </c>
      <c r="D170" s="15" t="s">
        <v>2206</v>
      </c>
      <c r="E170" s="16" t="s">
        <v>2194</v>
      </c>
      <c r="F170" s="14" t="s">
        <v>2203</v>
      </c>
      <c r="G170" s="17"/>
      <c r="H170" s="128" t="str">
        <f>Settings!$B$3&amp;".mit.obrpu.stl.scr.2"</f>
        <v>egy.mit.obrpu.stl.scr.2</v>
      </c>
      <c r="K170" s="18"/>
      <c r="L170" s="19">
        <f t="shared" ref="L170:AE170" si="36">L$146*L$150</f>
        <v>0</v>
      </c>
      <c r="M170" s="19">
        <f t="shared" si="36"/>
        <v>0</v>
      </c>
      <c r="N170" s="19">
        <f t="shared" si="36"/>
        <v>0</v>
      </c>
      <c r="O170" s="19">
        <f t="shared" si="36"/>
        <v>0</v>
      </c>
      <c r="P170" s="19">
        <f t="shared" si="36"/>
        <v>0</v>
      </c>
      <c r="Q170" s="19">
        <f t="shared" si="36"/>
        <v>0</v>
      </c>
      <c r="R170" s="19">
        <f t="shared" si="36"/>
        <v>0</v>
      </c>
      <c r="S170" s="19">
        <f t="shared" si="36"/>
        <v>0</v>
      </c>
      <c r="T170" s="19">
        <f t="shared" si="36"/>
        <v>0</v>
      </c>
      <c r="U170" s="19">
        <f t="shared" si="36"/>
        <v>0</v>
      </c>
      <c r="V170" s="19">
        <f t="shared" si="36"/>
        <v>0</v>
      </c>
      <c r="W170" s="19">
        <f t="shared" si="36"/>
        <v>0</v>
      </c>
      <c r="X170" s="19">
        <f t="shared" si="36"/>
        <v>0</v>
      </c>
      <c r="Y170" s="19">
        <f t="shared" si="36"/>
        <v>0</v>
      </c>
      <c r="Z170" s="19">
        <f t="shared" si="36"/>
        <v>0</v>
      </c>
      <c r="AA170" s="19">
        <f t="shared" si="36"/>
        <v>0</v>
      </c>
      <c r="AB170" s="19">
        <f t="shared" si="36"/>
        <v>0</v>
      </c>
      <c r="AC170" s="19">
        <f t="shared" si="36"/>
        <v>0</v>
      </c>
      <c r="AD170" s="19">
        <f t="shared" si="36"/>
        <v>0</v>
      </c>
      <c r="AE170" s="19">
        <f t="shared" si="36"/>
        <v>0</v>
      </c>
    </row>
    <row r="171" spans="1:35" customFormat="1" ht="14.25" x14ac:dyDescent="0.45">
      <c r="B171" s="14" t="s">
        <v>1441</v>
      </c>
      <c r="C171" s="14" t="s">
        <v>43</v>
      </c>
      <c r="D171" s="15" t="s">
        <v>2207</v>
      </c>
      <c r="E171" s="16" t="s">
        <v>2194</v>
      </c>
      <c r="F171" s="14" t="s">
        <v>2203</v>
      </c>
      <c r="G171" s="17"/>
      <c r="H171" s="128" t="str">
        <f>Settings!$B$3&amp;".mit.obrpu.stl.bof.2"</f>
        <v>egy.mit.obrpu.stl.bof.2</v>
      </c>
      <c r="K171" s="18"/>
      <c r="L171" s="19">
        <f t="shared" ref="L171:AE171" si="37">L$146*L$151</f>
        <v>0</v>
      </c>
      <c r="M171" s="19">
        <f t="shared" si="37"/>
        <v>0</v>
      </c>
      <c r="N171" s="19">
        <f t="shared" si="37"/>
        <v>0</v>
      </c>
      <c r="O171" s="19">
        <f t="shared" si="37"/>
        <v>0</v>
      </c>
      <c r="P171" s="19">
        <f t="shared" si="37"/>
        <v>0</v>
      </c>
      <c r="Q171" s="19">
        <f t="shared" si="37"/>
        <v>0</v>
      </c>
      <c r="R171" s="19">
        <f t="shared" si="37"/>
        <v>0</v>
      </c>
      <c r="S171" s="19">
        <f t="shared" si="37"/>
        <v>0</v>
      </c>
      <c r="T171" s="19">
        <f t="shared" si="37"/>
        <v>0</v>
      </c>
      <c r="U171" s="19">
        <f t="shared" si="37"/>
        <v>0</v>
      </c>
      <c r="V171" s="19">
        <f t="shared" si="37"/>
        <v>0</v>
      </c>
      <c r="W171" s="19">
        <f t="shared" si="37"/>
        <v>0</v>
      </c>
      <c r="X171" s="19">
        <f t="shared" si="37"/>
        <v>0</v>
      </c>
      <c r="Y171" s="19">
        <f t="shared" si="37"/>
        <v>0</v>
      </c>
      <c r="Z171" s="19">
        <f t="shared" si="37"/>
        <v>0</v>
      </c>
      <c r="AA171" s="19">
        <f t="shared" si="37"/>
        <v>0</v>
      </c>
      <c r="AB171" s="19">
        <f t="shared" si="37"/>
        <v>0</v>
      </c>
      <c r="AC171" s="19">
        <f t="shared" si="37"/>
        <v>0</v>
      </c>
      <c r="AD171" s="19">
        <f t="shared" si="37"/>
        <v>0</v>
      </c>
      <c r="AE171" s="19">
        <f t="shared" si="37"/>
        <v>0</v>
      </c>
    </row>
    <row r="172" spans="1:35" customFormat="1" ht="14.25" x14ac:dyDescent="0.45">
      <c r="B172" s="14" t="s">
        <v>1444</v>
      </c>
      <c r="C172" s="14" t="s">
        <v>113</v>
      </c>
      <c r="D172" s="15" t="s">
        <v>2208</v>
      </c>
      <c r="E172" s="16" t="s">
        <v>2194</v>
      </c>
      <c r="F172" s="14" t="s">
        <v>2203</v>
      </c>
      <c r="G172" s="17"/>
      <c r="H172" s="128" t="str">
        <f>Settings!$B$3&amp;".mit.obrpu.cmt.dry.2"</f>
        <v>egy.mit.obrpu.cmt.dry.2</v>
      </c>
      <c r="K172" s="18"/>
      <c r="L172" s="19">
        <f t="shared" ref="L172:AE172" si="38">L$146*L$152</f>
        <v>0</v>
      </c>
      <c r="M172" s="19">
        <f t="shared" si="38"/>
        <v>0</v>
      </c>
      <c r="N172" s="19">
        <f t="shared" si="38"/>
        <v>0</v>
      </c>
      <c r="O172" s="19">
        <f t="shared" si="38"/>
        <v>0</v>
      </c>
      <c r="P172" s="19">
        <f t="shared" si="38"/>
        <v>0</v>
      </c>
      <c r="Q172" s="19">
        <f t="shared" si="38"/>
        <v>0</v>
      </c>
      <c r="R172" s="19">
        <f t="shared" si="38"/>
        <v>0</v>
      </c>
      <c r="S172" s="19">
        <f t="shared" si="38"/>
        <v>0</v>
      </c>
      <c r="T172" s="19">
        <f t="shared" si="38"/>
        <v>0</v>
      </c>
      <c r="U172" s="19">
        <f t="shared" si="38"/>
        <v>0</v>
      </c>
      <c r="V172" s="19">
        <f t="shared" si="38"/>
        <v>0</v>
      </c>
      <c r="W172" s="19">
        <f t="shared" si="38"/>
        <v>0</v>
      </c>
      <c r="X172" s="19">
        <f t="shared" si="38"/>
        <v>0</v>
      </c>
      <c r="Y172" s="19">
        <f t="shared" si="38"/>
        <v>0</v>
      </c>
      <c r="Z172" s="19">
        <f t="shared" si="38"/>
        <v>0</v>
      </c>
      <c r="AA172" s="19">
        <f t="shared" si="38"/>
        <v>0</v>
      </c>
      <c r="AB172" s="19">
        <f t="shared" si="38"/>
        <v>0</v>
      </c>
      <c r="AC172" s="19">
        <f t="shared" si="38"/>
        <v>0</v>
      </c>
      <c r="AD172" s="19">
        <f t="shared" si="38"/>
        <v>0</v>
      </c>
      <c r="AE172" s="19">
        <f t="shared" si="38"/>
        <v>0</v>
      </c>
    </row>
    <row r="173" spans="1:35" customFormat="1" ht="14.25" x14ac:dyDescent="0.45">
      <c r="B173" s="14" t="s">
        <v>1447</v>
      </c>
      <c r="C173" s="14" t="s">
        <v>117</v>
      </c>
      <c r="D173" s="15" t="s">
        <v>2209</v>
      </c>
      <c r="E173" s="16" t="s">
        <v>2194</v>
      </c>
      <c r="F173" s="14" t="s">
        <v>2203</v>
      </c>
      <c r="G173" s="17"/>
      <c r="H173" s="128" t="str">
        <f>Settings!$B$3&amp;".mit.obrpu.frt.amc.2"</f>
        <v>egy.mit.obrpu.frt.amc.2</v>
      </c>
      <c r="K173" s="18"/>
      <c r="L173" s="19">
        <f t="shared" ref="L173:AE173" si="39">L$146*L$153</f>
        <v>0</v>
      </c>
      <c r="M173" s="19">
        <f t="shared" si="39"/>
        <v>0</v>
      </c>
      <c r="N173" s="19">
        <f t="shared" si="39"/>
        <v>0</v>
      </c>
      <c r="O173" s="19">
        <f t="shared" si="39"/>
        <v>0</v>
      </c>
      <c r="P173" s="19">
        <f t="shared" si="39"/>
        <v>0</v>
      </c>
      <c r="Q173" s="19">
        <f t="shared" si="39"/>
        <v>0</v>
      </c>
      <c r="R173" s="19">
        <f t="shared" si="39"/>
        <v>0</v>
      </c>
      <c r="S173" s="19">
        <f t="shared" si="39"/>
        <v>0</v>
      </c>
      <c r="T173" s="19">
        <f t="shared" si="39"/>
        <v>0</v>
      </c>
      <c r="U173" s="19">
        <f t="shared" si="39"/>
        <v>0</v>
      </c>
      <c r="V173" s="19">
        <f t="shared" si="39"/>
        <v>0</v>
      </c>
      <c r="W173" s="19">
        <f t="shared" si="39"/>
        <v>0</v>
      </c>
      <c r="X173" s="19">
        <f t="shared" si="39"/>
        <v>0</v>
      </c>
      <c r="Y173" s="19">
        <f t="shared" si="39"/>
        <v>0</v>
      </c>
      <c r="Z173" s="19">
        <f t="shared" si="39"/>
        <v>0</v>
      </c>
      <c r="AA173" s="19">
        <f t="shared" si="39"/>
        <v>0</v>
      </c>
      <c r="AB173" s="19">
        <f t="shared" si="39"/>
        <v>0</v>
      </c>
      <c r="AC173" s="19">
        <f t="shared" si="39"/>
        <v>0</v>
      </c>
      <c r="AD173" s="19">
        <f t="shared" si="39"/>
        <v>0</v>
      </c>
      <c r="AE173" s="19">
        <f t="shared" si="39"/>
        <v>0</v>
      </c>
    </row>
    <row r="174" spans="1:35" customFormat="1" ht="14.25" x14ac:dyDescent="0.45">
      <c r="B174" s="14" t="s">
        <v>1450</v>
      </c>
      <c r="C174" s="14" t="s">
        <v>117</v>
      </c>
      <c r="D174" s="15" t="s">
        <v>2210</v>
      </c>
      <c r="E174" s="16" t="s">
        <v>2194</v>
      </c>
      <c r="F174" s="14" t="s">
        <v>2203</v>
      </c>
      <c r="G174" s="17"/>
      <c r="H174" s="128" t="str">
        <f>Settings!$B$3&amp;".mit.obrpu.frt.ure.2"</f>
        <v>egy.mit.obrpu.frt.ure.2</v>
      </c>
      <c r="K174" s="18"/>
      <c r="L174" s="19">
        <f t="shared" ref="L174:AE174" si="40">L$146*L$154</f>
        <v>0</v>
      </c>
      <c r="M174" s="19">
        <f t="shared" si="40"/>
        <v>0</v>
      </c>
      <c r="N174" s="19">
        <f t="shared" si="40"/>
        <v>0</v>
      </c>
      <c r="O174" s="19">
        <f t="shared" si="40"/>
        <v>0</v>
      </c>
      <c r="P174" s="19">
        <f t="shared" si="40"/>
        <v>0</v>
      </c>
      <c r="Q174" s="19">
        <f t="shared" si="40"/>
        <v>0</v>
      </c>
      <c r="R174" s="19">
        <f t="shared" si="40"/>
        <v>0</v>
      </c>
      <c r="S174" s="19">
        <f t="shared" si="40"/>
        <v>0</v>
      </c>
      <c r="T174" s="19">
        <f t="shared" si="40"/>
        <v>0</v>
      </c>
      <c r="U174" s="19">
        <f t="shared" si="40"/>
        <v>0</v>
      </c>
      <c r="V174" s="19">
        <f t="shared" si="40"/>
        <v>0</v>
      </c>
      <c r="W174" s="19">
        <f t="shared" si="40"/>
        <v>0</v>
      </c>
      <c r="X174" s="19">
        <f t="shared" si="40"/>
        <v>0</v>
      </c>
      <c r="Y174" s="19">
        <f t="shared" si="40"/>
        <v>0</v>
      </c>
      <c r="Z174" s="19">
        <f t="shared" si="40"/>
        <v>0</v>
      </c>
      <c r="AA174" s="19">
        <f t="shared" si="40"/>
        <v>0</v>
      </c>
      <c r="AB174" s="19">
        <f t="shared" si="40"/>
        <v>0</v>
      </c>
      <c r="AC174" s="19">
        <f t="shared" si="40"/>
        <v>0</v>
      </c>
      <c r="AD174" s="19">
        <f t="shared" si="40"/>
        <v>0</v>
      </c>
      <c r="AE174" s="19">
        <f t="shared" si="40"/>
        <v>0</v>
      </c>
    </row>
    <row r="175" spans="1:35" customFormat="1" ht="14.25" x14ac:dyDescent="0.45">
      <c r="B175" s="14" t="s">
        <v>1453</v>
      </c>
      <c r="C175" s="14" t="s">
        <v>117</v>
      </c>
      <c r="D175" s="15" t="s">
        <v>2211</v>
      </c>
      <c r="E175" s="16" t="s">
        <v>2194</v>
      </c>
      <c r="F175" s="14" t="s">
        <v>2203</v>
      </c>
      <c r="G175" s="17"/>
      <c r="H175" s="128" t="str">
        <f>Settings!$B$3&amp;".mit.obrpu.frt.nit.2"</f>
        <v>egy.mit.obrpu.frt.nit.2</v>
      </c>
      <c r="K175" s="18"/>
      <c r="L175" s="19">
        <f t="shared" ref="L175:AE175" si="41">L$146*L$155</f>
        <v>0</v>
      </c>
      <c r="M175" s="19">
        <f t="shared" si="41"/>
        <v>0</v>
      </c>
      <c r="N175" s="19">
        <f t="shared" si="41"/>
        <v>0</v>
      </c>
      <c r="O175" s="19">
        <f t="shared" si="41"/>
        <v>0</v>
      </c>
      <c r="P175" s="19">
        <f t="shared" si="41"/>
        <v>0</v>
      </c>
      <c r="Q175" s="19">
        <f t="shared" si="41"/>
        <v>0</v>
      </c>
      <c r="R175" s="19">
        <f t="shared" si="41"/>
        <v>0</v>
      </c>
      <c r="S175" s="19">
        <f t="shared" si="41"/>
        <v>0</v>
      </c>
      <c r="T175" s="19">
        <f t="shared" si="41"/>
        <v>0</v>
      </c>
      <c r="U175" s="19">
        <f t="shared" si="41"/>
        <v>0</v>
      </c>
      <c r="V175" s="19">
        <f t="shared" si="41"/>
        <v>0</v>
      </c>
      <c r="W175" s="19">
        <f t="shared" si="41"/>
        <v>0</v>
      </c>
      <c r="X175" s="19">
        <f t="shared" si="41"/>
        <v>0</v>
      </c>
      <c r="Y175" s="19">
        <f t="shared" si="41"/>
        <v>0</v>
      </c>
      <c r="Z175" s="19">
        <f t="shared" si="41"/>
        <v>0</v>
      </c>
      <c r="AA175" s="19">
        <f t="shared" si="41"/>
        <v>0</v>
      </c>
      <c r="AB175" s="19">
        <f t="shared" si="41"/>
        <v>0</v>
      </c>
      <c r="AC175" s="19">
        <f t="shared" si="41"/>
        <v>0</v>
      </c>
      <c r="AD175" s="19">
        <f t="shared" si="41"/>
        <v>0</v>
      </c>
      <c r="AE175" s="19">
        <f t="shared" si="41"/>
        <v>0</v>
      </c>
    </row>
    <row r="176" spans="1:35" customFormat="1" ht="14.25" x14ac:dyDescent="0.45">
      <c r="B176" s="14" t="s">
        <v>1456</v>
      </c>
      <c r="C176" s="14" t="s">
        <v>115</v>
      </c>
      <c r="D176" s="15" t="s">
        <v>2212</v>
      </c>
      <c r="E176" s="16" t="s">
        <v>2194</v>
      </c>
      <c r="F176" s="14" t="s">
        <v>2203</v>
      </c>
      <c r="G176" s="17"/>
      <c r="H176" s="128" t="str">
        <f>Settings!$B$3&amp;".mit.obrpu.alu.prp.2"</f>
        <v>egy.mit.obrpu.alu.prp.2</v>
      </c>
      <c r="K176" s="18"/>
      <c r="L176" s="19">
        <f t="shared" ref="L176:AE176" si="42">L$146*L$156</f>
        <v>0</v>
      </c>
      <c r="M176" s="19">
        <f t="shared" si="42"/>
        <v>0</v>
      </c>
      <c r="N176" s="19">
        <f t="shared" si="42"/>
        <v>0</v>
      </c>
      <c r="O176" s="19">
        <f t="shared" si="42"/>
        <v>0</v>
      </c>
      <c r="P176" s="19">
        <f t="shared" si="42"/>
        <v>0</v>
      </c>
      <c r="Q176" s="19">
        <f t="shared" si="42"/>
        <v>0</v>
      </c>
      <c r="R176" s="19">
        <f t="shared" si="42"/>
        <v>0</v>
      </c>
      <c r="S176" s="19">
        <f t="shared" si="42"/>
        <v>0</v>
      </c>
      <c r="T176" s="19">
        <f t="shared" si="42"/>
        <v>0</v>
      </c>
      <c r="U176" s="19">
        <f t="shared" si="42"/>
        <v>0</v>
      </c>
      <c r="V176" s="19">
        <f t="shared" si="42"/>
        <v>0</v>
      </c>
      <c r="W176" s="19">
        <f t="shared" si="42"/>
        <v>0</v>
      </c>
      <c r="X176" s="19">
        <f t="shared" si="42"/>
        <v>0</v>
      </c>
      <c r="Y176" s="19">
        <f t="shared" si="42"/>
        <v>0</v>
      </c>
      <c r="Z176" s="19">
        <f t="shared" si="42"/>
        <v>0</v>
      </c>
      <c r="AA176" s="19">
        <f t="shared" si="42"/>
        <v>0</v>
      </c>
      <c r="AB176" s="19">
        <f t="shared" si="42"/>
        <v>0</v>
      </c>
      <c r="AC176" s="19">
        <f t="shared" si="42"/>
        <v>0</v>
      </c>
      <c r="AD176" s="19">
        <f t="shared" si="42"/>
        <v>0</v>
      </c>
      <c r="AE176" s="19">
        <f t="shared" si="42"/>
        <v>0</v>
      </c>
    </row>
    <row r="178" spans="1:35" customFormat="1" ht="14.25" x14ac:dyDescent="0.45">
      <c r="A178" s="11"/>
      <c r="B178" s="6"/>
      <c r="C178" s="7" t="s">
        <v>2213</v>
      </c>
      <c r="D178" s="6" t="s">
        <v>1488</v>
      </c>
      <c r="E178" s="7" t="s">
        <v>35</v>
      </c>
      <c r="F178" s="7" t="s">
        <v>45</v>
      </c>
      <c r="G178" s="7" t="s">
        <v>37</v>
      </c>
      <c r="H178" s="12" t="s">
        <v>38</v>
      </c>
      <c r="I178" s="6" t="s">
        <v>39</v>
      </c>
      <c r="J178" s="48">
        <v>2</v>
      </c>
      <c r="K178" s="6">
        <v>2021</v>
      </c>
      <c r="L178" s="46">
        <v>2022</v>
      </c>
      <c r="M178" s="6">
        <v>2023</v>
      </c>
      <c r="N178" s="6">
        <v>2024</v>
      </c>
      <c r="O178" s="6">
        <v>2025</v>
      </c>
      <c r="P178" s="6">
        <v>2026</v>
      </c>
      <c r="Q178" s="6">
        <v>2027</v>
      </c>
      <c r="R178" s="6">
        <v>2028</v>
      </c>
      <c r="S178" s="6">
        <v>2029</v>
      </c>
      <c r="T178" s="6">
        <v>2030</v>
      </c>
      <c r="U178" s="6">
        <v>2031</v>
      </c>
      <c r="V178" s="6">
        <v>2032</v>
      </c>
      <c r="W178" s="6">
        <v>2033</v>
      </c>
      <c r="X178" s="6">
        <v>2034</v>
      </c>
      <c r="Y178" s="6">
        <v>2035</v>
      </c>
      <c r="Z178" s="6">
        <v>2036</v>
      </c>
      <c r="AA178" s="6">
        <v>2037</v>
      </c>
      <c r="AB178" s="6">
        <v>2038</v>
      </c>
      <c r="AC178" s="6">
        <v>2039</v>
      </c>
      <c r="AD178" s="6">
        <v>2040</v>
      </c>
      <c r="AE178" s="6">
        <v>2041</v>
      </c>
      <c r="AF178" s="6">
        <v>2042</v>
      </c>
      <c r="AG178" s="6">
        <v>2043</v>
      </c>
      <c r="AH178" s="6">
        <v>2044</v>
      </c>
      <c r="AI178" s="6">
        <v>2045</v>
      </c>
    </row>
    <row r="179" spans="1:35" customFormat="1" ht="14.25" x14ac:dyDescent="0.45">
      <c r="B179" s="14" t="s">
        <v>1435</v>
      </c>
      <c r="C179" s="14" t="s">
        <v>43</v>
      </c>
      <c r="D179" s="15" t="s">
        <v>2214</v>
      </c>
      <c r="E179" s="16" t="s">
        <v>2194</v>
      </c>
      <c r="F179" s="14" t="s">
        <v>2213</v>
      </c>
      <c r="G179" s="17"/>
      <c r="H179" s="128" t="str">
        <f>Settings!$B$3&amp;".mit.obrpt.stl.drg.2"</f>
        <v>egy.mit.obrpt.stl.drg.2</v>
      </c>
      <c r="I179" t="s">
        <v>2215</v>
      </c>
      <c r="K179" s="18"/>
      <c r="L179" s="19">
        <f t="shared" ref="L179:AE179" si="43">MIN(L$169,L$159)</f>
        <v>0</v>
      </c>
      <c r="M179" s="19">
        <f t="shared" si="43"/>
        <v>0</v>
      </c>
      <c r="N179" s="19">
        <f t="shared" si="43"/>
        <v>0</v>
      </c>
      <c r="O179" s="19">
        <f t="shared" si="43"/>
        <v>0</v>
      </c>
      <c r="P179" s="19">
        <f t="shared" si="43"/>
        <v>0</v>
      </c>
      <c r="Q179" s="19">
        <f t="shared" si="43"/>
        <v>0</v>
      </c>
      <c r="R179" s="19">
        <f t="shared" si="43"/>
        <v>0</v>
      </c>
      <c r="S179" s="19">
        <f t="shared" si="43"/>
        <v>0</v>
      </c>
      <c r="T179" s="19">
        <f t="shared" si="43"/>
        <v>0</v>
      </c>
      <c r="U179" s="19">
        <f t="shared" si="43"/>
        <v>0</v>
      </c>
      <c r="V179" s="19">
        <f t="shared" si="43"/>
        <v>0</v>
      </c>
      <c r="W179" s="19">
        <f t="shared" si="43"/>
        <v>0</v>
      </c>
      <c r="X179" s="19">
        <f t="shared" si="43"/>
        <v>0</v>
      </c>
      <c r="Y179" s="19">
        <f t="shared" si="43"/>
        <v>0</v>
      </c>
      <c r="Z179" s="19">
        <f t="shared" si="43"/>
        <v>0</v>
      </c>
      <c r="AA179" s="19">
        <f t="shared" si="43"/>
        <v>0</v>
      </c>
      <c r="AB179" s="19">
        <f t="shared" si="43"/>
        <v>0</v>
      </c>
      <c r="AC179" s="19">
        <f t="shared" si="43"/>
        <v>0</v>
      </c>
      <c r="AD179" s="19">
        <f t="shared" si="43"/>
        <v>0</v>
      </c>
      <c r="AE179" s="19">
        <f t="shared" si="43"/>
        <v>0</v>
      </c>
    </row>
    <row r="180" spans="1:35" customFormat="1" ht="14.25" x14ac:dyDescent="0.45">
      <c r="B180" s="14" t="s">
        <v>1438</v>
      </c>
      <c r="C180" s="14" t="s">
        <v>43</v>
      </c>
      <c r="D180" s="15" t="s">
        <v>2216</v>
      </c>
      <c r="E180" s="16" t="s">
        <v>2194</v>
      </c>
      <c r="F180" s="14" t="s">
        <v>2213</v>
      </c>
      <c r="G180" s="17"/>
      <c r="H180" s="128" t="str">
        <f>Settings!$B$3&amp;".mit.obrpt.stl.scr.2"</f>
        <v>egy.mit.obrpt.stl.scr.2</v>
      </c>
      <c r="K180" s="18"/>
      <c r="L180" s="19">
        <f t="shared" ref="L180:AE180" si="44">MIN(L$170,L$160)</f>
        <v>0</v>
      </c>
      <c r="M180" s="19">
        <f t="shared" si="44"/>
        <v>0</v>
      </c>
      <c r="N180" s="19">
        <f t="shared" si="44"/>
        <v>0</v>
      </c>
      <c r="O180" s="19">
        <f t="shared" si="44"/>
        <v>0</v>
      </c>
      <c r="P180" s="19">
        <f t="shared" si="44"/>
        <v>0</v>
      </c>
      <c r="Q180" s="19">
        <f t="shared" si="44"/>
        <v>0</v>
      </c>
      <c r="R180" s="19">
        <f t="shared" si="44"/>
        <v>0</v>
      </c>
      <c r="S180" s="19">
        <f t="shared" si="44"/>
        <v>0</v>
      </c>
      <c r="T180" s="19">
        <f t="shared" si="44"/>
        <v>0</v>
      </c>
      <c r="U180" s="19">
        <f t="shared" si="44"/>
        <v>0</v>
      </c>
      <c r="V180" s="19">
        <f t="shared" si="44"/>
        <v>0</v>
      </c>
      <c r="W180" s="19">
        <f t="shared" si="44"/>
        <v>0</v>
      </c>
      <c r="X180" s="19">
        <f t="shared" si="44"/>
        <v>0</v>
      </c>
      <c r="Y180" s="19">
        <f t="shared" si="44"/>
        <v>0</v>
      </c>
      <c r="Z180" s="19">
        <f t="shared" si="44"/>
        <v>0</v>
      </c>
      <c r="AA180" s="19">
        <f t="shared" si="44"/>
        <v>0</v>
      </c>
      <c r="AB180" s="19">
        <f t="shared" si="44"/>
        <v>0</v>
      </c>
      <c r="AC180" s="19">
        <f t="shared" si="44"/>
        <v>0</v>
      </c>
      <c r="AD180" s="19">
        <f t="shared" si="44"/>
        <v>0</v>
      </c>
      <c r="AE180" s="19">
        <f t="shared" si="44"/>
        <v>0</v>
      </c>
    </row>
    <row r="181" spans="1:35" customFormat="1" ht="14.25" x14ac:dyDescent="0.45">
      <c r="B181" s="14" t="s">
        <v>1441</v>
      </c>
      <c r="C181" s="14" t="s">
        <v>43</v>
      </c>
      <c r="D181" s="15" t="s">
        <v>2217</v>
      </c>
      <c r="E181" s="16" t="s">
        <v>2194</v>
      </c>
      <c r="F181" s="14" t="s">
        <v>2213</v>
      </c>
      <c r="G181" s="17"/>
      <c r="H181" s="128" t="str">
        <f>Settings!$B$3&amp;".mit.obrpt.stl.bof.2"</f>
        <v>egy.mit.obrpt.stl.bof.2</v>
      </c>
      <c r="K181" s="18"/>
      <c r="L181" s="19">
        <f t="shared" ref="L181:AE181" si="45">MIN(L$171,L$161)</f>
        <v>0</v>
      </c>
      <c r="M181" s="19">
        <f t="shared" si="45"/>
        <v>0</v>
      </c>
      <c r="N181" s="19">
        <f t="shared" si="45"/>
        <v>0</v>
      </c>
      <c r="O181" s="19">
        <f t="shared" si="45"/>
        <v>0</v>
      </c>
      <c r="P181" s="19">
        <f t="shared" si="45"/>
        <v>0</v>
      </c>
      <c r="Q181" s="19">
        <f t="shared" si="45"/>
        <v>0</v>
      </c>
      <c r="R181" s="19">
        <f t="shared" si="45"/>
        <v>0</v>
      </c>
      <c r="S181" s="19">
        <f t="shared" si="45"/>
        <v>0</v>
      </c>
      <c r="T181" s="19">
        <f t="shared" si="45"/>
        <v>0</v>
      </c>
      <c r="U181" s="19">
        <f t="shared" si="45"/>
        <v>0</v>
      </c>
      <c r="V181" s="19">
        <f t="shared" si="45"/>
        <v>0</v>
      </c>
      <c r="W181" s="19">
        <f t="shared" si="45"/>
        <v>0</v>
      </c>
      <c r="X181" s="19">
        <f t="shared" si="45"/>
        <v>0</v>
      </c>
      <c r="Y181" s="19">
        <f t="shared" si="45"/>
        <v>0</v>
      </c>
      <c r="Z181" s="19">
        <f t="shared" si="45"/>
        <v>0</v>
      </c>
      <c r="AA181" s="19">
        <f t="shared" si="45"/>
        <v>0</v>
      </c>
      <c r="AB181" s="19">
        <f t="shared" si="45"/>
        <v>0</v>
      </c>
      <c r="AC181" s="19">
        <f t="shared" si="45"/>
        <v>0</v>
      </c>
      <c r="AD181" s="19">
        <f t="shared" si="45"/>
        <v>0</v>
      </c>
      <c r="AE181" s="19">
        <f t="shared" si="45"/>
        <v>0</v>
      </c>
    </row>
    <row r="182" spans="1:35" customFormat="1" ht="14.25" x14ac:dyDescent="0.45">
      <c r="B182" s="14" t="s">
        <v>1444</v>
      </c>
      <c r="C182" s="14" t="s">
        <v>113</v>
      </c>
      <c r="D182" s="15" t="s">
        <v>2218</v>
      </c>
      <c r="E182" s="16" t="s">
        <v>2194</v>
      </c>
      <c r="F182" s="14" t="s">
        <v>2213</v>
      </c>
      <c r="G182" s="17"/>
      <c r="H182" s="128" t="str">
        <f>Settings!$B$3&amp;".mit.obrpt.cmt.dry.2"</f>
        <v>egy.mit.obrpt.cmt.dry.2</v>
      </c>
      <c r="K182" s="18"/>
      <c r="L182" s="19">
        <f t="shared" ref="L182:AE182" si="46">MIN(L$172,L$162)</f>
        <v>0</v>
      </c>
      <c r="M182" s="19">
        <f t="shared" si="46"/>
        <v>0</v>
      </c>
      <c r="N182" s="19">
        <f t="shared" si="46"/>
        <v>0</v>
      </c>
      <c r="O182" s="19">
        <f t="shared" si="46"/>
        <v>0</v>
      </c>
      <c r="P182" s="19">
        <f t="shared" si="46"/>
        <v>0</v>
      </c>
      <c r="Q182" s="19">
        <f t="shared" si="46"/>
        <v>0</v>
      </c>
      <c r="R182" s="19">
        <f t="shared" si="46"/>
        <v>0</v>
      </c>
      <c r="S182" s="19">
        <f t="shared" si="46"/>
        <v>0</v>
      </c>
      <c r="T182" s="19">
        <f t="shared" si="46"/>
        <v>0</v>
      </c>
      <c r="U182" s="19">
        <f t="shared" si="46"/>
        <v>0</v>
      </c>
      <c r="V182" s="19">
        <f t="shared" si="46"/>
        <v>0</v>
      </c>
      <c r="W182" s="19">
        <f t="shared" si="46"/>
        <v>0</v>
      </c>
      <c r="X182" s="19">
        <f t="shared" si="46"/>
        <v>0</v>
      </c>
      <c r="Y182" s="19">
        <f t="shared" si="46"/>
        <v>0</v>
      </c>
      <c r="Z182" s="19">
        <f t="shared" si="46"/>
        <v>0</v>
      </c>
      <c r="AA182" s="19">
        <f t="shared" si="46"/>
        <v>0</v>
      </c>
      <c r="AB182" s="19">
        <f t="shared" si="46"/>
        <v>0</v>
      </c>
      <c r="AC182" s="19">
        <f t="shared" si="46"/>
        <v>0</v>
      </c>
      <c r="AD182" s="19">
        <f t="shared" si="46"/>
        <v>0</v>
      </c>
      <c r="AE182" s="19">
        <f t="shared" si="46"/>
        <v>0</v>
      </c>
    </row>
    <row r="183" spans="1:35" customFormat="1" ht="14.25" x14ac:dyDescent="0.45">
      <c r="B183" s="14" t="s">
        <v>1447</v>
      </c>
      <c r="C183" s="14" t="s">
        <v>117</v>
      </c>
      <c r="D183" s="15" t="s">
        <v>2219</v>
      </c>
      <c r="E183" s="16" t="s">
        <v>2194</v>
      </c>
      <c r="F183" s="14" t="s">
        <v>2213</v>
      </c>
      <c r="G183" s="17"/>
      <c r="H183" s="128" t="str">
        <f>Settings!$B$3&amp;".mit.obrpt.frt.amc.2"</f>
        <v>egy.mit.obrpt.frt.amc.2</v>
      </c>
      <c r="K183" s="18"/>
      <c r="L183" s="19">
        <f t="shared" ref="L183:AE183" si="47">MIN(L$173,L$163)</f>
        <v>0</v>
      </c>
      <c r="M183" s="19">
        <f t="shared" si="47"/>
        <v>0</v>
      </c>
      <c r="N183" s="19">
        <f t="shared" si="47"/>
        <v>0</v>
      </c>
      <c r="O183" s="19">
        <f t="shared" si="47"/>
        <v>0</v>
      </c>
      <c r="P183" s="19">
        <f t="shared" si="47"/>
        <v>0</v>
      </c>
      <c r="Q183" s="19">
        <f t="shared" si="47"/>
        <v>0</v>
      </c>
      <c r="R183" s="19">
        <f t="shared" si="47"/>
        <v>0</v>
      </c>
      <c r="S183" s="19">
        <f t="shared" si="47"/>
        <v>0</v>
      </c>
      <c r="T183" s="19">
        <f t="shared" si="47"/>
        <v>0</v>
      </c>
      <c r="U183" s="19">
        <f t="shared" si="47"/>
        <v>0</v>
      </c>
      <c r="V183" s="19">
        <f t="shared" si="47"/>
        <v>0</v>
      </c>
      <c r="W183" s="19">
        <f t="shared" si="47"/>
        <v>0</v>
      </c>
      <c r="X183" s="19">
        <f t="shared" si="47"/>
        <v>0</v>
      </c>
      <c r="Y183" s="19">
        <f t="shared" si="47"/>
        <v>0</v>
      </c>
      <c r="Z183" s="19">
        <f t="shared" si="47"/>
        <v>0</v>
      </c>
      <c r="AA183" s="19">
        <f t="shared" si="47"/>
        <v>0</v>
      </c>
      <c r="AB183" s="19">
        <f t="shared" si="47"/>
        <v>0</v>
      </c>
      <c r="AC183" s="19">
        <f t="shared" si="47"/>
        <v>0</v>
      </c>
      <c r="AD183" s="19">
        <f t="shared" si="47"/>
        <v>0</v>
      </c>
      <c r="AE183" s="19">
        <f t="shared" si="47"/>
        <v>0</v>
      </c>
    </row>
    <row r="184" spans="1:35" customFormat="1" ht="14.25" x14ac:dyDescent="0.45">
      <c r="B184" s="14" t="s">
        <v>1450</v>
      </c>
      <c r="C184" s="14" t="s">
        <v>117</v>
      </c>
      <c r="D184" s="15" t="s">
        <v>2220</v>
      </c>
      <c r="E184" s="16" t="s">
        <v>2194</v>
      </c>
      <c r="F184" s="14" t="s">
        <v>2213</v>
      </c>
      <c r="G184" s="17"/>
      <c r="H184" s="128" t="str">
        <f>Settings!$B$3&amp;".mit.obrpt.frt.ure.2"</f>
        <v>egy.mit.obrpt.frt.ure.2</v>
      </c>
      <c r="K184" s="18"/>
      <c r="L184" s="19">
        <f t="shared" ref="L184:AE184" si="48">MIN(L$174,L$164)</f>
        <v>0</v>
      </c>
      <c r="M184" s="19">
        <f t="shared" si="48"/>
        <v>0</v>
      </c>
      <c r="N184" s="19">
        <f t="shared" si="48"/>
        <v>0</v>
      </c>
      <c r="O184" s="19">
        <f t="shared" si="48"/>
        <v>0</v>
      </c>
      <c r="P184" s="19">
        <f t="shared" si="48"/>
        <v>0</v>
      </c>
      <c r="Q184" s="19">
        <f t="shared" si="48"/>
        <v>0</v>
      </c>
      <c r="R184" s="19">
        <f t="shared" si="48"/>
        <v>0</v>
      </c>
      <c r="S184" s="19">
        <f t="shared" si="48"/>
        <v>0</v>
      </c>
      <c r="T184" s="19">
        <f t="shared" si="48"/>
        <v>0</v>
      </c>
      <c r="U184" s="19">
        <f t="shared" si="48"/>
        <v>0</v>
      </c>
      <c r="V184" s="19">
        <f t="shared" si="48"/>
        <v>0</v>
      </c>
      <c r="W184" s="19">
        <f t="shared" si="48"/>
        <v>0</v>
      </c>
      <c r="X184" s="19">
        <f t="shared" si="48"/>
        <v>0</v>
      </c>
      <c r="Y184" s="19">
        <f t="shared" si="48"/>
        <v>0</v>
      </c>
      <c r="Z184" s="19">
        <f t="shared" si="48"/>
        <v>0</v>
      </c>
      <c r="AA184" s="19">
        <f t="shared" si="48"/>
        <v>0</v>
      </c>
      <c r="AB184" s="19">
        <f t="shared" si="48"/>
        <v>0</v>
      </c>
      <c r="AC184" s="19">
        <f t="shared" si="48"/>
        <v>0</v>
      </c>
      <c r="AD184" s="19">
        <f t="shared" si="48"/>
        <v>0</v>
      </c>
      <c r="AE184" s="19">
        <f t="shared" si="48"/>
        <v>0</v>
      </c>
    </row>
    <row r="185" spans="1:35" customFormat="1" ht="14.25" x14ac:dyDescent="0.45">
      <c r="B185" s="14" t="s">
        <v>1453</v>
      </c>
      <c r="C185" s="14" t="s">
        <v>117</v>
      </c>
      <c r="D185" s="15" t="s">
        <v>2221</v>
      </c>
      <c r="E185" s="16" t="s">
        <v>2194</v>
      </c>
      <c r="F185" s="14" t="s">
        <v>2213</v>
      </c>
      <c r="G185" s="17"/>
      <c r="H185" s="128" t="str">
        <f>Settings!$B$3&amp;".mit.obrpt.frt.nit.2"</f>
        <v>egy.mit.obrpt.frt.nit.2</v>
      </c>
      <c r="K185" s="18"/>
      <c r="L185" s="19">
        <f t="shared" ref="L185:AE185" si="49">MIN(L$175,L$165)</f>
        <v>0</v>
      </c>
      <c r="M185" s="19">
        <f t="shared" si="49"/>
        <v>0</v>
      </c>
      <c r="N185" s="19">
        <f t="shared" si="49"/>
        <v>0</v>
      </c>
      <c r="O185" s="19">
        <f t="shared" si="49"/>
        <v>0</v>
      </c>
      <c r="P185" s="19">
        <f t="shared" si="49"/>
        <v>0</v>
      </c>
      <c r="Q185" s="19">
        <f t="shared" si="49"/>
        <v>0</v>
      </c>
      <c r="R185" s="19">
        <f t="shared" si="49"/>
        <v>0</v>
      </c>
      <c r="S185" s="19">
        <f t="shared" si="49"/>
        <v>0</v>
      </c>
      <c r="T185" s="19">
        <f t="shared" si="49"/>
        <v>0</v>
      </c>
      <c r="U185" s="19">
        <f t="shared" si="49"/>
        <v>0</v>
      </c>
      <c r="V185" s="19">
        <f t="shared" si="49"/>
        <v>0</v>
      </c>
      <c r="W185" s="19">
        <f t="shared" si="49"/>
        <v>0</v>
      </c>
      <c r="X185" s="19">
        <f t="shared" si="49"/>
        <v>0</v>
      </c>
      <c r="Y185" s="19">
        <f t="shared" si="49"/>
        <v>0</v>
      </c>
      <c r="Z185" s="19">
        <f t="shared" si="49"/>
        <v>0</v>
      </c>
      <c r="AA185" s="19">
        <f t="shared" si="49"/>
        <v>0</v>
      </c>
      <c r="AB185" s="19">
        <f t="shared" si="49"/>
        <v>0</v>
      </c>
      <c r="AC185" s="19">
        <f t="shared" si="49"/>
        <v>0</v>
      </c>
      <c r="AD185" s="19">
        <f t="shared" si="49"/>
        <v>0</v>
      </c>
      <c r="AE185" s="19">
        <f t="shared" si="49"/>
        <v>0</v>
      </c>
    </row>
    <row r="186" spans="1:35" customFormat="1" ht="14.25" x14ac:dyDescent="0.45">
      <c r="B186" s="14" t="s">
        <v>1456</v>
      </c>
      <c r="C186" s="14" t="s">
        <v>115</v>
      </c>
      <c r="D186" s="15" t="s">
        <v>2222</v>
      </c>
      <c r="E186" s="16" t="s">
        <v>2194</v>
      </c>
      <c r="F186" s="14" t="s">
        <v>2213</v>
      </c>
      <c r="G186" s="17"/>
      <c r="H186" s="128" t="str">
        <f>Settings!$B$3&amp;".mit.obrpt.alu.prp.2"</f>
        <v>egy.mit.obrpt.alu.prp.2</v>
      </c>
      <c r="K186" s="18"/>
      <c r="L186" s="19">
        <f t="shared" ref="L186:AE186" si="50">MIN(L$176,L$166)</f>
        <v>0</v>
      </c>
      <c r="M186" s="19">
        <f t="shared" si="50"/>
        <v>0</v>
      </c>
      <c r="N186" s="19">
        <f t="shared" si="50"/>
        <v>0</v>
      </c>
      <c r="O186" s="19">
        <f t="shared" si="50"/>
        <v>0</v>
      </c>
      <c r="P186" s="19">
        <f t="shared" si="50"/>
        <v>0</v>
      </c>
      <c r="Q186" s="19">
        <f t="shared" si="50"/>
        <v>0</v>
      </c>
      <c r="R186" s="19">
        <f t="shared" si="50"/>
        <v>0</v>
      </c>
      <c r="S186" s="19">
        <f t="shared" si="50"/>
        <v>0</v>
      </c>
      <c r="T186" s="19">
        <f t="shared" si="50"/>
        <v>0</v>
      </c>
      <c r="U186" s="19">
        <f t="shared" si="50"/>
        <v>0</v>
      </c>
      <c r="V186" s="19">
        <f t="shared" si="50"/>
        <v>0</v>
      </c>
      <c r="W186" s="19">
        <f t="shared" si="50"/>
        <v>0</v>
      </c>
      <c r="X186" s="19">
        <f t="shared" si="50"/>
        <v>0</v>
      </c>
      <c r="Y186" s="19">
        <f t="shared" si="50"/>
        <v>0</v>
      </c>
      <c r="Z186" s="19">
        <f t="shared" si="50"/>
        <v>0</v>
      </c>
      <c r="AA186" s="19">
        <f t="shared" si="50"/>
        <v>0</v>
      </c>
      <c r="AB186" s="19">
        <f t="shared" si="50"/>
        <v>0</v>
      </c>
      <c r="AC186" s="19">
        <f t="shared" si="50"/>
        <v>0</v>
      </c>
      <c r="AD186" s="19">
        <f t="shared" si="50"/>
        <v>0</v>
      </c>
      <c r="AE186" s="19">
        <f t="shared" si="50"/>
        <v>0</v>
      </c>
    </row>
    <row r="188" spans="1:35" customFormat="1" ht="14.25" x14ac:dyDescent="0.45">
      <c r="A188" s="11"/>
      <c r="B188" s="6"/>
      <c r="C188" s="7" t="s">
        <v>2223</v>
      </c>
      <c r="D188" s="6" t="s">
        <v>1488</v>
      </c>
      <c r="E188" s="7" t="s">
        <v>35</v>
      </c>
      <c r="F188" s="7" t="s">
        <v>45</v>
      </c>
      <c r="G188" s="7" t="s">
        <v>37</v>
      </c>
      <c r="H188" s="12" t="s">
        <v>38</v>
      </c>
      <c r="I188" s="6" t="s">
        <v>39</v>
      </c>
      <c r="J188" s="48">
        <v>2</v>
      </c>
      <c r="K188" s="6">
        <v>2021</v>
      </c>
      <c r="L188" s="46">
        <v>2022</v>
      </c>
      <c r="M188" s="6">
        <v>2023</v>
      </c>
      <c r="N188" s="6">
        <v>2024</v>
      </c>
      <c r="O188" s="6">
        <v>2025</v>
      </c>
      <c r="P188" s="6">
        <v>2026</v>
      </c>
      <c r="Q188" s="6">
        <v>2027</v>
      </c>
      <c r="R188" s="6">
        <v>2028</v>
      </c>
      <c r="S188" s="6">
        <v>2029</v>
      </c>
      <c r="T188" s="6">
        <v>2030</v>
      </c>
      <c r="U188" s="6">
        <v>2031</v>
      </c>
      <c r="V188" s="6">
        <v>2032</v>
      </c>
      <c r="W188" s="6">
        <v>2033</v>
      </c>
      <c r="X188" s="6">
        <v>2034</v>
      </c>
      <c r="Y188" s="6">
        <v>2035</v>
      </c>
      <c r="Z188" s="6">
        <v>2036</v>
      </c>
      <c r="AA188" s="6">
        <v>2037</v>
      </c>
      <c r="AB188" s="6">
        <v>2038</v>
      </c>
      <c r="AC188" s="6">
        <v>2039</v>
      </c>
      <c r="AD188" s="6">
        <v>2040</v>
      </c>
      <c r="AE188" s="6">
        <v>2041</v>
      </c>
      <c r="AF188" s="6">
        <v>2042</v>
      </c>
      <c r="AG188" s="6">
        <v>2043</v>
      </c>
      <c r="AH188" s="6">
        <v>2044</v>
      </c>
      <c r="AI188" s="6">
        <v>2045</v>
      </c>
    </row>
    <row r="189" spans="1:35" customFormat="1" ht="14.25" x14ac:dyDescent="0.45">
      <c r="B189" s="14" t="s">
        <v>1435</v>
      </c>
      <c r="C189" s="14" t="s">
        <v>43</v>
      </c>
      <c r="D189" s="15" t="s">
        <v>2224</v>
      </c>
      <c r="E189" s="16" t="s">
        <v>2194</v>
      </c>
      <c r="F189" s="14" t="s">
        <v>2223</v>
      </c>
      <c r="G189" s="17"/>
      <c r="H189" s="128" t="str">
        <f>Settings!$B$3&amp;".mit.ccnet.stl.drg.2"</f>
        <v>egy.mit.ccnet.stl.drg.2</v>
      </c>
      <c r="K189" s="18"/>
      <c r="L189" s="19">
        <f t="shared" ref="L189:AE189" si="51">L$159-L$179</f>
        <v>0</v>
      </c>
      <c r="M189" s="19">
        <f t="shared" si="51"/>
        <v>0</v>
      </c>
      <c r="N189" s="19">
        <f t="shared" si="51"/>
        <v>0</v>
      </c>
      <c r="O189" s="19">
        <f t="shared" si="51"/>
        <v>0</v>
      </c>
      <c r="P189" s="19">
        <f t="shared" si="51"/>
        <v>0</v>
      </c>
      <c r="Q189" s="19">
        <f t="shared" si="51"/>
        <v>7.1373846250000001</v>
      </c>
      <c r="R189" s="19">
        <f t="shared" si="51"/>
        <v>14.27476925</v>
      </c>
      <c r="S189" s="19">
        <f t="shared" si="51"/>
        <v>21.412153874999998</v>
      </c>
      <c r="T189" s="19">
        <f t="shared" si="51"/>
        <v>28.549538500000001</v>
      </c>
      <c r="U189" s="19">
        <f t="shared" si="51"/>
        <v>35.686923125</v>
      </c>
      <c r="V189" s="19">
        <f t="shared" si="51"/>
        <v>42.824307749999996</v>
      </c>
      <c r="W189" s="19">
        <f t="shared" si="51"/>
        <v>49.961692374999998</v>
      </c>
      <c r="X189" s="19">
        <f t="shared" si="51"/>
        <v>57.099077000000001</v>
      </c>
      <c r="Y189" s="19">
        <f t="shared" si="51"/>
        <v>64.236461625000004</v>
      </c>
      <c r="Z189" s="19">
        <f t="shared" si="51"/>
        <v>71.37384625</v>
      </c>
      <c r="AA189" s="19">
        <f t="shared" si="51"/>
        <v>78.511230874999995</v>
      </c>
      <c r="AB189" s="19">
        <f t="shared" si="51"/>
        <v>85.648615499999991</v>
      </c>
      <c r="AC189" s="19">
        <f t="shared" si="51"/>
        <v>92.786000125000001</v>
      </c>
      <c r="AD189" s="19">
        <f t="shared" si="51"/>
        <v>99.923384749999997</v>
      </c>
      <c r="AE189" s="19">
        <f t="shared" si="51"/>
        <v>107.06076937499999</v>
      </c>
    </row>
    <row r="190" spans="1:35" customFormat="1" ht="14.25" x14ac:dyDescent="0.45">
      <c r="B190" s="14" t="s">
        <v>1438</v>
      </c>
      <c r="C190" s="14" t="s">
        <v>43</v>
      </c>
      <c r="D190" s="15" t="s">
        <v>2225</v>
      </c>
      <c r="E190" s="16" t="s">
        <v>2194</v>
      </c>
      <c r="F190" s="14" t="s">
        <v>2223</v>
      </c>
      <c r="G190" s="17"/>
      <c r="H190" s="128" t="str">
        <f>Settings!$B$3&amp;".mit.ccnet.stl.scr.2"</f>
        <v>egy.mit.ccnet.stl.scr.2</v>
      </c>
      <c r="K190" s="18"/>
      <c r="L190" s="19">
        <f t="shared" ref="L190:AE190" si="52">L$160-L$180</f>
        <v>0</v>
      </c>
      <c r="M190" s="19">
        <f t="shared" si="52"/>
        <v>0</v>
      </c>
      <c r="N190" s="19">
        <f t="shared" si="52"/>
        <v>0</v>
      </c>
      <c r="O190" s="19">
        <f t="shared" si="52"/>
        <v>0</v>
      </c>
      <c r="P190" s="19">
        <f t="shared" si="52"/>
        <v>0</v>
      </c>
      <c r="Q190" s="19">
        <f t="shared" si="52"/>
        <v>0.56100000000000005</v>
      </c>
      <c r="R190" s="19">
        <f t="shared" si="52"/>
        <v>1.1220000000000001</v>
      </c>
      <c r="S190" s="19">
        <f t="shared" si="52"/>
        <v>1.6830000000000001</v>
      </c>
      <c r="T190" s="19">
        <f t="shared" si="52"/>
        <v>2.2440000000000002</v>
      </c>
      <c r="U190" s="19">
        <f t="shared" si="52"/>
        <v>2.8050000000000002</v>
      </c>
      <c r="V190" s="19">
        <f t="shared" si="52"/>
        <v>3.3660000000000001</v>
      </c>
      <c r="W190" s="19">
        <f t="shared" si="52"/>
        <v>3.9270000000000005</v>
      </c>
      <c r="X190" s="19">
        <f t="shared" si="52"/>
        <v>4.4880000000000004</v>
      </c>
      <c r="Y190" s="19">
        <f t="shared" si="52"/>
        <v>5.0490000000000004</v>
      </c>
      <c r="Z190" s="19">
        <f t="shared" si="52"/>
        <v>5.61</v>
      </c>
      <c r="AA190" s="19">
        <f t="shared" si="52"/>
        <v>6.1710000000000003</v>
      </c>
      <c r="AB190" s="19">
        <f t="shared" si="52"/>
        <v>6.7320000000000002</v>
      </c>
      <c r="AC190" s="19">
        <f t="shared" si="52"/>
        <v>7.2930000000000001</v>
      </c>
      <c r="AD190" s="19">
        <f t="shared" si="52"/>
        <v>7.854000000000001</v>
      </c>
      <c r="AE190" s="19">
        <f t="shared" si="52"/>
        <v>8.4150000000000009</v>
      </c>
    </row>
    <row r="191" spans="1:35" customFormat="1" ht="14.25" x14ac:dyDescent="0.45">
      <c r="B191" s="14" t="s">
        <v>1441</v>
      </c>
      <c r="C191" s="14" t="s">
        <v>43</v>
      </c>
      <c r="D191" s="15" t="s">
        <v>2226</v>
      </c>
      <c r="E191" s="16" t="s">
        <v>2194</v>
      </c>
      <c r="F191" s="14" t="s">
        <v>2223</v>
      </c>
      <c r="G191" s="17"/>
      <c r="H191" s="128" t="str">
        <f>Settings!$B$3&amp;".mit.ccnet.stl.bof.2"</f>
        <v>egy.mit.ccnet.stl.bof.2</v>
      </c>
      <c r="K191" s="18"/>
      <c r="L191" s="19">
        <f t="shared" ref="L191:AE191" si="53">L$161-L$181</f>
        <v>0</v>
      </c>
      <c r="M191" s="19">
        <f t="shared" si="53"/>
        <v>0</v>
      </c>
      <c r="N191" s="19">
        <f t="shared" si="53"/>
        <v>0</v>
      </c>
      <c r="O191" s="19">
        <f t="shared" si="53"/>
        <v>0</v>
      </c>
      <c r="P191" s="19">
        <f t="shared" si="53"/>
        <v>0</v>
      </c>
      <c r="Q191" s="19">
        <f t="shared" si="53"/>
        <v>17.812253374999997</v>
      </c>
      <c r="R191" s="19">
        <f t="shared" si="53"/>
        <v>35.624506749999995</v>
      </c>
      <c r="S191" s="19">
        <f t="shared" si="53"/>
        <v>53.436760124999992</v>
      </c>
      <c r="T191" s="19">
        <f t="shared" si="53"/>
        <v>71.24901349999999</v>
      </c>
      <c r="U191" s="19">
        <f t="shared" si="53"/>
        <v>89.061266874999987</v>
      </c>
      <c r="V191" s="19">
        <f t="shared" si="53"/>
        <v>106.87352024999998</v>
      </c>
      <c r="W191" s="19">
        <f t="shared" si="53"/>
        <v>124.68577362499998</v>
      </c>
      <c r="X191" s="19">
        <f t="shared" si="53"/>
        <v>142.49802699999998</v>
      </c>
      <c r="Y191" s="19">
        <f t="shared" si="53"/>
        <v>160.31028037499999</v>
      </c>
      <c r="Z191" s="19">
        <f t="shared" si="53"/>
        <v>178.12253374999997</v>
      </c>
      <c r="AA191" s="19">
        <f t="shared" si="53"/>
        <v>195.93478712499999</v>
      </c>
      <c r="AB191" s="19">
        <f t="shared" si="53"/>
        <v>213.74704049999997</v>
      </c>
      <c r="AC191" s="19">
        <f t="shared" si="53"/>
        <v>231.55929387499998</v>
      </c>
      <c r="AD191" s="19">
        <f t="shared" si="53"/>
        <v>249.37154724999996</v>
      </c>
      <c r="AE191" s="19">
        <f t="shared" si="53"/>
        <v>267.18380062499995</v>
      </c>
    </row>
    <row r="192" spans="1:35" customFormat="1" ht="14.25" x14ac:dyDescent="0.45">
      <c r="B192" s="14" t="s">
        <v>1444</v>
      </c>
      <c r="C192" s="14" t="s">
        <v>113</v>
      </c>
      <c r="D192" s="15" t="s">
        <v>2227</v>
      </c>
      <c r="E192" s="16" t="s">
        <v>2194</v>
      </c>
      <c r="F192" s="14" t="s">
        <v>2223</v>
      </c>
      <c r="G192" s="17"/>
      <c r="H192" s="128" t="str">
        <f>Settings!$B$3&amp;".mit.ccnet.cmt.dry.2"</f>
        <v>egy.mit.ccnet.cmt.dry.2</v>
      </c>
      <c r="K192" s="18"/>
      <c r="L192" s="19">
        <f t="shared" ref="L192:AE192" si="54">L$162-L$182</f>
        <v>0</v>
      </c>
      <c r="M192" s="19">
        <f t="shared" si="54"/>
        <v>0</v>
      </c>
      <c r="N192" s="19">
        <f t="shared" si="54"/>
        <v>0</v>
      </c>
      <c r="O192" s="19">
        <f t="shared" si="54"/>
        <v>0</v>
      </c>
      <c r="P192" s="19">
        <f t="shared" si="54"/>
        <v>0</v>
      </c>
      <c r="Q192" s="19">
        <f t="shared" si="54"/>
        <v>3.9196062499999997</v>
      </c>
      <c r="R192" s="19">
        <f t="shared" si="54"/>
        <v>7.8392124999999995</v>
      </c>
      <c r="S192" s="19">
        <f t="shared" si="54"/>
        <v>11.75881875</v>
      </c>
      <c r="T192" s="19">
        <f t="shared" si="54"/>
        <v>15.678424999999999</v>
      </c>
      <c r="U192" s="19">
        <f t="shared" si="54"/>
        <v>19.598031249999998</v>
      </c>
      <c r="V192" s="19">
        <f t="shared" si="54"/>
        <v>23.517637499999999</v>
      </c>
      <c r="W192" s="19">
        <f t="shared" si="54"/>
        <v>27.437243749999997</v>
      </c>
      <c r="X192" s="19">
        <f t="shared" si="54"/>
        <v>31.356849999999998</v>
      </c>
      <c r="Y192" s="19">
        <f t="shared" si="54"/>
        <v>35.276456249999995</v>
      </c>
      <c r="Z192" s="19">
        <f t="shared" si="54"/>
        <v>39.196062499999996</v>
      </c>
      <c r="AA192" s="19">
        <f t="shared" si="54"/>
        <v>43.115668749999998</v>
      </c>
      <c r="AB192" s="19">
        <f t="shared" si="54"/>
        <v>47.035274999999999</v>
      </c>
      <c r="AC192" s="19">
        <f t="shared" si="54"/>
        <v>50.954881249999993</v>
      </c>
      <c r="AD192" s="19">
        <f t="shared" si="54"/>
        <v>54.874487499999994</v>
      </c>
      <c r="AE192" s="19">
        <f t="shared" si="54"/>
        <v>58.794093749999995</v>
      </c>
    </row>
    <row r="193" spans="1:35" customFormat="1" ht="14.25" x14ac:dyDescent="0.45">
      <c r="B193" s="14" t="s">
        <v>1447</v>
      </c>
      <c r="C193" s="14" t="s">
        <v>117</v>
      </c>
      <c r="D193" s="15" t="s">
        <v>2228</v>
      </c>
      <c r="E193" s="16" t="s">
        <v>2194</v>
      </c>
      <c r="F193" s="14" t="s">
        <v>2223</v>
      </c>
      <c r="G193" s="17"/>
      <c r="H193" s="128" t="str">
        <f>Settings!$B$3&amp;".mit.ccnet.frt.amc.2"</f>
        <v>egy.mit.ccnet.frt.amc.2</v>
      </c>
      <c r="K193" s="18"/>
      <c r="L193" s="19">
        <f t="shared" ref="L193:AE193" si="55">L$163-L$183</f>
        <v>0</v>
      </c>
      <c r="M193" s="19">
        <f t="shared" si="55"/>
        <v>0</v>
      </c>
      <c r="N193" s="19">
        <f t="shared" si="55"/>
        <v>0</v>
      </c>
      <c r="O193" s="19">
        <f t="shared" si="55"/>
        <v>0</v>
      </c>
      <c r="P193" s="19">
        <f t="shared" si="55"/>
        <v>0</v>
      </c>
      <c r="Q193" s="19">
        <f t="shared" si="55"/>
        <v>24.684000000000001</v>
      </c>
      <c r="R193" s="19">
        <f t="shared" si="55"/>
        <v>49.368000000000002</v>
      </c>
      <c r="S193" s="19">
        <f t="shared" si="55"/>
        <v>74.052000000000007</v>
      </c>
      <c r="T193" s="19">
        <f t="shared" si="55"/>
        <v>98.736000000000004</v>
      </c>
      <c r="U193" s="19">
        <f t="shared" si="55"/>
        <v>123.42</v>
      </c>
      <c r="V193" s="19">
        <f t="shared" si="55"/>
        <v>148.10400000000001</v>
      </c>
      <c r="W193" s="19">
        <f t="shared" si="55"/>
        <v>172.78800000000001</v>
      </c>
      <c r="X193" s="19">
        <f t="shared" si="55"/>
        <v>197.47200000000001</v>
      </c>
      <c r="Y193" s="19">
        <f t="shared" si="55"/>
        <v>222.15600000000001</v>
      </c>
      <c r="Z193" s="19">
        <f t="shared" si="55"/>
        <v>246.84</v>
      </c>
      <c r="AA193" s="19">
        <f t="shared" si="55"/>
        <v>271.524</v>
      </c>
      <c r="AB193" s="19">
        <f t="shared" si="55"/>
        <v>296.20800000000003</v>
      </c>
      <c r="AC193" s="19">
        <f t="shared" si="55"/>
        <v>320.892</v>
      </c>
      <c r="AD193" s="19">
        <f t="shared" si="55"/>
        <v>345.57600000000002</v>
      </c>
      <c r="AE193" s="19">
        <f t="shared" si="55"/>
        <v>370.26</v>
      </c>
    </row>
    <row r="194" spans="1:35" customFormat="1" ht="14.25" x14ac:dyDescent="0.45">
      <c r="B194" s="14" t="s">
        <v>1450</v>
      </c>
      <c r="C194" s="14" t="s">
        <v>117</v>
      </c>
      <c r="D194" s="15" t="s">
        <v>2229</v>
      </c>
      <c r="E194" s="16" t="s">
        <v>2194</v>
      </c>
      <c r="F194" s="14" t="s">
        <v>2223</v>
      </c>
      <c r="G194" s="17"/>
      <c r="H194" s="128" t="str">
        <f>Settings!$B$3&amp;".mit.ccnet.frt.ure.2"</f>
        <v>egy.mit.ccnet.frt.ure.2</v>
      </c>
      <c r="K194" s="18"/>
      <c r="L194" s="19">
        <f t="shared" ref="L194:AE194" si="56">L$164-L$184</f>
        <v>0</v>
      </c>
      <c r="M194" s="19">
        <f t="shared" si="56"/>
        <v>0</v>
      </c>
      <c r="N194" s="19">
        <f t="shared" si="56"/>
        <v>0</v>
      </c>
      <c r="O194" s="19">
        <f t="shared" si="56"/>
        <v>0</v>
      </c>
      <c r="P194" s="19">
        <f t="shared" si="56"/>
        <v>0</v>
      </c>
      <c r="Q194" s="19">
        <f t="shared" si="56"/>
        <v>1.4024999999999999</v>
      </c>
      <c r="R194" s="19">
        <f t="shared" si="56"/>
        <v>2.8049999999999997</v>
      </c>
      <c r="S194" s="19">
        <f t="shared" si="56"/>
        <v>4.2074999999999996</v>
      </c>
      <c r="T194" s="19">
        <f t="shared" si="56"/>
        <v>5.6099999999999994</v>
      </c>
      <c r="U194" s="19">
        <f t="shared" si="56"/>
        <v>7.0124999999999993</v>
      </c>
      <c r="V194" s="19">
        <f t="shared" si="56"/>
        <v>8.4149999999999991</v>
      </c>
      <c r="W194" s="19">
        <f t="shared" si="56"/>
        <v>9.817499999999999</v>
      </c>
      <c r="X194" s="19">
        <f t="shared" si="56"/>
        <v>11.219999999999999</v>
      </c>
      <c r="Y194" s="19">
        <f t="shared" si="56"/>
        <v>12.622499999999999</v>
      </c>
      <c r="Z194" s="19">
        <f t="shared" si="56"/>
        <v>14.024999999999999</v>
      </c>
      <c r="AA194" s="19">
        <f t="shared" si="56"/>
        <v>15.427499999999998</v>
      </c>
      <c r="AB194" s="19">
        <f t="shared" si="56"/>
        <v>16.829999999999998</v>
      </c>
      <c r="AC194" s="19">
        <f t="shared" si="56"/>
        <v>18.232499999999998</v>
      </c>
      <c r="AD194" s="19">
        <f t="shared" si="56"/>
        <v>19.634999999999998</v>
      </c>
      <c r="AE194" s="19">
        <f t="shared" si="56"/>
        <v>21.037499999999998</v>
      </c>
    </row>
    <row r="195" spans="1:35" customFormat="1" ht="14.25" x14ac:dyDescent="0.45">
      <c r="B195" s="14" t="s">
        <v>1453</v>
      </c>
      <c r="C195" s="14" t="s">
        <v>117</v>
      </c>
      <c r="D195" s="15" t="s">
        <v>2230</v>
      </c>
      <c r="E195" s="16" t="s">
        <v>2194</v>
      </c>
      <c r="F195" s="14" t="s">
        <v>2223</v>
      </c>
      <c r="G195" s="17"/>
      <c r="H195" s="128" t="str">
        <f>Settings!$B$3&amp;".mit.ccnet.frt.nit.2"</f>
        <v>egy.mit.ccnet.frt.nit.2</v>
      </c>
      <c r="K195" s="18"/>
      <c r="L195" s="19">
        <f t="shared" ref="L195:AE195" si="57">L$165-L$185</f>
        <v>0</v>
      </c>
      <c r="M195" s="19">
        <f t="shared" si="57"/>
        <v>0</v>
      </c>
      <c r="N195" s="19">
        <f t="shared" si="57"/>
        <v>0</v>
      </c>
      <c r="O195" s="19">
        <f t="shared" si="57"/>
        <v>0</v>
      </c>
      <c r="P195" s="19">
        <f t="shared" si="57"/>
        <v>0</v>
      </c>
      <c r="Q195" s="19">
        <f t="shared" si="57"/>
        <v>1.4024999999999999</v>
      </c>
      <c r="R195" s="19">
        <f t="shared" si="57"/>
        <v>2.8049999999999997</v>
      </c>
      <c r="S195" s="19">
        <f t="shared" si="57"/>
        <v>4.2074999999999996</v>
      </c>
      <c r="T195" s="19">
        <f t="shared" si="57"/>
        <v>5.6099999999999994</v>
      </c>
      <c r="U195" s="19">
        <f t="shared" si="57"/>
        <v>7.0124999999999993</v>
      </c>
      <c r="V195" s="19">
        <f t="shared" si="57"/>
        <v>8.4149999999999991</v>
      </c>
      <c r="W195" s="19">
        <f t="shared" si="57"/>
        <v>9.817499999999999</v>
      </c>
      <c r="X195" s="19">
        <f t="shared" si="57"/>
        <v>11.219999999999999</v>
      </c>
      <c r="Y195" s="19">
        <f t="shared" si="57"/>
        <v>12.622499999999999</v>
      </c>
      <c r="Z195" s="19">
        <f t="shared" si="57"/>
        <v>14.024999999999999</v>
      </c>
      <c r="AA195" s="19">
        <f t="shared" si="57"/>
        <v>15.427499999999998</v>
      </c>
      <c r="AB195" s="19">
        <f t="shared" si="57"/>
        <v>16.829999999999998</v>
      </c>
      <c r="AC195" s="19">
        <f t="shared" si="57"/>
        <v>18.232499999999998</v>
      </c>
      <c r="AD195" s="19">
        <f t="shared" si="57"/>
        <v>19.634999999999998</v>
      </c>
      <c r="AE195" s="19">
        <f t="shared" si="57"/>
        <v>21.037499999999998</v>
      </c>
    </row>
    <row r="196" spans="1:35" customFormat="1" ht="14.25" x14ac:dyDescent="0.45">
      <c r="B196" s="14" t="s">
        <v>1456</v>
      </c>
      <c r="C196" s="14" t="s">
        <v>115</v>
      </c>
      <c r="D196" s="15" t="s">
        <v>2231</v>
      </c>
      <c r="E196" s="16" t="s">
        <v>2194</v>
      </c>
      <c r="F196" s="14" t="s">
        <v>2223</v>
      </c>
      <c r="G196" s="17"/>
      <c r="H196" s="128" t="str">
        <f>Settings!$B$3&amp;".mit.ccnet.alu.prp.2"</f>
        <v>egy.mit.ccnet.alu.prp.2</v>
      </c>
      <c r="K196" s="18"/>
      <c r="L196" s="19">
        <f t="shared" ref="L196:AE196" si="58">L$166-L$186</f>
        <v>0</v>
      </c>
      <c r="M196" s="19">
        <f t="shared" si="58"/>
        <v>0</v>
      </c>
      <c r="N196" s="19">
        <f t="shared" si="58"/>
        <v>0</v>
      </c>
      <c r="O196" s="19">
        <f t="shared" si="58"/>
        <v>0</v>
      </c>
      <c r="P196" s="19">
        <f t="shared" si="58"/>
        <v>0</v>
      </c>
      <c r="Q196" s="19">
        <f t="shared" si="58"/>
        <v>1.5427500000000001</v>
      </c>
      <c r="R196" s="19">
        <f t="shared" si="58"/>
        <v>3.0855000000000001</v>
      </c>
      <c r="S196" s="19">
        <f t="shared" si="58"/>
        <v>4.6282500000000004</v>
      </c>
      <c r="T196" s="19">
        <f t="shared" si="58"/>
        <v>6.1710000000000003</v>
      </c>
      <c r="U196" s="19">
        <f t="shared" si="58"/>
        <v>7.7137500000000001</v>
      </c>
      <c r="V196" s="19">
        <f t="shared" si="58"/>
        <v>9.2565000000000008</v>
      </c>
      <c r="W196" s="19">
        <f t="shared" si="58"/>
        <v>10.799250000000001</v>
      </c>
      <c r="X196" s="19">
        <f t="shared" si="58"/>
        <v>12.342000000000001</v>
      </c>
      <c r="Y196" s="19">
        <f t="shared" si="58"/>
        <v>13.88475</v>
      </c>
      <c r="Z196" s="19">
        <f t="shared" si="58"/>
        <v>15.4275</v>
      </c>
      <c r="AA196" s="19">
        <f t="shared" si="58"/>
        <v>16.97025</v>
      </c>
      <c r="AB196" s="19">
        <f t="shared" si="58"/>
        <v>18.513000000000002</v>
      </c>
      <c r="AC196" s="19">
        <f t="shared" si="58"/>
        <v>20.05575</v>
      </c>
      <c r="AD196" s="19">
        <f t="shared" si="58"/>
        <v>21.598500000000001</v>
      </c>
      <c r="AE196" s="19">
        <f t="shared" si="58"/>
        <v>23.141249999999999</v>
      </c>
    </row>
    <row r="198" spans="1:35" customFormat="1" ht="14.25" x14ac:dyDescent="0.45">
      <c r="A198" s="11"/>
      <c r="B198" s="6"/>
      <c r="C198" s="7" t="s">
        <v>2232</v>
      </c>
      <c r="D198" s="6" t="s">
        <v>1488</v>
      </c>
      <c r="E198" s="7" t="s">
        <v>35</v>
      </c>
      <c r="F198" s="7" t="s">
        <v>45</v>
      </c>
      <c r="G198" s="7" t="s">
        <v>37</v>
      </c>
      <c r="H198" s="12" t="s">
        <v>38</v>
      </c>
      <c r="I198" s="6" t="s">
        <v>39</v>
      </c>
      <c r="J198" s="48">
        <v>2</v>
      </c>
      <c r="K198" s="6">
        <v>2021</v>
      </c>
      <c r="L198" s="46">
        <v>2022</v>
      </c>
      <c r="M198" s="6">
        <v>2023</v>
      </c>
      <c r="N198" s="6">
        <v>2024</v>
      </c>
      <c r="O198" s="6">
        <v>2025</v>
      </c>
      <c r="P198" s="6">
        <v>2026</v>
      </c>
      <c r="Q198" s="6">
        <v>2027</v>
      </c>
      <c r="R198" s="6">
        <v>2028</v>
      </c>
      <c r="S198" s="6">
        <v>2029</v>
      </c>
      <c r="T198" s="6">
        <v>2030</v>
      </c>
      <c r="U198" s="6">
        <v>2031</v>
      </c>
      <c r="V198" s="6">
        <v>2032</v>
      </c>
      <c r="W198" s="6">
        <v>2033</v>
      </c>
      <c r="X198" s="6">
        <v>2034</v>
      </c>
      <c r="Y198" s="6">
        <v>2035</v>
      </c>
      <c r="Z198" s="6">
        <v>2036</v>
      </c>
      <c r="AA198" s="6">
        <v>2037</v>
      </c>
      <c r="AB198" s="6">
        <v>2038</v>
      </c>
      <c r="AC198" s="6">
        <v>2039</v>
      </c>
      <c r="AD198" s="6">
        <v>2040</v>
      </c>
      <c r="AE198" s="6">
        <v>2041</v>
      </c>
      <c r="AF198" s="6">
        <v>2042</v>
      </c>
      <c r="AG198" s="6">
        <v>2043</v>
      </c>
      <c r="AH198" s="6">
        <v>2044</v>
      </c>
      <c r="AI198" s="6">
        <v>2045</v>
      </c>
    </row>
    <row r="199" spans="1:35" customFormat="1" ht="14.25" x14ac:dyDescent="0.45">
      <c r="B199" s="14" t="s">
        <v>1435</v>
      </c>
      <c r="C199" s="14" t="s">
        <v>43</v>
      </c>
      <c r="D199" s="15" t="s">
        <v>2233</v>
      </c>
      <c r="E199" s="16" t="s">
        <v>79</v>
      </c>
      <c r="F199" s="14" t="s">
        <v>2232</v>
      </c>
      <c r="G199" s="17"/>
      <c r="H199" s="128" t="str">
        <f>Settings!$B$3&amp;".mit.ppin.stl.drg.2"</f>
        <v>egy.mit.ppin.stl.drg.2</v>
      </c>
      <c r="I199" t="s">
        <v>2234</v>
      </c>
      <c r="K199" s="18"/>
      <c r="L199" s="19">
        <f>IF(Mitigation_Industry!L$687&lt;=0,0,L$189/Mitigation_Industry!L$687)</f>
        <v>0</v>
      </c>
      <c r="M199" s="19">
        <f>IF(Mitigation_Industry!M$687&lt;=0,0,M$189/Mitigation_Industry!M$687)</f>
        <v>0</v>
      </c>
      <c r="N199" s="19">
        <f>IF(Mitigation_Industry!N$687&lt;=0,0,N$189/Mitigation_Industry!N$687)</f>
        <v>0</v>
      </c>
      <c r="O199" s="19">
        <f>IF(Mitigation_Industry!O$687&lt;=0,0,O$189/Mitigation_Industry!O$687)</f>
        <v>0</v>
      </c>
      <c r="P199" s="19">
        <f>IF(Mitigation_Industry!P$687&lt;=0,0,P$189/Mitigation_Industry!P$687)</f>
        <v>0</v>
      </c>
      <c r="Q199" s="19">
        <f>IF(Mitigation_Industry!Q$687&lt;=0,0,Q$189/Mitigation_Industry!Q$687)</f>
        <v>9.5165128333333342E-3</v>
      </c>
      <c r="R199" s="19">
        <f>IF(Mitigation_Industry!R$687&lt;=0,0,R$189/Mitigation_Industry!R$687)</f>
        <v>1.9033025666666668E-2</v>
      </c>
      <c r="S199" s="19">
        <f>IF(Mitigation_Industry!S$687&lt;=0,0,S$189/Mitigation_Industry!S$687)</f>
        <v>2.8549538499999996E-2</v>
      </c>
      <c r="T199" s="19">
        <f>IF(Mitigation_Industry!T$687&lt;=0,0,T$189/Mitigation_Industry!T$687)</f>
        <v>3.8066051333333337E-2</v>
      </c>
      <c r="U199" s="19">
        <f>IF(Mitigation_Industry!U$687&lt;=0,0,U$189/Mitigation_Industry!U$687)</f>
        <v>4.7582564166666667E-2</v>
      </c>
      <c r="V199" s="19">
        <f>IF(Mitigation_Industry!V$687&lt;=0,0,V$189/Mitigation_Industry!V$687)</f>
        <v>5.7099076999999991E-2</v>
      </c>
      <c r="W199" s="19">
        <f>IF(Mitigation_Industry!W$687&lt;=0,0,W$189/Mitigation_Industry!W$687)</f>
        <v>6.6615589833333336E-2</v>
      </c>
      <c r="X199" s="19">
        <f>IF(Mitigation_Industry!X$687&lt;=0,0,X$189/Mitigation_Industry!X$687)</f>
        <v>7.6132102666666673E-2</v>
      </c>
      <c r="Y199" s="19">
        <f>IF(Mitigation_Industry!Y$687&lt;=0,0,Y$189/Mitigation_Industry!Y$687)</f>
        <v>8.5648615500000011E-2</v>
      </c>
      <c r="Z199" s="19">
        <f>IF(Mitigation_Industry!Z$687&lt;=0,0,Z$189/Mitigation_Industry!Z$687)</f>
        <v>9.5165128333333335E-2</v>
      </c>
      <c r="AA199" s="19">
        <f>IF(Mitigation_Industry!AA$687&lt;=0,0,AA$189/Mitigation_Industry!AA$687)</f>
        <v>0.10468164116666666</v>
      </c>
      <c r="AB199" s="19">
        <f>IF(Mitigation_Industry!AB$687&lt;=0,0,AB$189/Mitigation_Industry!AB$687)</f>
        <v>0.11419815399999998</v>
      </c>
      <c r="AC199" s="19">
        <f>IF(Mitigation_Industry!AC$687&lt;=0,0,AC$189/Mitigation_Industry!AC$687)</f>
        <v>0.12371466683333333</v>
      </c>
      <c r="AD199" s="19">
        <f>IF(Mitigation_Industry!AD$687&lt;=0,0,AD$189/Mitigation_Industry!AD$687)</f>
        <v>0.13323117966666667</v>
      </c>
      <c r="AE199" s="19">
        <f>IF(Mitigation_Industry!AE$687&lt;=0,0,AE$189/Mitigation_Industry!AE$687)</f>
        <v>0.1427476925</v>
      </c>
    </row>
    <row r="200" spans="1:35" customFormat="1" ht="14.25" x14ac:dyDescent="0.45">
      <c r="B200" s="14" t="s">
        <v>1438</v>
      </c>
      <c r="C200" s="14" t="s">
        <v>43</v>
      </c>
      <c r="D200" s="15" t="s">
        <v>2235</v>
      </c>
      <c r="E200" s="16" t="s">
        <v>79</v>
      </c>
      <c r="F200" s="14" t="s">
        <v>2232</v>
      </c>
      <c r="G200" s="17"/>
      <c r="H200" s="128" t="str">
        <f>Settings!$B$3&amp;".mit.ppin.stl.scr.2"</f>
        <v>egy.mit.ppin.stl.scr.2</v>
      </c>
      <c r="K200" s="18"/>
      <c r="L200" s="19">
        <f>IF(Mitigation_Industry!L$688&lt;=0,0,L$190/Mitigation_Industry!L$688)</f>
        <v>0</v>
      </c>
      <c r="M200" s="19">
        <f>IF(Mitigation_Industry!M$688&lt;=0,0,M$190/Mitigation_Industry!M$688)</f>
        <v>0</v>
      </c>
      <c r="N200" s="19">
        <f>IF(Mitigation_Industry!N$688&lt;=0,0,N$190/Mitigation_Industry!N$688)</f>
        <v>0</v>
      </c>
      <c r="O200" s="19">
        <f>IF(Mitigation_Industry!O$688&lt;=0,0,O$190/Mitigation_Industry!O$688)</f>
        <v>0</v>
      </c>
      <c r="P200" s="19">
        <f>IF(Mitigation_Industry!P$688&lt;=0,0,P$190/Mitigation_Industry!P$688)</f>
        <v>0</v>
      </c>
      <c r="Q200" s="19">
        <f>IF(Mitigation_Industry!Q$688&lt;=0,0,Q$190/Mitigation_Industry!Q$688)</f>
        <v>8.250000000000001E-4</v>
      </c>
      <c r="R200" s="19">
        <f>IF(Mitigation_Industry!R$688&lt;=0,0,R$190/Mitigation_Industry!R$688)</f>
        <v>1.6500000000000002E-3</v>
      </c>
      <c r="S200" s="19">
        <f>IF(Mitigation_Industry!S$688&lt;=0,0,S$190/Mitigation_Industry!S$688)</f>
        <v>2.4750000000000002E-3</v>
      </c>
      <c r="T200" s="19">
        <f>IF(Mitigation_Industry!T$688&lt;=0,0,T$190/Mitigation_Industry!T$688)</f>
        <v>3.3000000000000004E-3</v>
      </c>
      <c r="U200" s="19">
        <f>IF(Mitigation_Industry!U$688&lt;=0,0,U$190/Mitigation_Industry!U$688)</f>
        <v>4.1250000000000002E-3</v>
      </c>
      <c r="V200" s="19">
        <f>IF(Mitigation_Industry!V$688&lt;=0,0,V$190/Mitigation_Industry!V$688)</f>
        <v>4.9500000000000004E-3</v>
      </c>
      <c r="W200" s="19">
        <f>IF(Mitigation_Industry!W$688&lt;=0,0,W$190/Mitigation_Industry!W$688)</f>
        <v>5.7750000000000006E-3</v>
      </c>
      <c r="X200" s="19">
        <f>IF(Mitigation_Industry!X$688&lt;=0,0,X$190/Mitigation_Industry!X$688)</f>
        <v>6.6000000000000008E-3</v>
      </c>
      <c r="Y200" s="19">
        <f>IF(Mitigation_Industry!Y$688&lt;=0,0,Y$190/Mitigation_Industry!Y$688)</f>
        <v>7.4250000000000002E-3</v>
      </c>
      <c r="Z200" s="19">
        <f>IF(Mitigation_Industry!Z$688&lt;=0,0,Z$190/Mitigation_Industry!Z$688)</f>
        <v>8.2500000000000004E-3</v>
      </c>
      <c r="AA200" s="19">
        <f>IF(Mitigation_Industry!AA$688&lt;=0,0,AA$190/Mitigation_Industry!AA$688)</f>
        <v>9.0749999999999997E-3</v>
      </c>
      <c r="AB200" s="19">
        <f>IF(Mitigation_Industry!AB$688&lt;=0,0,AB$190/Mitigation_Industry!AB$688)</f>
        <v>9.9000000000000008E-3</v>
      </c>
      <c r="AC200" s="19">
        <f>IF(Mitigation_Industry!AC$688&lt;=0,0,AC$190/Mitigation_Industry!AC$688)</f>
        <v>1.0725E-2</v>
      </c>
      <c r="AD200" s="19">
        <f>IF(Mitigation_Industry!AD$688&lt;=0,0,AD$190/Mitigation_Industry!AD$688)</f>
        <v>1.1550000000000001E-2</v>
      </c>
      <c r="AE200" s="19">
        <f>IF(Mitigation_Industry!AE$688&lt;=0,0,AE$190/Mitigation_Industry!AE$688)</f>
        <v>1.2375000000000001E-2</v>
      </c>
    </row>
    <row r="201" spans="1:35" customFormat="1" ht="14.25" x14ac:dyDescent="0.45">
      <c r="B201" s="14" t="s">
        <v>1441</v>
      </c>
      <c r="C201" s="14" t="s">
        <v>43</v>
      </c>
      <c r="D201" s="15" t="s">
        <v>2236</v>
      </c>
      <c r="E201" s="16" t="s">
        <v>79</v>
      </c>
      <c r="F201" s="14" t="s">
        <v>2232</v>
      </c>
      <c r="G201" s="17"/>
      <c r="H201" s="128" t="str">
        <f>Settings!$B$3&amp;".mit.ppin.stl.bof.2"</f>
        <v>egy.mit.ppin.stl.bof.2</v>
      </c>
      <c r="K201" s="18"/>
      <c r="L201" s="19">
        <f>IF(Mitigation_Industry!L$689&lt;=0,0,L$191/Mitigation_Industry!L$689)</f>
        <v>0</v>
      </c>
      <c r="M201" s="19">
        <f>IF(Mitigation_Industry!M$689&lt;=0,0,M$191/Mitigation_Industry!M$689)</f>
        <v>0</v>
      </c>
      <c r="N201" s="19">
        <f>IF(Mitigation_Industry!N$689&lt;=0,0,N$191/Mitigation_Industry!N$689)</f>
        <v>0</v>
      </c>
      <c r="O201" s="19">
        <f>IF(Mitigation_Industry!O$689&lt;=0,0,O$191/Mitigation_Industry!O$689)</f>
        <v>0</v>
      </c>
      <c r="P201" s="19">
        <f>IF(Mitigation_Industry!P$689&lt;=0,0,P$191/Mitigation_Industry!P$689)</f>
        <v>0</v>
      </c>
      <c r="Q201" s="19">
        <f>IF(Mitigation_Industry!Q$689&lt;=0,0,Q$191/Mitigation_Industry!Q$689)</f>
        <v>2.8729440927419352E-2</v>
      </c>
      <c r="R201" s="19">
        <f>IF(Mitigation_Industry!R$689&lt;=0,0,R$191/Mitigation_Industry!R$689)</f>
        <v>5.7458881854838703E-2</v>
      </c>
      <c r="S201" s="19">
        <f>IF(Mitigation_Industry!S$689&lt;=0,0,S$191/Mitigation_Industry!S$689)</f>
        <v>8.6188322782258048E-2</v>
      </c>
      <c r="T201" s="19">
        <f>IF(Mitigation_Industry!T$689&lt;=0,0,T$191/Mitigation_Industry!T$689)</f>
        <v>0.11491776370967741</v>
      </c>
      <c r="U201" s="19">
        <f>IF(Mitigation_Industry!U$689&lt;=0,0,U$191/Mitigation_Industry!U$689)</f>
        <v>0.14364720463709676</v>
      </c>
      <c r="V201" s="19">
        <f>IF(Mitigation_Industry!V$689&lt;=0,0,V$191/Mitigation_Industry!V$689)</f>
        <v>0.1723766455645161</v>
      </c>
      <c r="W201" s="19">
        <f>IF(Mitigation_Industry!W$689&lt;=0,0,W$191/Mitigation_Industry!W$689)</f>
        <v>0.20110608649193545</v>
      </c>
      <c r="X201" s="19">
        <f>IF(Mitigation_Industry!X$689&lt;=0,0,X$191/Mitigation_Industry!X$689)</f>
        <v>0.22983552741935481</v>
      </c>
      <c r="Y201" s="19">
        <f>IF(Mitigation_Industry!Y$689&lt;=0,0,Y$191/Mitigation_Industry!Y$689)</f>
        <v>0.25856496834677417</v>
      </c>
      <c r="Z201" s="19">
        <f>IF(Mitigation_Industry!Z$689&lt;=0,0,Z$191/Mitigation_Industry!Z$689)</f>
        <v>0.28729440927419353</v>
      </c>
      <c r="AA201" s="19">
        <f>IF(Mitigation_Industry!AA$689&lt;=0,0,AA$191/Mitigation_Industry!AA$689)</f>
        <v>0.31602385020161289</v>
      </c>
      <c r="AB201" s="19">
        <f>IF(Mitigation_Industry!AB$689&lt;=0,0,AB$191/Mitigation_Industry!AB$689)</f>
        <v>0.34475329112903219</v>
      </c>
      <c r="AC201" s="19">
        <f>IF(Mitigation_Industry!AC$689&lt;=0,0,AC$191/Mitigation_Industry!AC$689)</f>
        <v>0.37348273205645161</v>
      </c>
      <c r="AD201" s="19">
        <f>IF(Mitigation_Industry!AD$689&lt;=0,0,AD$191/Mitigation_Industry!AD$689)</f>
        <v>0.40221217298387091</v>
      </c>
      <c r="AE201" s="19">
        <f>IF(Mitigation_Industry!AE$689&lt;=0,0,AE$191/Mitigation_Industry!AE$689)</f>
        <v>0.43094161391129021</v>
      </c>
    </row>
    <row r="202" spans="1:35" customFormat="1" ht="14.25" x14ac:dyDescent="0.45">
      <c r="B202" s="14" t="s">
        <v>1444</v>
      </c>
      <c r="C202" s="14" t="s">
        <v>113</v>
      </c>
      <c r="D202" s="15" t="s">
        <v>2237</v>
      </c>
      <c r="E202" s="16" t="s">
        <v>79</v>
      </c>
      <c r="F202" s="14" t="s">
        <v>2232</v>
      </c>
      <c r="G202" s="17"/>
      <c r="H202" s="128" t="str">
        <f>Settings!$B$3&amp;".mit.ppin.cmt.dry.2"</f>
        <v>egy.mit.ppin.cmt.dry.2</v>
      </c>
      <c r="K202" s="18"/>
      <c r="L202" s="19">
        <f>IF(Mitigation_Industry!L$690&lt;=0,0,L$192/Mitigation_Industry!L$690)</f>
        <v>0</v>
      </c>
      <c r="M202" s="19">
        <f>IF(Mitigation_Industry!M$690&lt;=0,0,M$192/Mitigation_Industry!M$690)</f>
        <v>0</v>
      </c>
      <c r="N202" s="19">
        <f>IF(Mitigation_Industry!N$690&lt;=0,0,N$192/Mitigation_Industry!N$690)</f>
        <v>0</v>
      </c>
      <c r="O202" s="19">
        <f>IF(Mitigation_Industry!O$690&lt;=0,0,O$192/Mitigation_Industry!O$690)</f>
        <v>0</v>
      </c>
      <c r="P202" s="19">
        <f>IF(Mitigation_Industry!P$690&lt;=0,0,P$192/Mitigation_Industry!P$690)</f>
        <v>0</v>
      </c>
      <c r="Q202" s="19">
        <f>IF(Mitigation_Industry!Q$690&lt;=0,0,Q$192/Mitigation_Industry!Q$690)</f>
        <v>3.5632784090909086E-2</v>
      </c>
      <c r="R202" s="19">
        <f>IF(Mitigation_Industry!R$690&lt;=0,0,R$192/Mitigation_Industry!R$690)</f>
        <v>7.1265568181818173E-2</v>
      </c>
      <c r="S202" s="19">
        <f>IF(Mitigation_Industry!S$690&lt;=0,0,S$192/Mitigation_Industry!S$690)</f>
        <v>0.10689835227272727</v>
      </c>
      <c r="T202" s="19">
        <f>IF(Mitigation_Industry!T$690&lt;=0,0,T$192/Mitigation_Industry!T$690)</f>
        <v>0.14253113636363635</v>
      </c>
      <c r="U202" s="19">
        <f>IF(Mitigation_Industry!U$690&lt;=0,0,U$192/Mitigation_Industry!U$690)</f>
        <v>0.17816392045454543</v>
      </c>
      <c r="V202" s="19">
        <f>IF(Mitigation_Industry!V$690&lt;=0,0,V$192/Mitigation_Industry!V$690)</f>
        <v>0.21379670454545455</v>
      </c>
      <c r="W202" s="19">
        <f>IF(Mitigation_Industry!W$690&lt;=0,0,W$192/Mitigation_Industry!W$690)</f>
        <v>0.24942948863636361</v>
      </c>
      <c r="X202" s="19">
        <f>IF(Mitigation_Industry!X$690&lt;=0,0,X$192/Mitigation_Industry!X$690)</f>
        <v>0.28506227272727269</v>
      </c>
      <c r="Y202" s="19">
        <f>IF(Mitigation_Industry!Y$690&lt;=0,0,Y$192/Mitigation_Industry!Y$690)</f>
        <v>0.32069505681818178</v>
      </c>
      <c r="Z202" s="19">
        <f>IF(Mitigation_Industry!Z$690&lt;=0,0,Z$192/Mitigation_Industry!Z$690)</f>
        <v>0.35632784090909086</v>
      </c>
      <c r="AA202" s="19">
        <f>IF(Mitigation_Industry!AA$690&lt;=0,0,AA$192/Mitigation_Industry!AA$690)</f>
        <v>0.39196062499999995</v>
      </c>
      <c r="AB202" s="19">
        <f>IF(Mitigation_Industry!AB$690&lt;=0,0,AB$192/Mitigation_Industry!AB$690)</f>
        <v>0.42759340909090909</v>
      </c>
      <c r="AC202" s="19">
        <f>IF(Mitigation_Industry!AC$690&lt;=0,0,AC$192/Mitigation_Industry!AC$690)</f>
        <v>0.46322619318181812</v>
      </c>
      <c r="AD202" s="19">
        <f>IF(Mitigation_Industry!AD$690&lt;=0,0,AD$192/Mitigation_Industry!AD$690)</f>
        <v>0.49885897727272721</v>
      </c>
      <c r="AE202" s="19">
        <f>IF(Mitigation_Industry!AE$690&lt;=0,0,AE$192/Mitigation_Industry!AE$690)</f>
        <v>0.5344917613636363</v>
      </c>
    </row>
    <row r="203" spans="1:35" customFormat="1" ht="14.25" x14ac:dyDescent="0.45">
      <c r="B203" s="14" t="s">
        <v>1447</v>
      </c>
      <c r="C203" s="14" t="s">
        <v>117</v>
      </c>
      <c r="D203" s="15" t="s">
        <v>2238</v>
      </c>
      <c r="E203" s="16" t="s">
        <v>79</v>
      </c>
      <c r="F203" s="14" t="s">
        <v>2232</v>
      </c>
      <c r="G203" s="17"/>
      <c r="H203" s="128" t="str">
        <f>Settings!$B$3&amp;".mit.ppin.frt.amc.2"</f>
        <v>egy.mit.ppin.frt.amc.2</v>
      </c>
      <c r="K203" s="18"/>
      <c r="L203" s="19">
        <f>IF(Mitigation_Industry!L$691&lt;=0,0,L$193/Mitigation_Industry!L$691)</f>
        <v>0</v>
      </c>
      <c r="M203" s="19">
        <f>IF(Mitigation_Industry!M$691&lt;=0,0,M$193/Mitigation_Industry!M$691)</f>
        <v>0</v>
      </c>
      <c r="N203" s="19">
        <f>IF(Mitigation_Industry!N$691&lt;=0,0,N$193/Mitigation_Industry!N$691)</f>
        <v>0</v>
      </c>
      <c r="O203" s="19">
        <f>IF(Mitigation_Industry!O$691&lt;=0,0,O$193/Mitigation_Industry!O$691)</f>
        <v>0</v>
      </c>
      <c r="P203" s="19">
        <f>IF(Mitigation_Industry!P$691&lt;=0,0,P$193/Mitigation_Industry!P$691)</f>
        <v>0</v>
      </c>
      <c r="Q203" s="19">
        <f>IF(Mitigation_Industry!Q$691&lt;=0,0,Q$193/Mitigation_Industry!Q$691)</f>
        <v>5.4853333333333337E-2</v>
      </c>
      <c r="R203" s="19">
        <f>IF(Mitigation_Industry!R$691&lt;=0,0,R$193/Mitigation_Industry!R$691)</f>
        <v>0.10970666666666667</v>
      </c>
      <c r="S203" s="19">
        <f>IF(Mitigation_Industry!S$691&lt;=0,0,S$193/Mitigation_Industry!S$691)</f>
        <v>0.16456000000000001</v>
      </c>
      <c r="T203" s="19">
        <f>IF(Mitigation_Industry!T$691&lt;=0,0,T$193/Mitigation_Industry!T$691)</f>
        <v>0.21941333333333335</v>
      </c>
      <c r="U203" s="19">
        <f>IF(Mitigation_Industry!U$691&lt;=0,0,U$193/Mitigation_Industry!U$691)</f>
        <v>0.27426666666666666</v>
      </c>
      <c r="V203" s="19">
        <f>IF(Mitigation_Industry!V$691&lt;=0,0,V$193/Mitigation_Industry!V$691)</f>
        <v>0.32912000000000002</v>
      </c>
      <c r="W203" s="19">
        <f>IF(Mitigation_Industry!W$691&lt;=0,0,W$193/Mitigation_Industry!W$691)</f>
        <v>0.38397333333333333</v>
      </c>
      <c r="X203" s="19">
        <f>IF(Mitigation_Industry!X$691&lt;=0,0,X$193/Mitigation_Industry!X$691)</f>
        <v>0.4388266666666667</v>
      </c>
      <c r="Y203" s="19">
        <f>IF(Mitigation_Industry!Y$691&lt;=0,0,Y$193/Mitigation_Industry!Y$691)</f>
        <v>0.49368000000000001</v>
      </c>
      <c r="Z203" s="19">
        <f>IF(Mitigation_Industry!Z$691&lt;=0,0,Z$193/Mitigation_Industry!Z$691)</f>
        <v>0.54853333333333332</v>
      </c>
      <c r="AA203" s="19">
        <f>IF(Mitigation_Industry!AA$691&lt;=0,0,AA$193/Mitigation_Industry!AA$691)</f>
        <v>0.60338666666666663</v>
      </c>
      <c r="AB203" s="19">
        <f>IF(Mitigation_Industry!AB$691&lt;=0,0,AB$193/Mitigation_Industry!AB$691)</f>
        <v>0.65824000000000005</v>
      </c>
      <c r="AC203" s="19">
        <f>IF(Mitigation_Industry!AC$691&lt;=0,0,AC$193/Mitigation_Industry!AC$691)</f>
        <v>0.71309333333333336</v>
      </c>
      <c r="AD203" s="19">
        <f>IF(Mitigation_Industry!AD$691&lt;=0,0,AD$193/Mitigation_Industry!AD$691)</f>
        <v>0.76794666666666667</v>
      </c>
      <c r="AE203" s="19">
        <f>IF(Mitigation_Industry!AE$691&lt;=0,0,AE$193/Mitigation_Industry!AE$691)</f>
        <v>0.82279999999999998</v>
      </c>
    </row>
    <row r="204" spans="1:35" customFormat="1" ht="14.25" x14ac:dyDescent="0.45">
      <c r="B204" s="14" t="s">
        <v>1450</v>
      </c>
      <c r="C204" s="14" t="s">
        <v>117</v>
      </c>
      <c r="D204" s="15" t="s">
        <v>2239</v>
      </c>
      <c r="E204" s="16" t="s">
        <v>79</v>
      </c>
      <c r="F204" s="14" t="s">
        <v>2232</v>
      </c>
      <c r="G204" s="17"/>
      <c r="H204" s="128" t="str">
        <f>Settings!$B$3&amp;".mit.ppin.frt.ure.2"</f>
        <v>egy.mit.ppin.frt.ure.2</v>
      </c>
      <c r="K204" s="18"/>
      <c r="L204" s="19">
        <f>IF(Mitigation_Industry!L$692&lt;=0,0,L$194/Mitigation_Industry!L$692)</f>
        <v>0</v>
      </c>
      <c r="M204" s="19">
        <f>IF(Mitigation_Industry!M$692&lt;=0,0,M$194/Mitigation_Industry!M$692)</f>
        <v>0</v>
      </c>
      <c r="N204" s="19">
        <f>IF(Mitigation_Industry!N$692&lt;=0,0,N$194/Mitigation_Industry!N$692)</f>
        <v>0</v>
      </c>
      <c r="O204" s="19">
        <f>IF(Mitigation_Industry!O$692&lt;=0,0,O$194/Mitigation_Industry!O$692)</f>
        <v>0</v>
      </c>
      <c r="P204" s="19">
        <f>IF(Mitigation_Industry!P$692&lt;=0,0,P$194/Mitigation_Industry!P$692)</f>
        <v>0</v>
      </c>
      <c r="Q204" s="19">
        <f>IF(Mitigation_Industry!Q$692&lt;=0,0,Q$194/Mitigation_Industry!Q$692)</f>
        <v>3.6907894736842102E-3</v>
      </c>
      <c r="R204" s="19">
        <f>IF(Mitigation_Industry!R$692&lt;=0,0,R$194/Mitigation_Industry!R$692)</f>
        <v>7.3815789473684204E-3</v>
      </c>
      <c r="S204" s="19">
        <f>IF(Mitigation_Industry!S$692&lt;=0,0,S$194/Mitigation_Industry!S$692)</f>
        <v>1.1072368421052631E-2</v>
      </c>
      <c r="T204" s="19">
        <f>IF(Mitigation_Industry!T$692&lt;=0,0,T$194/Mitigation_Industry!T$692)</f>
        <v>1.4763157894736841E-2</v>
      </c>
      <c r="U204" s="19">
        <f>IF(Mitigation_Industry!U$692&lt;=0,0,U$194/Mitigation_Industry!U$692)</f>
        <v>1.8453947368421052E-2</v>
      </c>
      <c r="V204" s="19">
        <f>IF(Mitigation_Industry!V$692&lt;=0,0,V$194/Mitigation_Industry!V$692)</f>
        <v>2.2144736842105262E-2</v>
      </c>
      <c r="W204" s="19">
        <f>IF(Mitigation_Industry!W$692&lt;=0,0,W$194/Mitigation_Industry!W$692)</f>
        <v>2.5835526315789472E-2</v>
      </c>
      <c r="X204" s="19">
        <f>IF(Mitigation_Industry!X$692&lt;=0,0,X$194/Mitigation_Industry!X$692)</f>
        <v>2.9526315789473682E-2</v>
      </c>
      <c r="Y204" s="19">
        <f>IF(Mitigation_Industry!Y$692&lt;=0,0,Y$194/Mitigation_Industry!Y$692)</f>
        <v>3.3217105263157888E-2</v>
      </c>
      <c r="Z204" s="19">
        <f>IF(Mitigation_Industry!Z$692&lt;=0,0,Z$194/Mitigation_Industry!Z$692)</f>
        <v>3.6907894736842105E-2</v>
      </c>
      <c r="AA204" s="19">
        <f>IF(Mitigation_Industry!AA$692&lt;=0,0,AA$194/Mitigation_Industry!AA$692)</f>
        <v>4.0598684210526315E-2</v>
      </c>
      <c r="AB204" s="19">
        <f>IF(Mitigation_Industry!AB$692&lt;=0,0,AB$194/Mitigation_Industry!AB$692)</f>
        <v>4.4289473684210524E-2</v>
      </c>
      <c r="AC204" s="19">
        <f>IF(Mitigation_Industry!AC$692&lt;=0,0,AC$194/Mitigation_Industry!AC$692)</f>
        <v>4.7980263157894734E-2</v>
      </c>
      <c r="AD204" s="19">
        <f>IF(Mitigation_Industry!AD$692&lt;=0,0,AD$194/Mitigation_Industry!AD$692)</f>
        <v>5.1671052631578944E-2</v>
      </c>
      <c r="AE204" s="19">
        <f>IF(Mitigation_Industry!AE$692&lt;=0,0,AE$194/Mitigation_Industry!AE$692)</f>
        <v>5.5361842105263154E-2</v>
      </c>
    </row>
    <row r="205" spans="1:35" customFormat="1" ht="14.25" x14ac:dyDescent="0.45">
      <c r="B205" s="14" t="s">
        <v>1453</v>
      </c>
      <c r="C205" s="14" t="s">
        <v>117</v>
      </c>
      <c r="D205" s="15" t="s">
        <v>2240</v>
      </c>
      <c r="E205" s="16" t="s">
        <v>79</v>
      </c>
      <c r="F205" s="14" t="s">
        <v>2232</v>
      </c>
      <c r="G205" s="17"/>
      <c r="H205" s="128" t="str">
        <f>Settings!$B$3&amp;".mit.ppin.frt.nit.2"</f>
        <v>egy.mit.ppin.frt.nit.2</v>
      </c>
      <c r="K205" s="18"/>
      <c r="L205" s="19">
        <f>IF(Mitigation_Industry!L$693&lt;=0,0,L$195/Mitigation_Industry!L$693)</f>
        <v>0</v>
      </c>
      <c r="M205" s="19">
        <f>IF(Mitigation_Industry!M$693&lt;=0,0,M$195/Mitigation_Industry!M$693)</f>
        <v>0</v>
      </c>
      <c r="N205" s="19">
        <f>IF(Mitigation_Industry!N$693&lt;=0,0,N$195/Mitigation_Industry!N$693)</f>
        <v>0</v>
      </c>
      <c r="O205" s="19">
        <f>IF(Mitigation_Industry!O$693&lt;=0,0,O$195/Mitigation_Industry!O$693)</f>
        <v>0</v>
      </c>
      <c r="P205" s="19">
        <f>IF(Mitigation_Industry!P$693&lt;=0,0,P$195/Mitigation_Industry!P$693)</f>
        <v>0</v>
      </c>
      <c r="Q205" s="19">
        <f>IF(Mitigation_Industry!Q$693&lt;=0,0,Q$195/Mitigation_Industry!Q$693)</f>
        <v>4.3828124999999996E-3</v>
      </c>
      <c r="R205" s="19">
        <f>IF(Mitigation_Industry!R$693&lt;=0,0,R$195/Mitigation_Industry!R$693)</f>
        <v>8.7656249999999991E-3</v>
      </c>
      <c r="S205" s="19">
        <f>IF(Mitigation_Industry!S$693&lt;=0,0,S$195/Mitigation_Industry!S$693)</f>
        <v>1.3148437499999999E-2</v>
      </c>
      <c r="T205" s="19">
        <f>IF(Mitigation_Industry!T$693&lt;=0,0,T$195/Mitigation_Industry!T$693)</f>
        <v>1.7531249999999998E-2</v>
      </c>
      <c r="U205" s="19">
        <f>IF(Mitigation_Industry!U$693&lt;=0,0,U$195/Mitigation_Industry!U$693)</f>
        <v>2.1914062499999998E-2</v>
      </c>
      <c r="V205" s="19">
        <f>IF(Mitigation_Industry!V$693&lt;=0,0,V$195/Mitigation_Industry!V$693)</f>
        <v>2.6296874999999997E-2</v>
      </c>
      <c r="W205" s="19">
        <f>IF(Mitigation_Industry!W$693&lt;=0,0,W$195/Mitigation_Industry!W$693)</f>
        <v>3.0679687499999997E-2</v>
      </c>
      <c r="X205" s="19">
        <f>IF(Mitigation_Industry!X$693&lt;=0,0,X$195/Mitigation_Industry!X$693)</f>
        <v>3.5062499999999996E-2</v>
      </c>
      <c r="Y205" s="19">
        <f>IF(Mitigation_Industry!Y$693&lt;=0,0,Y$195/Mitigation_Industry!Y$693)</f>
        <v>3.9445312499999996E-2</v>
      </c>
      <c r="Z205" s="19">
        <f>IF(Mitigation_Industry!Z$693&lt;=0,0,Z$195/Mitigation_Industry!Z$693)</f>
        <v>4.3828124999999996E-2</v>
      </c>
      <c r="AA205" s="19">
        <f>IF(Mitigation_Industry!AA$693&lt;=0,0,AA$195/Mitigation_Industry!AA$693)</f>
        <v>4.8210937499999995E-2</v>
      </c>
      <c r="AB205" s="19">
        <f>IF(Mitigation_Industry!AB$693&lt;=0,0,AB$195/Mitigation_Industry!AB$693)</f>
        <v>5.2593749999999995E-2</v>
      </c>
      <c r="AC205" s="19">
        <f>IF(Mitigation_Industry!AC$693&lt;=0,0,AC$195/Mitigation_Industry!AC$693)</f>
        <v>5.6976562499999994E-2</v>
      </c>
      <c r="AD205" s="19">
        <f>IF(Mitigation_Industry!AD$693&lt;=0,0,AD$195/Mitigation_Industry!AD$693)</f>
        <v>6.1359374999999994E-2</v>
      </c>
      <c r="AE205" s="19">
        <f>IF(Mitigation_Industry!AE$693&lt;=0,0,AE$195/Mitigation_Industry!AE$693)</f>
        <v>6.5742187499999993E-2</v>
      </c>
    </row>
    <row r="206" spans="1:35" customFormat="1" ht="14.25" x14ac:dyDescent="0.45">
      <c r="B206" s="14" t="s">
        <v>1456</v>
      </c>
      <c r="C206" s="14" t="s">
        <v>115</v>
      </c>
      <c r="D206" s="15" t="s">
        <v>2241</v>
      </c>
      <c r="E206" s="16" t="s">
        <v>79</v>
      </c>
      <c r="F206" s="14" t="s">
        <v>2232</v>
      </c>
      <c r="G206" s="17"/>
      <c r="H206" s="128" t="str">
        <f>Settings!$B$3&amp;".mit.ppin.alu.prp.2"</f>
        <v>egy.mit.ppin.alu.prp.2</v>
      </c>
      <c r="K206" s="18"/>
      <c r="L206" s="19">
        <f>IF(Mitigation_Industry!L$694&lt;=0,0,L$196/Mitigation_Industry!L$694)</f>
        <v>0</v>
      </c>
      <c r="M206" s="19">
        <f>IF(Mitigation_Industry!M$694&lt;=0,0,M$196/Mitigation_Industry!M$694)</f>
        <v>0</v>
      </c>
      <c r="N206" s="19">
        <f>IF(Mitigation_Industry!N$694&lt;=0,0,N$196/Mitigation_Industry!N$694)</f>
        <v>0</v>
      </c>
      <c r="O206" s="19">
        <f>IF(Mitigation_Industry!O$694&lt;=0,0,O$196/Mitigation_Industry!O$694)</f>
        <v>0</v>
      </c>
      <c r="P206" s="19">
        <f>IF(Mitigation_Industry!P$694&lt;=0,0,P$196/Mitigation_Industry!P$694)</f>
        <v>0</v>
      </c>
      <c r="Q206" s="19">
        <f>IF(Mitigation_Industry!Q$694&lt;=0,0,Q$196/Mitigation_Industry!Q$694)</f>
        <v>6.4281250000000005E-4</v>
      </c>
      <c r="R206" s="19">
        <f>IF(Mitigation_Industry!R$694&lt;=0,0,R$196/Mitigation_Industry!R$694)</f>
        <v>1.2856250000000001E-3</v>
      </c>
      <c r="S206" s="19">
        <f>IF(Mitigation_Industry!S$694&lt;=0,0,S$196/Mitigation_Industry!S$694)</f>
        <v>1.9284375000000002E-3</v>
      </c>
      <c r="T206" s="19">
        <f>IF(Mitigation_Industry!T$694&lt;=0,0,T$196/Mitigation_Industry!T$694)</f>
        <v>2.5712500000000002E-3</v>
      </c>
      <c r="U206" s="19">
        <f>IF(Mitigation_Industry!U$694&lt;=0,0,U$196/Mitigation_Industry!U$694)</f>
        <v>3.2140624999999999E-3</v>
      </c>
      <c r="V206" s="19">
        <f>IF(Mitigation_Industry!V$694&lt;=0,0,V$196/Mitigation_Industry!V$694)</f>
        <v>3.8568750000000005E-3</v>
      </c>
      <c r="W206" s="19">
        <f>IF(Mitigation_Industry!W$694&lt;=0,0,W$196/Mitigation_Industry!W$694)</f>
        <v>4.4996875000000002E-3</v>
      </c>
      <c r="X206" s="19">
        <f>IF(Mitigation_Industry!X$694&lt;=0,0,X$196/Mitigation_Industry!X$694)</f>
        <v>5.1425000000000004E-3</v>
      </c>
      <c r="Y206" s="19">
        <f>IF(Mitigation_Industry!Y$694&lt;=0,0,Y$196/Mitigation_Industry!Y$694)</f>
        <v>5.7853125000000005E-3</v>
      </c>
      <c r="Z206" s="19">
        <f>IF(Mitigation_Industry!Z$694&lt;=0,0,Z$196/Mitigation_Industry!Z$694)</f>
        <v>6.4281249999999998E-3</v>
      </c>
      <c r="AA206" s="19">
        <f>IF(Mitigation_Industry!AA$694&lt;=0,0,AA$196/Mitigation_Industry!AA$694)</f>
        <v>7.0709375E-3</v>
      </c>
      <c r="AB206" s="19">
        <f>IF(Mitigation_Industry!AB$694&lt;=0,0,AB$196/Mitigation_Industry!AB$694)</f>
        <v>7.713750000000001E-3</v>
      </c>
      <c r="AC206" s="19">
        <f>IF(Mitigation_Industry!AC$694&lt;=0,0,AC$196/Mitigation_Industry!AC$694)</f>
        <v>8.3565624999999994E-3</v>
      </c>
      <c r="AD206" s="19">
        <f>IF(Mitigation_Industry!AD$694&lt;=0,0,AD$196/Mitigation_Industry!AD$694)</f>
        <v>8.9993750000000004E-3</v>
      </c>
      <c r="AE206" s="19">
        <f>IF(Mitigation_Industry!AE$694&lt;=0,0,AE$196/Mitigation_Industry!AE$694)</f>
        <v>9.6421874999999997E-3</v>
      </c>
    </row>
    <row r="208" spans="1:35" customFormat="1" ht="14.25" x14ac:dyDescent="0.45">
      <c r="A208" s="11"/>
      <c r="B208" s="6"/>
      <c r="C208" s="7" t="s">
        <v>2242</v>
      </c>
      <c r="D208" s="6" t="s">
        <v>1488</v>
      </c>
      <c r="E208" s="7" t="s">
        <v>35</v>
      </c>
      <c r="F208" s="7" t="s">
        <v>45</v>
      </c>
      <c r="G208" s="7" t="s">
        <v>37</v>
      </c>
      <c r="H208" s="12" t="s">
        <v>38</v>
      </c>
      <c r="I208" s="6" t="s">
        <v>39</v>
      </c>
      <c r="J208" s="48">
        <v>2</v>
      </c>
      <c r="K208" s="6">
        <v>2021</v>
      </c>
      <c r="L208" s="46">
        <v>2022</v>
      </c>
      <c r="M208" s="6">
        <v>2023</v>
      </c>
      <c r="N208" s="6">
        <v>2024</v>
      </c>
      <c r="O208" s="6">
        <v>2025</v>
      </c>
      <c r="P208" s="6">
        <v>2026</v>
      </c>
      <c r="Q208" s="6">
        <v>2027</v>
      </c>
      <c r="R208" s="6">
        <v>2028</v>
      </c>
      <c r="S208" s="6">
        <v>2029</v>
      </c>
      <c r="T208" s="6">
        <v>2030</v>
      </c>
      <c r="U208" s="6">
        <v>2031</v>
      </c>
      <c r="V208" s="6">
        <v>2032</v>
      </c>
      <c r="W208" s="6">
        <v>2033</v>
      </c>
      <c r="X208" s="6">
        <v>2034</v>
      </c>
      <c r="Y208" s="6">
        <v>2035</v>
      </c>
      <c r="Z208" s="6">
        <v>2036</v>
      </c>
      <c r="AA208" s="6">
        <v>2037</v>
      </c>
      <c r="AB208" s="6">
        <v>2038</v>
      </c>
      <c r="AC208" s="6">
        <v>2039</v>
      </c>
      <c r="AD208" s="6">
        <v>2040</v>
      </c>
      <c r="AE208" s="6">
        <v>2041</v>
      </c>
      <c r="AF208" s="6">
        <v>2042</v>
      </c>
      <c r="AG208" s="6">
        <v>2043</v>
      </c>
      <c r="AH208" s="6">
        <v>2044</v>
      </c>
      <c r="AI208" s="6">
        <v>2045</v>
      </c>
    </row>
    <row r="209" spans="1:35" customFormat="1" ht="14.25" x14ac:dyDescent="0.45">
      <c r="B209" s="14" t="s">
        <v>1435</v>
      </c>
      <c r="C209" s="14" t="s">
        <v>43</v>
      </c>
      <c r="D209" s="15" t="s">
        <v>2243</v>
      </c>
      <c r="E209" s="16" t="s">
        <v>1854</v>
      </c>
      <c r="F209" s="14" t="s">
        <v>2242</v>
      </c>
      <c r="G209" s="17"/>
      <c r="H209" s="128" t="str">
        <f>Settings!$B$3&amp;".mit.obr.stl.drg.2"</f>
        <v>egy.mit.obr.stl.drg.2</v>
      </c>
      <c r="I209" t="s">
        <v>2244</v>
      </c>
      <c r="K209" s="18"/>
      <c r="L209" s="19">
        <f>L$179*Mitigation_Industry!L$675/1000</f>
        <v>0</v>
      </c>
      <c r="M209" s="19">
        <f>M$179*Mitigation_Industry!M$675/1000</f>
        <v>0</v>
      </c>
      <c r="N209" s="19">
        <f>N$179*Mitigation_Industry!N$675/1000</f>
        <v>0</v>
      </c>
      <c r="O209" s="19">
        <f>O$179*Mitigation_Industry!O$675/1000</f>
        <v>0</v>
      </c>
      <c r="P209" s="19">
        <f>P$179*Mitigation_Industry!P$675/1000</f>
        <v>0</v>
      </c>
      <c r="Q209" s="19">
        <f>Q$179*Mitigation_Industry!Q$675/1000</f>
        <v>0</v>
      </c>
      <c r="R209" s="19">
        <f>R$179*Mitigation_Industry!R$675/1000</f>
        <v>0</v>
      </c>
      <c r="S209" s="19">
        <f>S$179*Mitigation_Industry!S$675/1000</f>
        <v>0</v>
      </c>
      <c r="T209" s="19">
        <f>T$179*Mitigation_Industry!T$675/1000</f>
        <v>0</v>
      </c>
      <c r="U209" s="19">
        <f>U$179*Mitigation_Industry!U$675/1000</f>
        <v>0</v>
      </c>
      <c r="V209" s="19">
        <f>V$179*Mitigation_Industry!V$675/1000</f>
        <v>0</v>
      </c>
      <c r="W209" s="19">
        <f>W$179*Mitigation_Industry!W$675/1000</f>
        <v>0</v>
      </c>
      <c r="X209" s="19">
        <f>X$179*Mitigation_Industry!X$675/1000</f>
        <v>0</v>
      </c>
      <c r="Y209" s="19">
        <f>Y$179*Mitigation_Industry!Y$675/1000</f>
        <v>0</v>
      </c>
      <c r="Z209" s="19">
        <f>Z$179*Mitigation_Industry!Z$675/1000</f>
        <v>0</v>
      </c>
      <c r="AA209" s="19">
        <f>AA$179*Mitigation_Industry!AA$675/1000</f>
        <v>0</v>
      </c>
      <c r="AB209" s="19">
        <f>AB$179*Mitigation_Industry!AB$675/1000</f>
        <v>0</v>
      </c>
      <c r="AC209" s="19">
        <f>AC$179*Mitigation_Industry!AC$675/1000</f>
        <v>0</v>
      </c>
      <c r="AD209" s="19">
        <f>AD$179*Mitigation_Industry!AD$675/1000</f>
        <v>0</v>
      </c>
      <c r="AE209" s="19">
        <f>AE$179*Mitigation_Industry!AE$675/1000</f>
        <v>0</v>
      </c>
    </row>
    <row r="210" spans="1:35" customFormat="1" ht="14.25" x14ac:dyDescent="0.45">
      <c r="B210" s="14" t="s">
        <v>1438</v>
      </c>
      <c r="C210" s="14" t="s">
        <v>43</v>
      </c>
      <c r="D210" s="15" t="s">
        <v>2245</v>
      </c>
      <c r="E210" s="16" t="s">
        <v>1854</v>
      </c>
      <c r="F210" s="14" t="s">
        <v>2242</v>
      </c>
      <c r="G210" s="17"/>
      <c r="H210" s="128" t="str">
        <f>Settings!$B$3&amp;".mit.obr.stl.scr.2"</f>
        <v>egy.mit.obr.stl.scr.2</v>
      </c>
      <c r="K210" s="18"/>
      <c r="L210" s="19">
        <f>L$180*Mitigation_Industry!L$676/1000</f>
        <v>0</v>
      </c>
      <c r="M210" s="19">
        <f>M$180*Mitigation_Industry!M$676/1000</f>
        <v>0</v>
      </c>
      <c r="N210" s="19">
        <f>N$180*Mitigation_Industry!N$676/1000</f>
        <v>0</v>
      </c>
      <c r="O210" s="19">
        <f>O$180*Mitigation_Industry!O$676/1000</f>
        <v>0</v>
      </c>
      <c r="P210" s="19">
        <f>P$180*Mitigation_Industry!P$676/1000</f>
        <v>0</v>
      </c>
      <c r="Q210" s="19">
        <f>Q$180*Mitigation_Industry!Q$676/1000</f>
        <v>0</v>
      </c>
      <c r="R210" s="19">
        <f>R$180*Mitigation_Industry!R$676/1000</f>
        <v>0</v>
      </c>
      <c r="S210" s="19">
        <f>S$180*Mitigation_Industry!S$676/1000</f>
        <v>0</v>
      </c>
      <c r="T210" s="19">
        <f>T$180*Mitigation_Industry!T$676/1000</f>
        <v>0</v>
      </c>
      <c r="U210" s="19">
        <f>U$180*Mitigation_Industry!U$676/1000</f>
        <v>0</v>
      </c>
      <c r="V210" s="19">
        <f>V$180*Mitigation_Industry!V$676/1000</f>
        <v>0</v>
      </c>
      <c r="W210" s="19">
        <f>W$180*Mitigation_Industry!W$676/1000</f>
        <v>0</v>
      </c>
      <c r="X210" s="19">
        <f>X$180*Mitigation_Industry!X$676/1000</f>
        <v>0</v>
      </c>
      <c r="Y210" s="19">
        <f>Y$180*Mitigation_Industry!Y$676/1000</f>
        <v>0</v>
      </c>
      <c r="Z210" s="19">
        <f>Z$180*Mitigation_Industry!Z$676/1000</f>
        <v>0</v>
      </c>
      <c r="AA210" s="19">
        <f>AA$180*Mitigation_Industry!AA$676/1000</f>
        <v>0</v>
      </c>
      <c r="AB210" s="19">
        <f>AB$180*Mitigation_Industry!AB$676/1000</f>
        <v>0</v>
      </c>
      <c r="AC210" s="19">
        <f>AC$180*Mitigation_Industry!AC$676/1000</f>
        <v>0</v>
      </c>
      <c r="AD210" s="19">
        <f>AD$180*Mitigation_Industry!AD$676/1000</f>
        <v>0</v>
      </c>
      <c r="AE210" s="19">
        <f>AE$180*Mitigation_Industry!AE$676/1000</f>
        <v>0</v>
      </c>
    </row>
    <row r="211" spans="1:35" customFormat="1" ht="14.25" x14ac:dyDescent="0.45">
      <c r="B211" s="14" t="s">
        <v>1441</v>
      </c>
      <c r="C211" s="14" t="s">
        <v>43</v>
      </c>
      <c r="D211" s="15" t="s">
        <v>2246</v>
      </c>
      <c r="E211" s="16" t="s">
        <v>1854</v>
      </c>
      <c r="F211" s="14" t="s">
        <v>2242</v>
      </c>
      <c r="G211" s="17"/>
      <c r="H211" s="128" t="str">
        <f>Settings!$B$3&amp;".mit.obr.stl.bof.2"</f>
        <v>egy.mit.obr.stl.bof.2</v>
      </c>
      <c r="K211" s="18"/>
      <c r="L211" s="19">
        <f>L$181*Mitigation_Industry!L$677/1000</f>
        <v>0</v>
      </c>
      <c r="M211" s="19">
        <f>M$181*Mitigation_Industry!M$677/1000</f>
        <v>0</v>
      </c>
      <c r="N211" s="19">
        <f>N$181*Mitigation_Industry!N$677/1000</f>
        <v>0</v>
      </c>
      <c r="O211" s="19">
        <f>O$181*Mitigation_Industry!O$677/1000</f>
        <v>0</v>
      </c>
      <c r="P211" s="19">
        <f>P$181*Mitigation_Industry!P$677/1000</f>
        <v>0</v>
      </c>
      <c r="Q211" s="19">
        <f>Q$181*Mitigation_Industry!Q$677/1000</f>
        <v>0</v>
      </c>
      <c r="R211" s="19">
        <f>R$181*Mitigation_Industry!R$677/1000</f>
        <v>0</v>
      </c>
      <c r="S211" s="19">
        <f>S$181*Mitigation_Industry!S$677/1000</f>
        <v>0</v>
      </c>
      <c r="T211" s="19">
        <f>T$181*Mitigation_Industry!T$677/1000</f>
        <v>0</v>
      </c>
      <c r="U211" s="19">
        <f>U$181*Mitigation_Industry!U$677/1000</f>
        <v>0</v>
      </c>
      <c r="V211" s="19">
        <f>V$181*Mitigation_Industry!V$677/1000</f>
        <v>0</v>
      </c>
      <c r="W211" s="19">
        <f>W$181*Mitigation_Industry!W$677/1000</f>
        <v>0</v>
      </c>
      <c r="X211" s="19">
        <f>X$181*Mitigation_Industry!X$677/1000</f>
        <v>0</v>
      </c>
      <c r="Y211" s="19">
        <f>Y$181*Mitigation_Industry!Y$677/1000</f>
        <v>0</v>
      </c>
      <c r="Z211" s="19">
        <f>Z$181*Mitigation_Industry!Z$677/1000</f>
        <v>0</v>
      </c>
      <c r="AA211" s="19">
        <f>AA$181*Mitigation_Industry!AA$677/1000</f>
        <v>0</v>
      </c>
      <c r="AB211" s="19">
        <f>AB$181*Mitigation_Industry!AB$677/1000</f>
        <v>0</v>
      </c>
      <c r="AC211" s="19">
        <f>AC$181*Mitigation_Industry!AC$677/1000</f>
        <v>0</v>
      </c>
      <c r="AD211" s="19">
        <f>AD$181*Mitigation_Industry!AD$677/1000</f>
        <v>0</v>
      </c>
      <c r="AE211" s="19">
        <f>AE$181*Mitigation_Industry!AE$677/1000</f>
        <v>0</v>
      </c>
    </row>
    <row r="212" spans="1:35" customFormat="1" ht="14.25" x14ac:dyDescent="0.45">
      <c r="B212" s="14" t="s">
        <v>1444</v>
      </c>
      <c r="C212" s="14" t="s">
        <v>113</v>
      </c>
      <c r="D212" s="15" t="s">
        <v>2247</v>
      </c>
      <c r="E212" s="16" t="s">
        <v>1854</v>
      </c>
      <c r="F212" s="14" t="s">
        <v>2242</v>
      </c>
      <c r="G212" s="17"/>
      <c r="H212" s="128" t="str">
        <f>Settings!$B$3&amp;".mit.obr.cmt.dry.2"</f>
        <v>egy.mit.obr.cmt.dry.2</v>
      </c>
      <c r="K212" s="18"/>
      <c r="L212" s="19">
        <f>L$182*Mitigation_Industry!L$678/1000</f>
        <v>0</v>
      </c>
      <c r="M212" s="19">
        <f>M$182*Mitigation_Industry!M$678/1000</f>
        <v>0</v>
      </c>
      <c r="N212" s="19">
        <f>N$182*Mitigation_Industry!N$678/1000</f>
        <v>0</v>
      </c>
      <c r="O212" s="19">
        <f>O$182*Mitigation_Industry!O$678/1000</f>
        <v>0</v>
      </c>
      <c r="P212" s="19">
        <f>P$182*Mitigation_Industry!P$678/1000</f>
        <v>0</v>
      </c>
      <c r="Q212" s="19">
        <f>Q$182*Mitigation_Industry!Q$678/1000</f>
        <v>0</v>
      </c>
      <c r="R212" s="19">
        <f>R$182*Mitigation_Industry!R$678/1000</f>
        <v>0</v>
      </c>
      <c r="S212" s="19">
        <f>S$182*Mitigation_Industry!S$678/1000</f>
        <v>0</v>
      </c>
      <c r="T212" s="19">
        <f>T$182*Mitigation_Industry!T$678/1000</f>
        <v>0</v>
      </c>
      <c r="U212" s="19">
        <f>U$182*Mitigation_Industry!U$678/1000</f>
        <v>0</v>
      </c>
      <c r="V212" s="19">
        <f>V$182*Mitigation_Industry!V$678/1000</f>
        <v>0</v>
      </c>
      <c r="W212" s="19">
        <f>W$182*Mitigation_Industry!W$678/1000</f>
        <v>0</v>
      </c>
      <c r="X212" s="19">
        <f>X$182*Mitigation_Industry!X$678/1000</f>
        <v>0</v>
      </c>
      <c r="Y212" s="19">
        <f>Y$182*Mitigation_Industry!Y$678/1000</f>
        <v>0</v>
      </c>
      <c r="Z212" s="19">
        <f>Z$182*Mitigation_Industry!Z$678/1000</f>
        <v>0</v>
      </c>
      <c r="AA212" s="19">
        <f>AA$182*Mitigation_Industry!AA$678/1000</f>
        <v>0</v>
      </c>
      <c r="AB212" s="19">
        <f>AB$182*Mitigation_Industry!AB$678/1000</f>
        <v>0</v>
      </c>
      <c r="AC212" s="19">
        <f>AC$182*Mitigation_Industry!AC$678/1000</f>
        <v>0</v>
      </c>
      <c r="AD212" s="19">
        <f>AD$182*Mitigation_Industry!AD$678/1000</f>
        <v>0</v>
      </c>
      <c r="AE212" s="19">
        <f>AE$182*Mitigation_Industry!AE$678/1000</f>
        <v>0</v>
      </c>
    </row>
    <row r="213" spans="1:35" customFormat="1" ht="14.25" x14ac:dyDescent="0.45">
      <c r="B213" s="14" t="s">
        <v>1447</v>
      </c>
      <c r="C213" s="14" t="s">
        <v>117</v>
      </c>
      <c r="D213" s="15" t="s">
        <v>2248</v>
      </c>
      <c r="E213" s="16" t="s">
        <v>1854</v>
      </c>
      <c r="F213" s="14" t="s">
        <v>2242</v>
      </c>
      <c r="G213" s="17"/>
      <c r="H213" s="128" t="str">
        <f>Settings!$B$3&amp;".mit.obr.frt.amc.2"</f>
        <v>egy.mit.obr.frt.amc.2</v>
      </c>
      <c r="K213" s="18"/>
      <c r="L213" s="19">
        <f>L$183*Mitigation_Industry!L$679/1000</f>
        <v>0</v>
      </c>
      <c r="M213" s="19">
        <f>M$183*Mitigation_Industry!M$679/1000</f>
        <v>0</v>
      </c>
      <c r="N213" s="19">
        <f>N$183*Mitigation_Industry!N$679/1000</f>
        <v>0</v>
      </c>
      <c r="O213" s="19">
        <f>O$183*Mitigation_Industry!O$679/1000</f>
        <v>0</v>
      </c>
      <c r="P213" s="19">
        <f>P$183*Mitigation_Industry!P$679/1000</f>
        <v>0</v>
      </c>
      <c r="Q213" s="19">
        <f>Q$183*Mitigation_Industry!Q$679/1000</f>
        <v>0</v>
      </c>
      <c r="R213" s="19">
        <f>R$183*Mitigation_Industry!R$679/1000</f>
        <v>0</v>
      </c>
      <c r="S213" s="19">
        <f>S$183*Mitigation_Industry!S$679/1000</f>
        <v>0</v>
      </c>
      <c r="T213" s="19">
        <f>T$183*Mitigation_Industry!T$679/1000</f>
        <v>0</v>
      </c>
      <c r="U213" s="19">
        <f>U$183*Mitigation_Industry!U$679/1000</f>
        <v>0</v>
      </c>
      <c r="V213" s="19">
        <f>V$183*Mitigation_Industry!V$679/1000</f>
        <v>0</v>
      </c>
      <c r="W213" s="19">
        <f>W$183*Mitigation_Industry!W$679/1000</f>
        <v>0</v>
      </c>
      <c r="X213" s="19">
        <f>X$183*Mitigation_Industry!X$679/1000</f>
        <v>0</v>
      </c>
      <c r="Y213" s="19">
        <f>Y$183*Mitigation_Industry!Y$679/1000</f>
        <v>0</v>
      </c>
      <c r="Z213" s="19">
        <f>Z$183*Mitigation_Industry!Z$679/1000</f>
        <v>0</v>
      </c>
      <c r="AA213" s="19">
        <f>AA$183*Mitigation_Industry!AA$679/1000</f>
        <v>0</v>
      </c>
      <c r="AB213" s="19">
        <f>AB$183*Mitigation_Industry!AB$679/1000</f>
        <v>0</v>
      </c>
      <c r="AC213" s="19">
        <f>AC$183*Mitigation_Industry!AC$679/1000</f>
        <v>0</v>
      </c>
      <c r="AD213" s="19">
        <f>AD$183*Mitigation_Industry!AD$679/1000</f>
        <v>0</v>
      </c>
      <c r="AE213" s="19">
        <f>AE$183*Mitigation_Industry!AE$679/1000</f>
        <v>0</v>
      </c>
    </row>
    <row r="214" spans="1:35" customFormat="1" ht="14.25" x14ac:dyDescent="0.45">
      <c r="B214" s="14" t="s">
        <v>1450</v>
      </c>
      <c r="C214" s="14" t="s">
        <v>117</v>
      </c>
      <c r="D214" s="15" t="s">
        <v>2249</v>
      </c>
      <c r="E214" s="16" t="s">
        <v>1854</v>
      </c>
      <c r="F214" s="14" t="s">
        <v>2242</v>
      </c>
      <c r="G214" s="17"/>
      <c r="H214" s="128" t="str">
        <f>Settings!$B$3&amp;".mit.obr.frt.ure.2"</f>
        <v>egy.mit.obr.frt.ure.2</v>
      </c>
      <c r="K214" s="18"/>
      <c r="L214" s="19">
        <f>L$184*Mitigation_Industry!L$680/1000</f>
        <v>0</v>
      </c>
      <c r="M214" s="19">
        <f>M$184*Mitigation_Industry!M$680/1000</f>
        <v>0</v>
      </c>
      <c r="N214" s="19">
        <f>N$184*Mitigation_Industry!N$680/1000</f>
        <v>0</v>
      </c>
      <c r="O214" s="19">
        <f>O$184*Mitigation_Industry!O$680/1000</f>
        <v>0</v>
      </c>
      <c r="P214" s="19">
        <f>P$184*Mitigation_Industry!P$680/1000</f>
        <v>0</v>
      </c>
      <c r="Q214" s="19">
        <f>Q$184*Mitigation_Industry!Q$680/1000</f>
        <v>0</v>
      </c>
      <c r="R214" s="19">
        <f>R$184*Mitigation_Industry!R$680/1000</f>
        <v>0</v>
      </c>
      <c r="S214" s="19">
        <f>S$184*Mitigation_Industry!S$680/1000</f>
        <v>0</v>
      </c>
      <c r="T214" s="19">
        <f>T$184*Mitigation_Industry!T$680/1000</f>
        <v>0</v>
      </c>
      <c r="U214" s="19">
        <f>U$184*Mitigation_Industry!U$680/1000</f>
        <v>0</v>
      </c>
      <c r="V214" s="19">
        <f>V$184*Mitigation_Industry!V$680/1000</f>
        <v>0</v>
      </c>
      <c r="W214" s="19">
        <f>W$184*Mitigation_Industry!W$680/1000</f>
        <v>0</v>
      </c>
      <c r="X214" s="19">
        <f>X$184*Mitigation_Industry!X$680/1000</f>
        <v>0</v>
      </c>
      <c r="Y214" s="19">
        <f>Y$184*Mitigation_Industry!Y$680/1000</f>
        <v>0</v>
      </c>
      <c r="Z214" s="19">
        <f>Z$184*Mitigation_Industry!Z$680/1000</f>
        <v>0</v>
      </c>
      <c r="AA214" s="19">
        <f>AA$184*Mitigation_Industry!AA$680/1000</f>
        <v>0</v>
      </c>
      <c r="AB214" s="19">
        <f>AB$184*Mitigation_Industry!AB$680/1000</f>
        <v>0</v>
      </c>
      <c r="AC214" s="19">
        <f>AC$184*Mitigation_Industry!AC$680/1000</f>
        <v>0</v>
      </c>
      <c r="AD214" s="19">
        <f>AD$184*Mitigation_Industry!AD$680/1000</f>
        <v>0</v>
      </c>
      <c r="AE214" s="19">
        <f>AE$184*Mitigation_Industry!AE$680/1000</f>
        <v>0</v>
      </c>
    </row>
    <row r="215" spans="1:35" customFormat="1" ht="14.25" x14ac:dyDescent="0.45">
      <c r="B215" s="14" t="s">
        <v>1453</v>
      </c>
      <c r="C215" s="14" t="s">
        <v>117</v>
      </c>
      <c r="D215" s="15" t="s">
        <v>2250</v>
      </c>
      <c r="E215" s="16" t="s">
        <v>1854</v>
      </c>
      <c r="F215" s="14" t="s">
        <v>2242</v>
      </c>
      <c r="G215" s="17"/>
      <c r="H215" s="128" t="str">
        <f>Settings!$B$3&amp;".mit.obr.frt.nit.2"</f>
        <v>egy.mit.obr.frt.nit.2</v>
      </c>
      <c r="K215" s="18"/>
      <c r="L215" s="19">
        <f>L$185*Mitigation_Industry!L$681/1000</f>
        <v>0</v>
      </c>
      <c r="M215" s="19">
        <f>M$185*Mitigation_Industry!M$681/1000</f>
        <v>0</v>
      </c>
      <c r="N215" s="19">
        <f>N$185*Mitigation_Industry!N$681/1000</f>
        <v>0</v>
      </c>
      <c r="O215" s="19">
        <f>O$185*Mitigation_Industry!O$681/1000</f>
        <v>0</v>
      </c>
      <c r="P215" s="19">
        <f>P$185*Mitigation_Industry!P$681/1000</f>
        <v>0</v>
      </c>
      <c r="Q215" s="19">
        <f>Q$185*Mitigation_Industry!Q$681/1000</f>
        <v>0</v>
      </c>
      <c r="R215" s="19">
        <f>R$185*Mitigation_Industry!R$681/1000</f>
        <v>0</v>
      </c>
      <c r="S215" s="19">
        <f>S$185*Mitigation_Industry!S$681/1000</f>
        <v>0</v>
      </c>
      <c r="T215" s="19">
        <f>T$185*Mitigation_Industry!T$681/1000</f>
        <v>0</v>
      </c>
      <c r="U215" s="19">
        <f>U$185*Mitigation_Industry!U$681/1000</f>
        <v>0</v>
      </c>
      <c r="V215" s="19">
        <f>V$185*Mitigation_Industry!V$681/1000</f>
        <v>0</v>
      </c>
      <c r="W215" s="19">
        <f>W$185*Mitigation_Industry!W$681/1000</f>
        <v>0</v>
      </c>
      <c r="X215" s="19">
        <f>X$185*Mitigation_Industry!X$681/1000</f>
        <v>0</v>
      </c>
      <c r="Y215" s="19">
        <f>Y$185*Mitigation_Industry!Y$681/1000</f>
        <v>0</v>
      </c>
      <c r="Z215" s="19">
        <f>Z$185*Mitigation_Industry!Z$681/1000</f>
        <v>0</v>
      </c>
      <c r="AA215" s="19">
        <f>AA$185*Mitigation_Industry!AA$681/1000</f>
        <v>0</v>
      </c>
      <c r="AB215" s="19">
        <f>AB$185*Mitigation_Industry!AB$681/1000</f>
        <v>0</v>
      </c>
      <c r="AC215" s="19">
        <f>AC$185*Mitigation_Industry!AC$681/1000</f>
        <v>0</v>
      </c>
      <c r="AD215" s="19">
        <f>AD$185*Mitigation_Industry!AD$681/1000</f>
        <v>0</v>
      </c>
      <c r="AE215" s="19">
        <f>AE$185*Mitigation_Industry!AE$681/1000</f>
        <v>0</v>
      </c>
    </row>
    <row r="216" spans="1:35" customFormat="1" ht="14.25" x14ac:dyDescent="0.45">
      <c r="B216" s="14" t="s">
        <v>1456</v>
      </c>
      <c r="C216" s="14" t="s">
        <v>115</v>
      </c>
      <c r="D216" s="15" t="s">
        <v>2251</v>
      </c>
      <c r="E216" s="16" t="s">
        <v>1854</v>
      </c>
      <c r="F216" s="14" t="s">
        <v>2242</v>
      </c>
      <c r="G216" s="17"/>
      <c r="H216" s="128" t="str">
        <f>Settings!$B$3&amp;".mit.obr.alu.prp.2"</f>
        <v>egy.mit.obr.alu.prp.2</v>
      </c>
      <c r="K216" s="18"/>
      <c r="L216" s="19">
        <f>L$186*Mitigation_Industry!L$682/1000</f>
        <v>0</v>
      </c>
      <c r="M216" s="19">
        <f>M$186*Mitigation_Industry!M$682/1000</f>
        <v>0</v>
      </c>
      <c r="N216" s="19">
        <f>N$186*Mitigation_Industry!N$682/1000</f>
        <v>0</v>
      </c>
      <c r="O216" s="19">
        <f>O$186*Mitigation_Industry!O$682/1000</f>
        <v>0</v>
      </c>
      <c r="P216" s="19">
        <f>P$186*Mitigation_Industry!P$682/1000</f>
        <v>0</v>
      </c>
      <c r="Q216" s="19">
        <f>Q$186*Mitigation_Industry!Q$682/1000</f>
        <v>0</v>
      </c>
      <c r="R216" s="19">
        <f>R$186*Mitigation_Industry!R$682/1000</f>
        <v>0</v>
      </c>
      <c r="S216" s="19">
        <f>S$186*Mitigation_Industry!S$682/1000</f>
        <v>0</v>
      </c>
      <c r="T216" s="19">
        <f>T$186*Mitigation_Industry!T$682/1000</f>
        <v>0</v>
      </c>
      <c r="U216" s="19">
        <f>U$186*Mitigation_Industry!U$682/1000</f>
        <v>0</v>
      </c>
      <c r="V216" s="19">
        <f>V$186*Mitigation_Industry!V$682/1000</f>
        <v>0</v>
      </c>
      <c r="W216" s="19">
        <f>W$186*Mitigation_Industry!W$682/1000</f>
        <v>0</v>
      </c>
      <c r="X216" s="19">
        <f>X$186*Mitigation_Industry!X$682/1000</f>
        <v>0</v>
      </c>
      <c r="Y216" s="19">
        <f>Y$186*Mitigation_Industry!Y$682/1000</f>
        <v>0</v>
      </c>
      <c r="Z216" s="19">
        <f>Z$186*Mitigation_Industry!Z$682/1000</f>
        <v>0</v>
      </c>
      <c r="AA216" s="19">
        <f>AA$186*Mitigation_Industry!AA$682/1000</f>
        <v>0</v>
      </c>
      <c r="AB216" s="19">
        <f>AB$186*Mitigation_Industry!AB$682/1000</f>
        <v>0</v>
      </c>
      <c r="AC216" s="19">
        <f>AC$186*Mitigation_Industry!AC$682/1000</f>
        <v>0</v>
      </c>
      <c r="AD216" s="19">
        <f>AD$186*Mitigation_Industry!AD$682/1000</f>
        <v>0</v>
      </c>
      <c r="AE216" s="19">
        <f>AE$186*Mitigation_Industry!AE$682/1000</f>
        <v>0</v>
      </c>
    </row>
    <row r="217" spans="1:35" customFormat="1" ht="14.25" x14ac:dyDescent="0.45">
      <c r="B217" s="14" t="s">
        <v>110</v>
      </c>
      <c r="C217" s="14"/>
      <c r="D217" s="25" t="s">
        <v>2252</v>
      </c>
      <c r="E217" s="16" t="s">
        <v>1854</v>
      </c>
      <c r="F217" s="14" t="s">
        <v>2242</v>
      </c>
      <c r="H217" s="128" t="str">
        <f>Settings!$B$3&amp;".mit.obr.cbam.tot.2"</f>
        <v>egy.mit.obr.cbam.tot.2</v>
      </c>
      <c r="L217" s="130">
        <f t="shared" ref="L217:AE217" si="59">SUM(L209:L216)</f>
        <v>0</v>
      </c>
      <c r="M217" s="130">
        <f t="shared" si="59"/>
        <v>0</v>
      </c>
      <c r="N217" s="130">
        <f t="shared" si="59"/>
        <v>0</v>
      </c>
      <c r="O217" s="130">
        <f t="shared" si="59"/>
        <v>0</v>
      </c>
      <c r="P217" s="130">
        <f t="shared" si="59"/>
        <v>0</v>
      </c>
      <c r="Q217" s="130">
        <f t="shared" si="59"/>
        <v>0</v>
      </c>
      <c r="R217" s="130">
        <f t="shared" si="59"/>
        <v>0</v>
      </c>
      <c r="S217" s="130">
        <f t="shared" si="59"/>
        <v>0</v>
      </c>
      <c r="T217" s="130">
        <f t="shared" si="59"/>
        <v>0</v>
      </c>
      <c r="U217" s="130">
        <f t="shared" si="59"/>
        <v>0</v>
      </c>
      <c r="V217" s="130">
        <f t="shared" si="59"/>
        <v>0</v>
      </c>
      <c r="W217" s="130">
        <f t="shared" si="59"/>
        <v>0</v>
      </c>
      <c r="X217" s="130">
        <f t="shared" si="59"/>
        <v>0</v>
      </c>
      <c r="Y217" s="130">
        <f t="shared" si="59"/>
        <v>0</v>
      </c>
      <c r="Z217" s="130">
        <f t="shared" si="59"/>
        <v>0</v>
      </c>
      <c r="AA217" s="130">
        <f t="shared" si="59"/>
        <v>0</v>
      </c>
      <c r="AB217" s="130">
        <f t="shared" si="59"/>
        <v>0</v>
      </c>
      <c r="AC217" s="130">
        <f t="shared" si="59"/>
        <v>0</v>
      </c>
      <c r="AD217" s="130">
        <f t="shared" si="59"/>
        <v>0</v>
      </c>
      <c r="AE217" s="130">
        <f t="shared" si="59"/>
        <v>0</v>
      </c>
    </row>
    <row r="219" spans="1:35" customFormat="1" ht="14.25" x14ac:dyDescent="0.45">
      <c r="A219" s="11"/>
      <c r="B219" s="6"/>
      <c r="C219" s="7" t="s">
        <v>43</v>
      </c>
      <c r="D219" s="6" t="s">
        <v>1488</v>
      </c>
      <c r="E219" s="7" t="s">
        <v>35</v>
      </c>
      <c r="F219" s="7" t="s">
        <v>45</v>
      </c>
      <c r="G219" s="7" t="s">
        <v>37</v>
      </c>
      <c r="H219" s="12" t="s">
        <v>38</v>
      </c>
      <c r="I219" s="6" t="s">
        <v>39</v>
      </c>
      <c r="J219" s="48">
        <v>2</v>
      </c>
      <c r="K219" s="6">
        <v>2021</v>
      </c>
      <c r="L219" s="46">
        <v>2022</v>
      </c>
      <c r="M219" s="6">
        <v>2023</v>
      </c>
      <c r="N219" s="6">
        <v>2024</v>
      </c>
      <c r="O219" s="6">
        <v>2025</v>
      </c>
      <c r="P219" s="6">
        <v>2026</v>
      </c>
      <c r="Q219" s="6">
        <v>2027</v>
      </c>
      <c r="R219" s="6">
        <v>2028</v>
      </c>
      <c r="S219" s="6">
        <v>2029</v>
      </c>
      <c r="T219" s="6">
        <v>2030</v>
      </c>
      <c r="U219" s="6">
        <v>2031</v>
      </c>
      <c r="V219" s="6">
        <v>2032</v>
      </c>
      <c r="W219" s="6">
        <v>2033</v>
      </c>
      <c r="X219" s="6">
        <v>2034</v>
      </c>
      <c r="Y219" s="6">
        <v>2035</v>
      </c>
      <c r="Z219" s="6">
        <v>2036</v>
      </c>
      <c r="AA219" s="6">
        <v>2037</v>
      </c>
      <c r="AB219" s="6">
        <v>2038</v>
      </c>
      <c r="AC219" s="6">
        <v>2039</v>
      </c>
      <c r="AD219" s="6">
        <v>2040</v>
      </c>
      <c r="AE219" s="6">
        <v>2041</v>
      </c>
      <c r="AF219" s="6">
        <v>2042</v>
      </c>
      <c r="AG219" s="6">
        <v>2043</v>
      </c>
      <c r="AH219" s="6">
        <v>2044</v>
      </c>
      <c r="AI219" s="6">
        <v>2045</v>
      </c>
    </row>
    <row r="220" spans="1:35" customFormat="1" ht="14.25" x14ac:dyDescent="0.45">
      <c r="B220" s="14" t="s">
        <v>110</v>
      </c>
      <c r="C220" s="14" t="s">
        <v>43</v>
      </c>
      <c r="D220" s="25" t="s">
        <v>2253</v>
      </c>
      <c r="E220" s="16" t="s">
        <v>1854</v>
      </c>
      <c r="F220" s="14" t="s">
        <v>2242</v>
      </c>
      <c r="H220" s="128" t="str">
        <f>Settings!$B$3&amp;".mit.obr.ind.irn.2"</f>
        <v>egy.mit.obr.ind.irn.2</v>
      </c>
      <c r="I220" t="s">
        <v>2254</v>
      </c>
      <c r="L220" s="130">
        <f t="shared" ref="L220:AE220" si="60">L$209+L$210+L$211</f>
        <v>0</v>
      </c>
      <c r="M220" s="130">
        <f t="shared" si="60"/>
        <v>0</v>
      </c>
      <c r="N220" s="130">
        <f t="shared" si="60"/>
        <v>0</v>
      </c>
      <c r="O220" s="130">
        <f t="shared" si="60"/>
        <v>0</v>
      </c>
      <c r="P220" s="130">
        <f t="shared" si="60"/>
        <v>0</v>
      </c>
      <c r="Q220" s="130">
        <f t="shared" si="60"/>
        <v>0</v>
      </c>
      <c r="R220" s="130">
        <f t="shared" si="60"/>
        <v>0</v>
      </c>
      <c r="S220" s="130">
        <f t="shared" si="60"/>
        <v>0</v>
      </c>
      <c r="T220" s="130">
        <f t="shared" si="60"/>
        <v>0</v>
      </c>
      <c r="U220" s="130">
        <f t="shared" si="60"/>
        <v>0</v>
      </c>
      <c r="V220" s="130">
        <f t="shared" si="60"/>
        <v>0</v>
      </c>
      <c r="W220" s="130">
        <f t="shared" si="60"/>
        <v>0</v>
      </c>
      <c r="X220" s="130">
        <f t="shared" si="60"/>
        <v>0</v>
      </c>
      <c r="Y220" s="130">
        <f t="shared" si="60"/>
        <v>0</v>
      </c>
      <c r="Z220" s="130">
        <f t="shared" si="60"/>
        <v>0</v>
      </c>
      <c r="AA220" s="130">
        <f t="shared" si="60"/>
        <v>0</v>
      </c>
      <c r="AB220" s="130">
        <f t="shared" si="60"/>
        <v>0</v>
      </c>
      <c r="AC220" s="130">
        <f t="shared" si="60"/>
        <v>0</v>
      </c>
      <c r="AD220" s="130">
        <f t="shared" si="60"/>
        <v>0</v>
      </c>
      <c r="AE220" s="130">
        <f t="shared" si="60"/>
        <v>0</v>
      </c>
    </row>
    <row r="221" spans="1:35" customFormat="1" ht="14.25" x14ac:dyDescent="0.45">
      <c r="B221" s="14" t="s">
        <v>110</v>
      </c>
      <c r="C221" s="14" t="s">
        <v>43</v>
      </c>
      <c r="D221" s="25" t="s">
        <v>2255</v>
      </c>
      <c r="E221" s="16" t="s">
        <v>1854</v>
      </c>
      <c r="F221" s="14" t="s">
        <v>2256</v>
      </c>
      <c r="H221" s="128" t="str">
        <f>Settings!$B$3&amp;".mit.ccf.ind.irn.2"</f>
        <v>egy.mit.ccf.ind.irn.2</v>
      </c>
      <c r="L221" s="130">
        <f>L$159*Mitigation_Industry!L$675/1000+L$160*Mitigation_Industry!L$676/1000+L$161*Mitigation_Industry!L$677/1000</f>
        <v>0</v>
      </c>
      <c r="M221" s="130">
        <f>M$159*Mitigation_Industry!M$675/1000+M$160*Mitigation_Industry!M$676/1000+M$161*Mitigation_Industry!M$677/1000</f>
        <v>0</v>
      </c>
      <c r="N221" s="130">
        <f>N$159*Mitigation_Industry!N$675/1000+N$160*Mitigation_Industry!N$676/1000+N$161*Mitigation_Industry!N$677/1000</f>
        <v>0</v>
      </c>
      <c r="O221" s="130">
        <f>O$159*Mitigation_Industry!O$675/1000+O$160*Mitigation_Industry!O$676/1000+O$161*Mitigation_Industry!O$677/1000</f>
        <v>0</v>
      </c>
      <c r="P221" s="130">
        <f>P$159*Mitigation_Industry!P$675/1000+P$160*Mitigation_Industry!P$676/1000+P$161*Mitigation_Industry!P$677/1000</f>
        <v>0</v>
      </c>
      <c r="Q221" s="130">
        <f>Q$159*Mitigation_Industry!Q$675/1000+Q$160*Mitigation_Industry!Q$676/1000+Q$161*Mitigation_Industry!Q$677/1000</f>
        <v>44.484183479382082</v>
      </c>
      <c r="R221" s="130">
        <f>R$159*Mitigation_Industry!R$675/1000+R$160*Mitigation_Industry!R$676/1000+R$161*Mitigation_Industry!R$677/1000</f>
        <v>92.882975104949779</v>
      </c>
      <c r="S221" s="130">
        <f>S$159*Mitigation_Industry!S$675/1000+S$160*Mitigation_Industry!S$676/1000+S$161*Mitigation_Industry!S$677/1000</f>
        <v>145.45473901435133</v>
      </c>
      <c r="T221" s="130">
        <f>T$159*Mitigation_Industry!T$675/1000+T$160*Mitigation_Industry!T$676/1000+T$161*Mitigation_Industry!T$677/1000</f>
        <v>202.4729967079771</v>
      </c>
      <c r="U221" s="130">
        <f>U$159*Mitigation_Industry!U$675/1000+U$160*Mitigation_Industry!U$676/1000+U$161*Mitigation_Industry!U$677/1000</f>
        <v>264.22726070391013</v>
      </c>
      <c r="V221" s="130">
        <f>V$159*Mitigation_Industry!V$675/1000+V$160*Mitigation_Industry!V$676/1000+V$161*Mitigation_Industry!V$677/1000</f>
        <v>331.02391220985851</v>
      </c>
      <c r="W221" s="130">
        <f>W$159*Mitigation_Industry!W$675/1000+W$160*Mitigation_Industry!W$676/1000+W$161*Mitigation_Industry!W$677/1000</f>
        <v>403.18712507160774</v>
      </c>
      <c r="X221" s="130">
        <f>X$159*Mitigation_Industry!X$675/1000+X$160*Mitigation_Industry!X$676/1000+X$161*Mitigation_Industry!X$677/1000</f>
        <v>481.05983837115264</v>
      </c>
      <c r="Y221" s="130">
        <f>Y$159*Mitigation_Industry!Y$675/1000+Y$160*Mitigation_Industry!Y$676/1000+Y$161*Mitigation_Industry!Y$677/1000</f>
        <v>565.00478016691886</v>
      </c>
      <c r="Z221" s="130">
        <f>Z$159*Mitigation_Industry!Z$675/1000+Z$160*Mitigation_Industry!Z$676/1000+Z$161*Mitigation_Industry!Z$677/1000</f>
        <v>655.40554499362565</v>
      </c>
      <c r="AA221" s="130">
        <f>AA$159*Mitigation_Industry!AA$675/1000+AA$160*Mitigation_Industry!AA$676/1000+AA$161*Mitigation_Industry!AA$677/1000</f>
        <v>752.66772787067964</v>
      </c>
      <c r="AB221" s="130">
        <f>AB$159*Mitigation_Industry!AB$675/1000+AB$160*Mitigation_Industry!AB$676/1000+AB$161*Mitigation_Industry!AB$677/1000</f>
        <v>857.22011770580696</v>
      </c>
      <c r="AC221" s="130">
        <f>AC$159*Mitigation_Industry!AC$675/1000+AC$160*Mitigation_Industry!AC$676/1000+AC$161*Mitigation_Industry!AC$677/1000</f>
        <v>969.51595312526786</v>
      </c>
      <c r="AD221" s="130">
        <f>AD$159*Mitigation_Industry!AD$675/1000+AD$160*Mitigation_Industry!AD$676/1000+AD$161*Mitigation_Industry!AD$677/1000</f>
        <v>1090.0342439137623</v>
      </c>
      <c r="AE221" s="130">
        <f>AE$159*Mitigation_Industry!AE$675/1000+AE$160*Mitigation_Industry!AE$676/1000+AE$161*Mitigation_Industry!AE$677/1000</f>
        <v>1219.2811614063942</v>
      </c>
    </row>
    <row r="222" spans="1:35" customFormat="1" ht="14.25" x14ac:dyDescent="0.45">
      <c r="B222" s="14" t="s">
        <v>110</v>
      </c>
      <c r="C222" s="14" t="s">
        <v>43</v>
      </c>
      <c r="D222" s="25" t="s">
        <v>2257</v>
      </c>
      <c r="E222" s="16" t="s">
        <v>79</v>
      </c>
      <c r="F222" s="14" t="s">
        <v>2258</v>
      </c>
      <c r="H222" s="128" t="str">
        <f>Settings!$B$3&amp;".mit.rsh.ind.irn.2"</f>
        <v>egy.mit.rsh.ind.irn.2</v>
      </c>
      <c r="I222" t="s">
        <v>2259</v>
      </c>
      <c r="L222" s="130">
        <f t="shared" ref="L222:AE222" si="61">IF(L$221&lt;=0,0,MIN(1,L$220/L$221))</f>
        <v>0</v>
      </c>
      <c r="M222" s="130">
        <f t="shared" si="61"/>
        <v>0</v>
      </c>
      <c r="N222" s="130">
        <f t="shared" si="61"/>
        <v>0</v>
      </c>
      <c r="O222" s="130">
        <f t="shared" si="61"/>
        <v>0</v>
      </c>
      <c r="P222" s="130">
        <f t="shared" si="61"/>
        <v>0</v>
      </c>
      <c r="Q222" s="130">
        <f t="shared" si="61"/>
        <v>0</v>
      </c>
      <c r="R222" s="130">
        <f t="shared" si="61"/>
        <v>0</v>
      </c>
      <c r="S222" s="130">
        <f t="shared" si="61"/>
        <v>0</v>
      </c>
      <c r="T222" s="130">
        <f t="shared" si="61"/>
        <v>0</v>
      </c>
      <c r="U222" s="130">
        <f t="shared" si="61"/>
        <v>0</v>
      </c>
      <c r="V222" s="130">
        <f t="shared" si="61"/>
        <v>0</v>
      </c>
      <c r="W222" s="130">
        <f t="shared" si="61"/>
        <v>0</v>
      </c>
      <c r="X222" s="130">
        <f t="shared" si="61"/>
        <v>0</v>
      </c>
      <c r="Y222" s="130">
        <f t="shared" si="61"/>
        <v>0</v>
      </c>
      <c r="Z222" s="130">
        <f t="shared" si="61"/>
        <v>0</v>
      </c>
      <c r="AA222" s="130">
        <f t="shared" si="61"/>
        <v>0</v>
      </c>
      <c r="AB222" s="130">
        <f t="shared" si="61"/>
        <v>0</v>
      </c>
      <c r="AC222" s="130">
        <f t="shared" si="61"/>
        <v>0</v>
      </c>
      <c r="AD222" s="130">
        <f t="shared" si="61"/>
        <v>0</v>
      </c>
      <c r="AE222" s="130">
        <f t="shared" si="61"/>
        <v>0</v>
      </c>
    </row>
    <row r="223" spans="1:35" customFormat="1" ht="14.25" x14ac:dyDescent="0.45">
      <c r="B223" s="14" t="s">
        <v>49</v>
      </c>
      <c r="C223" s="14" t="s">
        <v>43</v>
      </c>
      <c r="D223" s="15" t="s">
        <v>2260</v>
      </c>
      <c r="E223" s="16" t="s">
        <v>51</v>
      </c>
      <c r="F223" s="14" t="s">
        <v>2261</v>
      </c>
      <c r="G223" s="17"/>
      <c r="H223" s="128" t="str">
        <f>Settings!$B$3&amp;".mit.atpn.irn.coa.e.2"</f>
        <v>egy.mit.atpn.irn.coa.e.2</v>
      </c>
      <c r="I223" t="s">
        <v>2318</v>
      </c>
      <c r="K223" s="18"/>
      <c r="L223" s="19">
        <f>Mitigation_Industry!L$416-(Mitigation_Industry!L$416-Mitigation_Industry!L$406)*L$222</f>
        <v>10.5233613454312</v>
      </c>
      <c r="M223" s="19">
        <f>Mitigation_Industry!M$416-(Mitigation_Industry!M$416-Mitigation_Industry!M$406)*M$222</f>
        <v>10.2995608274442</v>
      </c>
      <c r="N223" s="19">
        <f>Mitigation_Industry!N$416-(Mitigation_Industry!N$416-Mitigation_Industry!N$406)*N$222</f>
        <v>9.5775283595382597</v>
      </c>
      <c r="O223" s="19">
        <f>Mitigation_Industry!O$416-(Mitigation_Industry!O$416-Mitigation_Industry!O$406)*O$222</f>
        <v>8.4854782869580507</v>
      </c>
      <c r="P223" s="19">
        <f>Mitigation_Industry!P$416-(Mitigation_Industry!P$416-Mitigation_Industry!P$406)*P$222</f>
        <v>9.0871922352498604</v>
      </c>
      <c r="Q223" s="19">
        <f>Mitigation_Industry!Q$416-(Mitigation_Industry!Q$416-Mitigation_Industry!Q$406)*Q$222</f>
        <v>10.472923728932679</v>
      </c>
      <c r="R223" s="19">
        <f>Mitigation_Industry!R$416-(Mitigation_Industry!R$416-Mitigation_Industry!R$406)*R$222</f>
        <v>11.658564955509689</v>
      </c>
      <c r="S223" s="19">
        <f>Mitigation_Industry!S$416-(Mitigation_Industry!S$416-Mitigation_Industry!S$406)*S$222</f>
        <v>12.839547877397379</v>
      </c>
      <c r="T223" s="19">
        <f>Mitigation_Industry!T$416-(Mitigation_Industry!T$416-Mitigation_Industry!T$406)*T$222</f>
        <v>14.01568166602283</v>
      </c>
      <c r="U223" s="19">
        <f>Mitigation_Industry!U$416-(Mitigation_Industry!U$416-Mitigation_Industry!U$406)*U$222</f>
        <v>15.19439776555711</v>
      </c>
      <c r="V223" s="19">
        <f>Mitigation_Industry!V$416-(Mitigation_Industry!V$416-Mitigation_Industry!V$406)*V$222</f>
        <v>16.44439776555711</v>
      </c>
      <c r="W223" s="19">
        <f>Mitigation_Industry!W$416-(Mitigation_Industry!W$416-Mitigation_Industry!W$406)*W$222</f>
        <v>17.69439776555711</v>
      </c>
      <c r="X223" s="19">
        <f>Mitigation_Industry!X$416-(Mitigation_Industry!X$416-Mitigation_Industry!X$406)*X$222</f>
        <v>18.94439776555711</v>
      </c>
      <c r="Y223" s="19">
        <f>Mitigation_Industry!Y$416-(Mitigation_Industry!Y$416-Mitigation_Industry!Y$406)*Y$222</f>
        <v>20.19439776555711</v>
      </c>
      <c r="Z223" s="19">
        <f>Mitigation_Industry!Z$416-(Mitigation_Industry!Z$416-Mitigation_Industry!Z$406)*Z$222</f>
        <v>21.44439776555711</v>
      </c>
      <c r="AA223" s="19">
        <f>Mitigation_Industry!AA$416-(Mitigation_Industry!AA$416-Mitigation_Industry!AA$406)*AA$222</f>
        <v>22.69439776555711</v>
      </c>
      <c r="AB223" s="19">
        <f>Mitigation_Industry!AB$416-(Mitigation_Industry!AB$416-Mitigation_Industry!AB$406)*AB$222</f>
        <v>23.94439776555711</v>
      </c>
      <c r="AC223" s="19">
        <f>Mitigation_Industry!AC$416-(Mitigation_Industry!AC$416-Mitigation_Industry!AC$406)*AC$222</f>
        <v>25.19439776555711</v>
      </c>
      <c r="AD223" s="19">
        <f>Mitigation_Industry!AD$416-(Mitigation_Industry!AD$416-Mitigation_Industry!AD$406)*AD$222</f>
        <v>26.44439776555711</v>
      </c>
      <c r="AE223" s="19">
        <f>Mitigation_Industry!AE$416-(Mitigation_Industry!AE$416-Mitigation_Industry!AE$406)*AE$222</f>
        <v>27.69439776555711</v>
      </c>
    </row>
    <row r="224" spans="1:35" customFormat="1" ht="14.25" x14ac:dyDescent="0.45">
      <c r="B224" s="14" t="s">
        <v>53</v>
      </c>
      <c r="C224" s="14" t="s">
        <v>43</v>
      </c>
      <c r="D224" s="15" t="s">
        <v>2263</v>
      </c>
      <c r="E224" s="16" t="s">
        <v>51</v>
      </c>
      <c r="F224" s="14" t="s">
        <v>2261</v>
      </c>
      <c r="G224" s="17"/>
      <c r="H224" s="128" t="str">
        <f>Settings!$B$3&amp;".mit.atpn.irn.nga.e.2"</f>
        <v>egy.mit.atpn.irn.nga.e.2</v>
      </c>
      <c r="I224" t="s">
        <v>2319</v>
      </c>
      <c r="K224" s="18"/>
      <c r="L224" s="19">
        <f>Mitigation_Industry!L$417-(Mitigation_Industry!L$417-Mitigation_Industry!L$407)*L$222</f>
        <v>5.4510150816191896</v>
      </c>
      <c r="M224" s="19">
        <f>Mitigation_Industry!M$417-(Mitigation_Industry!M$417-Mitigation_Industry!M$407)*M$222</f>
        <v>5.1193563062624801</v>
      </c>
      <c r="N224" s="19">
        <f>Mitigation_Industry!N$417-(Mitigation_Industry!N$417-Mitigation_Industry!N$407)*N$222</f>
        <v>5.08218458640407</v>
      </c>
      <c r="O224" s="19">
        <f>Mitigation_Industry!O$417-(Mitigation_Industry!O$417-Mitigation_Industry!O$407)*O$222</f>
        <v>5.08218458640407</v>
      </c>
      <c r="P224" s="19">
        <f>Mitigation_Industry!P$417-(Mitigation_Industry!P$417-Mitigation_Industry!P$407)*P$222</f>
        <v>5.08218458640407</v>
      </c>
      <c r="Q224" s="19">
        <f>Mitigation_Industry!Q$417-(Mitigation_Industry!Q$417-Mitigation_Industry!Q$407)*Q$222</f>
        <v>5.7796845864040698</v>
      </c>
      <c r="R224" s="19">
        <f>Mitigation_Industry!R$417-(Mitigation_Industry!R$417-Mitigation_Industry!R$407)*R$222</f>
        <v>6.4771845864040696</v>
      </c>
      <c r="S224" s="19">
        <f>Mitigation_Industry!S$417-(Mitigation_Industry!S$417-Mitigation_Industry!S$407)*S$222</f>
        <v>7.1746845864040703</v>
      </c>
      <c r="T224" s="19">
        <f>Mitigation_Industry!T$417-(Mitigation_Industry!T$417-Mitigation_Industry!T$407)*T$222</f>
        <v>7.87218458640407</v>
      </c>
      <c r="U224" s="19">
        <f>Mitigation_Industry!U$417-(Mitigation_Industry!U$417-Mitigation_Industry!U$407)*U$222</f>
        <v>8.5696845864040707</v>
      </c>
      <c r="V224" s="19">
        <f>Mitigation_Industry!V$417-(Mitigation_Industry!V$417-Mitigation_Industry!V$407)*V$222</f>
        <v>9.2671845864040705</v>
      </c>
      <c r="W224" s="19">
        <f>Mitigation_Industry!W$417-(Mitigation_Industry!W$417-Mitigation_Industry!W$407)*W$222</f>
        <v>9.9646845864040703</v>
      </c>
      <c r="X224" s="19">
        <f>Mitigation_Industry!X$417-(Mitigation_Industry!X$417-Mitigation_Industry!X$407)*X$222</f>
        <v>10.66218458640407</v>
      </c>
      <c r="Y224" s="19">
        <f>Mitigation_Industry!Y$417-(Mitigation_Industry!Y$417-Mitigation_Industry!Y$407)*Y$222</f>
        <v>11.35968458640407</v>
      </c>
      <c r="Z224" s="19">
        <f>Mitigation_Industry!Z$417-(Mitigation_Industry!Z$417-Mitigation_Industry!Z$407)*Z$222</f>
        <v>12.05718458640407</v>
      </c>
      <c r="AA224" s="19">
        <f>Mitigation_Industry!AA$417-(Mitigation_Industry!AA$417-Mitigation_Industry!AA$407)*AA$222</f>
        <v>12.754684586404071</v>
      </c>
      <c r="AB224" s="19">
        <f>Mitigation_Industry!AB$417-(Mitigation_Industry!AB$417-Mitigation_Industry!AB$407)*AB$222</f>
        <v>13.452184586404071</v>
      </c>
      <c r="AC224" s="19">
        <f>Mitigation_Industry!AC$417-(Mitigation_Industry!AC$417-Mitigation_Industry!AC$407)*AC$222</f>
        <v>14.149684586404071</v>
      </c>
      <c r="AD224" s="19">
        <f>Mitigation_Industry!AD$417-(Mitigation_Industry!AD$417-Mitigation_Industry!AD$407)*AD$222</f>
        <v>14.847184586404071</v>
      </c>
      <c r="AE224" s="19">
        <f>Mitigation_Industry!AE$417-(Mitigation_Industry!AE$417-Mitigation_Industry!AE$407)*AE$222</f>
        <v>15.54468458640407</v>
      </c>
    </row>
    <row r="225" spans="1:35" customFormat="1" ht="14.25" x14ac:dyDescent="0.45">
      <c r="B225" s="14" t="s">
        <v>55</v>
      </c>
      <c r="C225" s="14" t="s">
        <v>43</v>
      </c>
      <c r="D225" s="15" t="s">
        <v>2265</v>
      </c>
      <c r="E225" s="16" t="s">
        <v>57</v>
      </c>
      <c r="F225" s="14" t="s">
        <v>2261</v>
      </c>
      <c r="G225" s="17"/>
      <c r="H225" s="128" t="str">
        <f>Settings!$B$3&amp;".mit.atpn.irn.gso.e.2"</f>
        <v>egy.mit.atpn.irn.gso.e.2</v>
      </c>
      <c r="I225" t="s">
        <v>2320</v>
      </c>
      <c r="K225" s="18"/>
      <c r="L225" s="19">
        <f>Mitigation_Industry!L$418-(Mitigation_Industry!L$418-Mitigation_Industry!L$408)*L$222</f>
        <v>0.61197797679140598</v>
      </c>
      <c r="M225" s="19">
        <f>Mitigation_Industry!M$418-(Mitigation_Industry!M$418-Mitigation_Industry!M$408)*M$222</f>
        <v>0.61180974964187596</v>
      </c>
      <c r="N225" s="19">
        <f>Mitigation_Industry!N$418-(Mitigation_Industry!N$418-Mitigation_Industry!N$408)*N$222</f>
        <v>0.60358310017790595</v>
      </c>
      <c r="O225" s="19">
        <f>Mitigation_Industry!O$418-(Mitigation_Industry!O$418-Mitigation_Industry!O$408)*O$222</f>
        <v>0.60358310017790595</v>
      </c>
      <c r="P225" s="19">
        <f>Mitigation_Industry!P$418-(Mitigation_Industry!P$418-Mitigation_Industry!P$408)*P$222</f>
        <v>0.60358310017790595</v>
      </c>
      <c r="Q225" s="19">
        <f>Mitigation_Industry!Q$418-(Mitigation_Industry!Q$418-Mitigation_Industry!Q$408)*Q$222</f>
        <v>0.63251094334940594</v>
      </c>
      <c r="R225" s="19">
        <f>Mitigation_Industry!R$418-(Mitigation_Industry!R$418-Mitigation_Industry!R$408)*R$222</f>
        <v>0.66143878652090593</v>
      </c>
      <c r="S225" s="19">
        <f>Mitigation_Industry!S$418-(Mitigation_Industry!S$418-Mitigation_Industry!S$408)*S$222</f>
        <v>0.69036662969240592</v>
      </c>
      <c r="T225" s="19">
        <f>Mitigation_Industry!T$418-(Mitigation_Industry!T$418-Mitigation_Industry!T$408)*T$222</f>
        <v>0.71929447286390591</v>
      </c>
      <c r="U225" s="19">
        <f>Mitigation_Industry!U$418-(Mitigation_Industry!U$418-Mitigation_Industry!U$408)*U$222</f>
        <v>0.74822231603540601</v>
      </c>
      <c r="V225" s="19">
        <f>Mitigation_Industry!V$418-(Mitigation_Industry!V$418-Mitigation_Industry!V$408)*V$222</f>
        <v>0.777150159206906</v>
      </c>
      <c r="W225" s="19">
        <f>Mitigation_Industry!W$418-(Mitigation_Industry!W$418-Mitigation_Industry!W$408)*W$222</f>
        <v>0.80607800237840599</v>
      </c>
      <c r="X225" s="19">
        <f>Mitigation_Industry!X$418-(Mitigation_Industry!X$418-Mitigation_Industry!X$408)*X$222</f>
        <v>0.83500584554990598</v>
      </c>
      <c r="Y225" s="19">
        <f>Mitigation_Industry!Y$418-(Mitigation_Industry!Y$418-Mitigation_Industry!Y$408)*Y$222</f>
        <v>0.86393368872140597</v>
      </c>
      <c r="Z225" s="19">
        <f>Mitigation_Industry!Z$418-(Mitigation_Industry!Z$418-Mitigation_Industry!Z$408)*Z$222</f>
        <v>0.89286153189290596</v>
      </c>
      <c r="AA225" s="19">
        <f>Mitigation_Industry!AA$418-(Mitigation_Industry!AA$418-Mitigation_Industry!AA$408)*AA$222</f>
        <v>0.92178937506440595</v>
      </c>
      <c r="AB225" s="19">
        <f>Mitigation_Industry!AB$418-(Mitigation_Industry!AB$418-Mitigation_Industry!AB$408)*AB$222</f>
        <v>0.95071721823590605</v>
      </c>
      <c r="AC225" s="19">
        <f>Mitigation_Industry!AC$418-(Mitigation_Industry!AC$418-Mitigation_Industry!AC$408)*AC$222</f>
        <v>0.97964506140740593</v>
      </c>
      <c r="AD225" s="19">
        <f>Mitigation_Industry!AD$418-(Mitigation_Industry!AD$418-Mitigation_Industry!AD$408)*AD$222</f>
        <v>1.008572904578906</v>
      </c>
      <c r="AE225" s="19">
        <f>Mitigation_Industry!AE$418-(Mitigation_Industry!AE$418-Mitigation_Industry!AE$408)*AE$222</f>
        <v>1.0375007477504061</v>
      </c>
    </row>
    <row r="226" spans="1:35" customFormat="1" ht="14.25" x14ac:dyDescent="0.45">
      <c r="B226" s="14" t="s">
        <v>58</v>
      </c>
      <c r="C226" s="14" t="s">
        <v>43</v>
      </c>
      <c r="D226" s="15" t="s">
        <v>2267</v>
      </c>
      <c r="E226" s="16" t="s">
        <v>57</v>
      </c>
      <c r="F226" s="14" t="s">
        <v>2261</v>
      </c>
      <c r="G226" s="17"/>
      <c r="H226" s="128" t="str">
        <f>Settings!$B$3&amp;".mit.atpn.irn.die.e.2"</f>
        <v>egy.mit.atpn.irn.die.e.2</v>
      </c>
      <c r="I226" t="s">
        <v>2321</v>
      </c>
      <c r="K226" s="18"/>
      <c r="L226" s="19">
        <f>Mitigation_Industry!L$419-(Mitigation_Industry!L$419-Mitigation_Industry!L$409)*L$222</f>
        <v>0.49458873084106802</v>
      </c>
      <c r="M226" s="19">
        <f>Mitigation_Industry!M$419-(Mitigation_Industry!M$419-Mitigation_Industry!M$409)*M$222</f>
        <v>0.50778654720250105</v>
      </c>
      <c r="N226" s="19">
        <f>Mitigation_Industry!N$419-(Mitigation_Industry!N$419-Mitigation_Industry!N$409)*N$222</f>
        <v>0.47043642679561698</v>
      </c>
      <c r="O226" s="19">
        <f>Mitigation_Industry!O$419-(Mitigation_Industry!O$419-Mitigation_Industry!O$409)*O$222</f>
        <v>0.47043642679561698</v>
      </c>
      <c r="P226" s="19">
        <f>Mitigation_Industry!P$419-(Mitigation_Industry!P$419-Mitigation_Industry!P$409)*P$222</f>
        <v>0.47043642679561698</v>
      </c>
      <c r="Q226" s="19">
        <f>Mitigation_Industry!Q$419-(Mitigation_Industry!Q$419-Mitigation_Industry!Q$409)*Q$222</f>
        <v>0.50344686565449193</v>
      </c>
      <c r="R226" s="19">
        <f>Mitigation_Industry!R$419-(Mitigation_Industry!R$419-Mitigation_Industry!R$409)*R$222</f>
        <v>0.53645730451336693</v>
      </c>
      <c r="S226" s="19">
        <f>Mitigation_Industry!S$419-(Mitigation_Industry!S$419-Mitigation_Industry!S$409)*S$222</f>
        <v>0.56946774337224193</v>
      </c>
      <c r="T226" s="19">
        <f>Mitigation_Industry!T$419-(Mitigation_Industry!T$419-Mitigation_Industry!T$409)*T$222</f>
        <v>0.60247818223111693</v>
      </c>
      <c r="U226" s="19">
        <f>Mitigation_Industry!U$419-(Mitigation_Industry!U$419-Mitigation_Industry!U$409)*U$222</f>
        <v>0.63548862108999193</v>
      </c>
      <c r="V226" s="19">
        <f>Mitigation_Industry!V$419-(Mitigation_Industry!V$419-Mitigation_Industry!V$409)*V$222</f>
        <v>0.66849905994886694</v>
      </c>
      <c r="W226" s="19">
        <f>Mitigation_Industry!W$419-(Mitigation_Industry!W$419-Mitigation_Industry!W$409)*W$222</f>
        <v>0.70150949880774194</v>
      </c>
      <c r="X226" s="19">
        <f>Mitigation_Industry!X$419-(Mitigation_Industry!X$419-Mitigation_Industry!X$409)*X$222</f>
        <v>0.73451993766661694</v>
      </c>
      <c r="Y226" s="19">
        <f>Mitigation_Industry!Y$419-(Mitigation_Industry!Y$419-Mitigation_Industry!Y$409)*Y$222</f>
        <v>0.76753037652549194</v>
      </c>
      <c r="Z226" s="19">
        <f>Mitigation_Industry!Z$419-(Mitigation_Industry!Z$419-Mitigation_Industry!Z$409)*Z$222</f>
        <v>0.80054081538436694</v>
      </c>
      <c r="AA226" s="19">
        <f>Mitigation_Industry!AA$419-(Mitigation_Industry!AA$419-Mitigation_Industry!AA$409)*AA$222</f>
        <v>0.83355125424324195</v>
      </c>
      <c r="AB226" s="19">
        <f>Mitigation_Industry!AB$419-(Mitigation_Industry!AB$419-Mitigation_Industry!AB$409)*AB$222</f>
        <v>0.86656169310211695</v>
      </c>
      <c r="AC226" s="19">
        <f>Mitigation_Industry!AC$419-(Mitigation_Industry!AC$419-Mitigation_Industry!AC$409)*AC$222</f>
        <v>0.89957213196099195</v>
      </c>
      <c r="AD226" s="19">
        <f>Mitigation_Industry!AD$419-(Mitigation_Industry!AD$419-Mitigation_Industry!AD$409)*AD$222</f>
        <v>0.93258257081986695</v>
      </c>
      <c r="AE226" s="19">
        <f>Mitigation_Industry!AE$419-(Mitigation_Industry!AE$419-Mitigation_Industry!AE$409)*AE$222</f>
        <v>0.96559300967874195</v>
      </c>
    </row>
    <row r="227" spans="1:35" customFormat="1" ht="14.25" x14ac:dyDescent="0.45">
      <c r="B227" s="14" t="s">
        <v>60</v>
      </c>
      <c r="C227" s="14" t="s">
        <v>43</v>
      </c>
      <c r="D227" s="15" t="s">
        <v>2269</v>
      </c>
      <c r="E227" s="16" t="s">
        <v>57</v>
      </c>
      <c r="F227" s="14" t="s">
        <v>2261</v>
      </c>
      <c r="G227" s="17"/>
      <c r="H227" s="128" t="str">
        <f>Settings!$B$3&amp;".mit.atpn.irn.lpg.e.2"</f>
        <v>egy.mit.atpn.irn.lpg.e.2</v>
      </c>
      <c r="I227" t="s">
        <v>2322</v>
      </c>
      <c r="K227" s="18"/>
      <c r="L227" s="19">
        <f>Mitigation_Industry!L$420-(Mitigation_Industry!L$420-Mitigation_Industry!L$410)*L$222</f>
        <v>0.15734473625227399</v>
      </c>
      <c r="M227" s="19">
        <f>Mitigation_Industry!M$420-(Mitigation_Industry!M$420-Mitigation_Industry!M$410)*M$222</f>
        <v>0.164484037759277</v>
      </c>
      <c r="N227" s="19">
        <f>Mitigation_Industry!N$420-(Mitigation_Industry!N$420-Mitigation_Industry!N$410)*N$222</f>
        <v>0.15070907780704901</v>
      </c>
      <c r="O227" s="19">
        <f>Mitigation_Industry!O$420-(Mitigation_Industry!O$420-Mitigation_Industry!O$410)*O$222</f>
        <v>0.15070907780704901</v>
      </c>
      <c r="P227" s="19">
        <f>Mitigation_Industry!P$420-(Mitigation_Industry!P$420-Mitigation_Industry!P$410)*P$222</f>
        <v>0.15070907780704901</v>
      </c>
      <c r="Q227" s="19">
        <f>Mitigation_Industry!Q$420-(Mitigation_Industry!Q$420-Mitigation_Industry!Q$410)*Q$222</f>
        <v>0.17281516073434466</v>
      </c>
      <c r="R227" s="19">
        <f>Mitigation_Industry!R$420-(Mitigation_Industry!R$420-Mitigation_Industry!R$410)*R$222</f>
        <v>0.19492124366164035</v>
      </c>
      <c r="S227" s="19">
        <f>Mitigation_Industry!S$420-(Mitigation_Industry!S$420-Mitigation_Industry!S$410)*S$222</f>
        <v>0.217027326588936</v>
      </c>
      <c r="T227" s="19">
        <f>Mitigation_Industry!T$420-(Mitigation_Industry!T$420-Mitigation_Industry!T$410)*T$222</f>
        <v>0.23913340951623169</v>
      </c>
      <c r="U227" s="19">
        <f>Mitigation_Industry!U$420-(Mitigation_Industry!U$420-Mitigation_Industry!U$410)*U$222</f>
        <v>0.26123949244352734</v>
      </c>
      <c r="V227" s="19">
        <f>Mitigation_Industry!V$420-(Mitigation_Industry!V$420-Mitigation_Industry!V$410)*V$222</f>
        <v>0.283345575370823</v>
      </c>
      <c r="W227" s="19">
        <f>Mitigation_Industry!W$420-(Mitigation_Industry!W$420-Mitigation_Industry!W$410)*W$222</f>
        <v>0.30545165829811871</v>
      </c>
      <c r="X227" s="19">
        <f>Mitigation_Industry!X$420-(Mitigation_Industry!X$420-Mitigation_Industry!X$410)*X$222</f>
        <v>0.32755774122541437</v>
      </c>
      <c r="Y227" s="19">
        <f>Mitigation_Industry!Y$420-(Mitigation_Industry!Y$420-Mitigation_Industry!Y$410)*Y$222</f>
        <v>0.34966382415271002</v>
      </c>
      <c r="Z227" s="19">
        <f>Mitigation_Industry!Z$420-(Mitigation_Industry!Z$420-Mitigation_Industry!Z$410)*Z$222</f>
        <v>0.37176990708000568</v>
      </c>
      <c r="AA227" s="19">
        <f>Mitigation_Industry!AA$420-(Mitigation_Industry!AA$420-Mitigation_Industry!AA$410)*AA$222</f>
        <v>0.39387599000730134</v>
      </c>
      <c r="AB227" s="19">
        <f>Mitigation_Industry!AB$420-(Mitigation_Industry!AB$420-Mitigation_Industry!AB$410)*AB$222</f>
        <v>0.41598207293459699</v>
      </c>
      <c r="AC227" s="19">
        <f>Mitigation_Industry!AC$420-(Mitigation_Industry!AC$420-Mitigation_Industry!AC$410)*AC$222</f>
        <v>0.4380881558618927</v>
      </c>
      <c r="AD227" s="19">
        <f>Mitigation_Industry!AD$420-(Mitigation_Industry!AD$420-Mitigation_Industry!AD$410)*AD$222</f>
        <v>0.46019423878918836</v>
      </c>
      <c r="AE227" s="19">
        <f>Mitigation_Industry!AE$420-(Mitigation_Industry!AE$420-Mitigation_Industry!AE$410)*AE$222</f>
        <v>0.48230032171648402</v>
      </c>
    </row>
    <row r="228" spans="1:35" customFormat="1" ht="14.25" x14ac:dyDescent="0.45">
      <c r="B228" s="14" t="s">
        <v>62</v>
      </c>
      <c r="C228" s="14" t="s">
        <v>43</v>
      </c>
      <c r="D228" s="15" t="s">
        <v>2271</v>
      </c>
      <c r="E228" s="16" t="s">
        <v>57</v>
      </c>
      <c r="F228" s="14" t="s">
        <v>2261</v>
      </c>
      <c r="G228" s="17"/>
      <c r="H228" s="128" t="str">
        <f>Settings!$B$3&amp;".mit.atpn.irn.ker.e.2"</f>
        <v>egy.mit.atpn.irn.ker.e.2</v>
      </c>
      <c r="I228" t="s">
        <v>2323</v>
      </c>
      <c r="K228" s="18"/>
      <c r="L228" s="19">
        <f>Mitigation_Industry!L$421-(Mitigation_Industry!L$421-Mitigation_Industry!L$411)*L$222</f>
        <v>0.45642817050012802</v>
      </c>
      <c r="M228" s="19">
        <f>Mitigation_Industry!M$421-(Mitigation_Industry!M$421-Mitigation_Industry!M$411)*M$222</f>
        <v>0.43168920195599497</v>
      </c>
      <c r="N228" s="19">
        <f>Mitigation_Industry!N$421-(Mitigation_Industry!N$421-Mitigation_Industry!N$411)*N$222</f>
        <v>0.42507558395597</v>
      </c>
      <c r="O228" s="19">
        <f>Mitigation_Industry!O$421-(Mitigation_Industry!O$421-Mitigation_Industry!O$411)*O$222</f>
        <v>0.42507558395597</v>
      </c>
      <c r="P228" s="19">
        <f>Mitigation_Industry!P$421-(Mitigation_Industry!P$421-Mitigation_Industry!P$411)*P$222</f>
        <v>0.42507558395597</v>
      </c>
      <c r="Q228" s="19">
        <f>Mitigation_Industry!Q$421-(Mitigation_Industry!Q$421-Mitigation_Industry!Q$411)*Q$222</f>
        <v>0.45706441406607845</v>
      </c>
      <c r="R228" s="19">
        <f>Mitigation_Industry!R$421-(Mitigation_Industry!R$421-Mitigation_Industry!R$411)*R$222</f>
        <v>0.48905324417618695</v>
      </c>
      <c r="S228" s="19">
        <f>Mitigation_Industry!S$421-(Mitigation_Industry!S$421-Mitigation_Industry!S$411)*S$222</f>
        <v>0.52104207428629534</v>
      </c>
      <c r="T228" s="19">
        <f>Mitigation_Industry!T$421-(Mitigation_Industry!T$421-Mitigation_Industry!T$411)*T$222</f>
        <v>0.5530309043964039</v>
      </c>
      <c r="U228" s="19">
        <f>Mitigation_Industry!U$421-(Mitigation_Industry!U$421-Mitigation_Industry!U$411)*U$222</f>
        <v>0.58501973450651235</v>
      </c>
      <c r="V228" s="19">
        <f>Mitigation_Industry!V$421-(Mitigation_Industry!V$421-Mitigation_Industry!V$411)*V$222</f>
        <v>0.61700856461662079</v>
      </c>
      <c r="W228" s="19">
        <f>Mitigation_Industry!W$421-(Mitigation_Industry!W$421-Mitigation_Industry!W$411)*W$222</f>
        <v>0.64899739472672924</v>
      </c>
      <c r="X228" s="19">
        <f>Mitigation_Industry!X$421-(Mitigation_Industry!X$421-Mitigation_Industry!X$411)*X$222</f>
        <v>0.68098622483683768</v>
      </c>
      <c r="Y228" s="19">
        <f>Mitigation_Industry!Y$421-(Mitigation_Industry!Y$421-Mitigation_Industry!Y$411)*Y$222</f>
        <v>0.71297505494694624</v>
      </c>
      <c r="Z228" s="19">
        <f>Mitigation_Industry!Z$421-(Mitigation_Industry!Z$421-Mitigation_Industry!Z$411)*Z$222</f>
        <v>0.74496388505705469</v>
      </c>
      <c r="AA228" s="19">
        <f>Mitigation_Industry!AA$421-(Mitigation_Industry!AA$421-Mitigation_Industry!AA$411)*AA$222</f>
        <v>0.77695271516716313</v>
      </c>
      <c r="AB228" s="19">
        <f>Mitigation_Industry!AB$421-(Mitigation_Industry!AB$421-Mitigation_Industry!AB$411)*AB$222</f>
        <v>0.80894154527727158</v>
      </c>
      <c r="AC228" s="19">
        <f>Mitigation_Industry!AC$421-(Mitigation_Industry!AC$421-Mitigation_Industry!AC$411)*AC$222</f>
        <v>0.84093037538738002</v>
      </c>
      <c r="AD228" s="19">
        <f>Mitigation_Industry!AD$421-(Mitigation_Industry!AD$421-Mitigation_Industry!AD$411)*AD$222</f>
        <v>0.87291920549748858</v>
      </c>
      <c r="AE228" s="19">
        <f>Mitigation_Industry!AE$421-(Mitigation_Industry!AE$421-Mitigation_Industry!AE$411)*AE$222</f>
        <v>0.90490803560759692</v>
      </c>
    </row>
    <row r="229" spans="1:35" customFormat="1" ht="14.25" x14ac:dyDescent="0.45">
      <c r="B229" s="14" t="s">
        <v>64</v>
      </c>
      <c r="C229" s="14" t="s">
        <v>43</v>
      </c>
      <c r="D229" s="15" t="s">
        <v>2273</v>
      </c>
      <c r="E229" s="16" t="s">
        <v>66</v>
      </c>
      <c r="F229" s="14" t="s">
        <v>2261</v>
      </c>
      <c r="G229" s="17"/>
      <c r="H229" s="128" t="str">
        <f>Settings!$B$3&amp;".mit.atpn.irn.oop.e.2"</f>
        <v>egy.mit.atpn.irn.oop.e.2</v>
      </c>
      <c r="I229" t="s">
        <v>2324</v>
      </c>
      <c r="K229" s="18"/>
      <c r="L229" s="19">
        <f>Mitigation_Industry!L$422-(Mitigation_Industry!L$422-Mitigation_Industry!L$412)*L$222</f>
        <v>34.4153703043132</v>
      </c>
      <c r="M229" s="19">
        <f>Mitigation_Industry!M$422-(Mitigation_Industry!M$422-Mitigation_Industry!M$412)*M$222</f>
        <v>37.368960690431997</v>
      </c>
      <c r="N229" s="19">
        <f>Mitigation_Industry!N$422-(Mitigation_Industry!N$422-Mitigation_Industry!N$412)*N$222</f>
        <v>28.982761101477301</v>
      </c>
      <c r="O229" s="19">
        <f>Mitigation_Industry!O$422-(Mitigation_Industry!O$422-Mitigation_Industry!O$412)*O$222</f>
        <v>15</v>
      </c>
      <c r="P229" s="19">
        <f>Mitigation_Industry!P$422-(Mitigation_Industry!P$422-Mitigation_Industry!P$412)*P$222</f>
        <v>24.2586300842555</v>
      </c>
      <c r="Q229" s="19">
        <f>Mitigation_Industry!Q$422-(Mitigation_Industry!Q$422-Mitigation_Industry!Q$412)*Q$222</f>
        <v>18.963758196132499</v>
      </c>
      <c r="R229" s="19">
        <f>Mitigation_Industry!R$422-(Mitigation_Industry!R$422-Mitigation_Industry!R$412)*R$222</f>
        <v>21.760345114010597</v>
      </c>
      <c r="S229" s="19">
        <f>Mitigation_Industry!S$422-(Mitigation_Industry!S$422-Mitigation_Industry!S$412)*S$222</f>
        <v>26.079880691373621</v>
      </c>
      <c r="T229" s="19">
        <f>Mitigation_Industry!T$422-(Mitigation_Industry!T$422-Mitigation_Industry!T$412)*T$222</f>
        <v>30.593682445209218</v>
      </c>
      <c r="U229" s="19">
        <f>Mitigation_Industry!U$422-(Mitigation_Industry!U$422-Mitigation_Industry!U$412)*U$222</f>
        <v>34.990509739410058</v>
      </c>
      <c r="V229" s="19">
        <f>Mitigation_Industry!V$422-(Mitigation_Industry!V$422-Mitigation_Industry!V$412)*V$222</f>
        <v>40.858059739410059</v>
      </c>
      <c r="W229" s="19">
        <f>Mitigation_Industry!W$422-(Mitigation_Industry!W$422-Mitigation_Industry!W$412)*W$222</f>
        <v>46.725609739410054</v>
      </c>
      <c r="X229" s="19">
        <f>Mitigation_Industry!X$422-(Mitigation_Industry!X$422-Mitigation_Industry!X$412)*X$222</f>
        <v>52.593159739410055</v>
      </c>
      <c r="Y229" s="19">
        <f>Mitigation_Industry!Y$422-(Mitigation_Industry!Y$422-Mitigation_Industry!Y$412)*Y$222</f>
        <v>58.460709739410056</v>
      </c>
      <c r="Z229" s="19">
        <f>Mitigation_Industry!Z$422-(Mitigation_Industry!Z$422-Mitigation_Industry!Z$412)*Z$222</f>
        <v>64.328259739410072</v>
      </c>
      <c r="AA229" s="19">
        <f>Mitigation_Industry!AA$422-(Mitigation_Industry!AA$422-Mitigation_Industry!AA$412)*AA$222</f>
        <v>70.195809739410052</v>
      </c>
      <c r="AB229" s="19">
        <f>Mitigation_Industry!AB$422-(Mitigation_Industry!AB$422-Mitigation_Industry!AB$412)*AB$222</f>
        <v>76.06335973941006</v>
      </c>
      <c r="AC229" s="19">
        <f>Mitigation_Industry!AC$422-(Mitigation_Industry!AC$422-Mitigation_Industry!AC$412)*AC$222</f>
        <v>81.930909739410041</v>
      </c>
      <c r="AD229" s="19">
        <f>Mitigation_Industry!AD$422-(Mitigation_Industry!AD$422-Mitigation_Industry!AD$412)*AD$222</f>
        <v>87.798459739410049</v>
      </c>
      <c r="AE229" s="19">
        <f>Mitigation_Industry!AE$422-(Mitigation_Industry!AE$422-Mitigation_Industry!AE$412)*AE$222</f>
        <v>93.666009739410043</v>
      </c>
    </row>
    <row r="230" spans="1:35" customFormat="1" ht="14.25" x14ac:dyDescent="0.45">
      <c r="B230" s="14" t="s">
        <v>67</v>
      </c>
      <c r="C230" s="14" t="s">
        <v>43</v>
      </c>
      <c r="D230" s="15" t="s">
        <v>2275</v>
      </c>
      <c r="E230" s="16" t="s">
        <v>51</v>
      </c>
      <c r="F230" s="14" t="s">
        <v>2261</v>
      </c>
      <c r="G230" s="17"/>
      <c r="H230" s="128" t="str">
        <f>Settings!$B$3&amp;".mit.atpn.irn.bio.e.2"</f>
        <v>egy.mit.atpn.irn.bio.e.2</v>
      </c>
      <c r="I230" t="s">
        <v>2325</v>
      </c>
      <c r="K230" s="18"/>
      <c r="L230" s="19">
        <f>Mitigation_Industry!L$423-(Mitigation_Industry!L$423-Mitigation_Industry!L$413)*L$222</f>
        <v>14.199528390634899</v>
      </c>
      <c r="M230" s="19">
        <f>Mitigation_Industry!M$423-(Mitigation_Industry!M$423-Mitigation_Industry!M$413)*M$222</f>
        <v>13.8404416133152</v>
      </c>
      <c r="N230" s="19">
        <f>Mitigation_Industry!N$423-(Mitigation_Industry!N$423-Mitigation_Industry!N$413)*N$222</f>
        <v>13.5677269404465</v>
      </c>
      <c r="O230" s="19">
        <f>Mitigation_Industry!O$423-(Mitigation_Industry!O$423-Mitigation_Industry!O$413)*O$222</f>
        <v>13.5677269404465</v>
      </c>
      <c r="P230" s="19">
        <f>Mitigation_Industry!P$423-(Mitigation_Industry!P$423-Mitigation_Industry!P$413)*P$222</f>
        <v>13.5677269404465</v>
      </c>
      <c r="Q230" s="19">
        <f>Mitigation_Industry!Q$423-(Mitigation_Industry!Q$423-Mitigation_Industry!Q$413)*Q$222</f>
        <v>13.5677269404465</v>
      </c>
      <c r="R230" s="19">
        <f>Mitigation_Industry!R$423-(Mitigation_Industry!R$423-Mitigation_Industry!R$413)*R$222</f>
        <v>13.5677269404465</v>
      </c>
      <c r="S230" s="19">
        <f>Mitigation_Industry!S$423-(Mitigation_Industry!S$423-Mitigation_Industry!S$413)*S$222</f>
        <v>13.5677269404465</v>
      </c>
      <c r="T230" s="19">
        <f>Mitigation_Industry!T$423-(Mitigation_Industry!T$423-Mitigation_Industry!T$413)*T$222</f>
        <v>13.5677269404465</v>
      </c>
      <c r="U230" s="19">
        <f>Mitigation_Industry!U$423-(Mitigation_Industry!U$423-Mitigation_Industry!U$413)*U$222</f>
        <v>13.5677269404465</v>
      </c>
      <c r="V230" s="19">
        <f>Mitigation_Industry!V$423-(Mitigation_Industry!V$423-Mitigation_Industry!V$413)*V$222</f>
        <v>13.5677269404465</v>
      </c>
      <c r="W230" s="19">
        <f>Mitigation_Industry!W$423-(Mitigation_Industry!W$423-Mitigation_Industry!W$413)*W$222</f>
        <v>13.5677269404465</v>
      </c>
      <c r="X230" s="19">
        <f>Mitigation_Industry!X$423-(Mitigation_Industry!X$423-Mitigation_Industry!X$413)*X$222</f>
        <v>13.5677269404465</v>
      </c>
      <c r="Y230" s="19">
        <f>Mitigation_Industry!Y$423-(Mitigation_Industry!Y$423-Mitigation_Industry!Y$413)*Y$222</f>
        <v>13.5677269404465</v>
      </c>
      <c r="Z230" s="19">
        <f>Mitigation_Industry!Z$423-(Mitigation_Industry!Z$423-Mitigation_Industry!Z$413)*Z$222</f>
        <v>13.5677269404465</v>
      </c>
      <c r="AA230" s="19">
        <f>Mitigation_Industry!AA$423-(Mitigation_Industry!AA$423-Mitigation_Industry!AA$413)*AA$222</f>
        <v>13.5677269404465</v>
      </c>
      <c r="AB230" s="19">
        <f>Mitigation_Industry!AB$423-(Mitigation_Industry!AB$423-Mitigation_Industry!AB$413)*AB$222</f>
        <v>13.5677269404465</v>
      </c>
      <c r="AC230" s="19">
        <f>Mitigation_Industry!AC$423-(Mitigation_Industry!AC$423-Mitigation_Industry!AC$413)*AC$222</f>
        <v>13.5677269404465</v>
      </c>
      <c r="AD230" s="19">
        <f>Mitigation_Industry!AD$423-(Mitigation_Industry!AD$423-Mitigation_Industry!AD$413)*AD$222</f>
        <v>13.5677269404465</v>
      </c>
      <c r="AE230" s="19">
        <f>Mitigation_Industry!AE$423-(Mitigation_Industry!AE$423-Mitigation_Industry!AE$413)*AE$222</f>
        <v>13.5677269404465</v>
      </c>
    </row>
    <row r="231" spans="1:35" customFormat="1" ht="14.25" x14ac:dyDescent="0.45">
      <c r="B231" s="14" t="s">
        <v>69</v>
      </c>
      <c r="C231" s="14" t="s">
        <v>43</v>
      </c>
      <c r="D231" s="15" t="s">
        <v>2277</v>
      </c>
      <c r="E231" s="16" t="s">
        <v>71</v>
      </c>
      <c r="F231" s="14" t="s">
        <v>2261</v>
      </c>
      <c r="G231" s="17"/>
      <c r="H231" s="128" t="str">
        <f>Settings!$B$3&amp;".mit.atpn.irn.ren.e.2"</f>
        <v>egy.mit.atpn.irn.ren.e.2</v>
      </c>
      <c r="I231" t="s">
        <v>2326</v>
      </c>
      <c r="K231" s="18"/>
      <c r="L231" s="19">
        <f>Mitigation_Industry!L$424-(Mitigation_Industry!L$424-Mitigation_Industry!L$414)*L$222</f>
        <v>0.14404498679319799</v>
      </c>
      <c r="M231" s="19">
        <f>Mitigation_Industry!M$424-(Mitigation_Industry!M$424-Mitigation_Industry!M$414)*M$222</f>
        <v>0.141386241751359</v>
      </c>
      <c r="N231" s="19">
        <f>Mitigation_Industry!N$424-(Mitigation_Industry!N$424-Mitigation_Industry!N$414)*N$222</f>
        <v>0.13539756544373099</v>
      </c>
      <c r="O231" s="19">
        <f>Mitigation_Industry!O$424-(Mitigation_Industry!O$424-Mitigation_Industry!O$414)*O$222</f>
        <v>0.13152288542065099</v>
      </c>
      <c r="P231" s="19">
        <f>Mitigation_Industry!P$424-(Mitigation_Industry!P$424-Mitigation_Industry!P$414)*P$222</f>
        <v>0.12882610848523099</v>
      </c>
      <c r="Q231" s="19">
        <f>Mitigation_Industry!Q$424-(Mitigation_Industry!Q$424-Mitigation_Industry!Q$414)*Q$222</f>
        <v>0.12594200976473999</v>
      </c>
      <c r="R231" s="19">
        <f>Mitigation_Industry!R$424-(Mitigation_Industry!R$424-Mitigation_Industry!R$414)*R$222</f>
        <v>0.123113265701861</v>
      </c>
      <c r="S231" s="19">
        <f>Mitigation_Industry!S$424-(Mitigation_Industry!S$424-Mitigation_Industry!S$414)*S$222</f>
        <v>0.119391738089068</v>
      </c>
      <c r="T231" s="19">
        <f>Mitigation_Industry!T$424-(Mitigation_Industry!T$424-Mitigation_Industry!T$414)*T$222</f>
        <v>0.11554419046792</v>
      </c>
      <c r="U231" s="19">
        <f>Mitigation_Industry!U$424-(Mitigation_Industry!U$424-Mitigation_Industry!U$414)*U$222</f>
        <v>0.11492423065415899</v>
      </c>
      <c r="V231" s="19">
        <f>Mitigation_Industry!V$424-(Mitigation_Industry!V$424-Mitigation_Industry!V$414)*V$222</f>
        <v>0.114346912116736</v>
      </c>
      <c r="W231" s="19">
        <f>Mitigation_Industry!W$424-(Mitigation_Industry!W$424-Mitigation_Industry!W$414)*W$222</f>
        <v>0.113738711172664</v>
      </c>
      <c r="X231" s="19">
        <f>Mitigation_Industry!X$424-(Mitigation_Industry!X$424-Mitigation_Industry!X$414)*X$222</f>
        <v>0.112999900487521</v>
      </c>
      <c r="Y231" s="19">
        <f>Mitigation_Industry!Y$424-(Mitigation_Industry!Y$424-Mitigation_Industry!Y$414)*Y$222</f>
        <v>0.112177685835534</v>
      </c>
      <c r="Z231" s="19">
        <f>Mitigation_Industry!Z$424-(Mitigation_Industry!Z$424-Mitigation_Industry!Z$414)*Z$222</f>
        <v>0.111417903250404</v>
      </c>
      <c r="AA231" s="19">
        <f>Mitigation_Industry!AA$424-(Mitigation_Industry!AA$424-Mitigation_Industry!AA$414)*AA$222</f>
        <v>0.11052581998545399</v>
      </c>
      <c r="AB231" s="19">
        <f>Mitigation_Industry!AB$424-(Mitigation_Industry!AB$424-Mitigation_Industry!AB$414)*AB$222</f>
        <v>0.109699565234896</v>
      </c>
      <c r="AC231" s="19">
        <f>Mitigation_Industry!AC$424-(Mitigation_Industry!AC$424-Mitigation_Industry!AC$414)*AC$222</f>
        <v>0.10772678896394899</v>
      </c>
      <c r="AD231" s="19">
        <f>Mitigation_Industry!AD$424-(Mitigation_Industry!AD$424-Mitigation_Industry!AD$414)*AD$222</f>
        <v>0.10582092445093499</v>
      </c>
      <c r="AE231" s="19">
        <f>Mitigation_Industry!AE$424-(Mitigation_Industry!AE$424-Mitigation_Industry!AE$414)*AE$222</f>
        <v>0.103855595705721</v>
      </c>
    </row>
    <row r="233" spans="1:35" customFormat="1" ht="14.25" x14ac:dyDescent="0.45">
      <c r="A233" s="11"/>
      <c r="B233" s="6"/>
      <c r="C233" s="7" t="s">
        <v>113</v>
      </c>
      <c r="D233" s="6" t="s">
        <v>1488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6">
        <v>2021</v>
      </c>
      <c r="L233" s="46">
        <v>2022</v>
      </c>
      <c r="M233" s="6">
        <v>2023</v>
      </c>
      <c r="N233" s="6">
        <v>2024</v>
      </c>
      <c r="O233" s="6">
        <v>2025</v>
      </c>
      <c r="P233" s="6">
        <v>2026</v>
      </c>
      <c r="Q233" s="6">
        <v>2027</v>
      </c>
      <c r="R233" s="6">
        <v>2028</v>
      </c>
      <c r="S233" s="6">
        <v>2029</v>
      </c>
      <c r="T233" s="6">
        <v>2030</v>
      </c>
      <c r="U233" s="6">
        <v>2031</v>
      </c>
      <c r="V233" s="6">
        <v>2032</v>
      </c>
      <c r="W233" s="6">
        <v>2033</v>
      </c>
      <c r="X233" s="6">
        <v>2034</v>
      </c>
      <c r="Y233" s="6">
        <v>2035</v>
      </c>
      <c r="Z233" s="6">
        <v>2036</v>
      </c>
      <c r="AA233" s="6">
        <v>2037</v>
      </c>
      <c r="AB233" s="6">
        <v>2038</v>
      </c>
      <c r="AC233" s="6">
        <v>2039</v>
      </c>
      <c r="AD233" s="6">
        <v>2040</v>
      </c>
      <c r="AE233" s="6">
        <v>2041</v>
      </c>
      <c r="AF233" s="6">
        <v>2042</v>
      </c>
      <c r="AG233" s="6">
        <v>2043</v>
      </c>
      <c r="AH233" s="6">
        <v>2044</v>
      </c>
      <c r="AI233" s="6">
        <v>2045</v>
      </c>
    </row>
    <row r="234" spans="1:35" customFormat="1" ht="14.25" x14ac:dyDescent="0.45">
      <c r="B234" s="14" t="s">
        <v>110</v>
      </c>
      <c r="C234" s="14" t="s">
        <v>113</v>
      </c>
      <c r="D234" s="25" t="s">
        <v>2253</v>
      </c>
      <c r="E234" s="16" t="s">
        <v>1854</v>
      </c>
      <c r="F234" s="14" t="s">
        <v>2242</v>
      </c>
      <c r="H234" s="128" t="str">
        <f>Settings!$B$3&amp;".mit.obr.ind.cem.2"</f>
        <v>egy.mit.obr.ind.cem.2</v>
      </c>
      <c r="I234" t="s">
        <v>2279</v>
      </c>
      <c r="L234" s="130">
        <f t="shared" ref="L234:AE234" si="62">L$212</f>
        <v>0</v>
      </c>
      <c r="M234" s="130">
        <f t="shared" si="62"/>
        <v>0</v>
      </c>
      <c r="N234" s="130">
        <f t="shared" si="62"/>
        <v>0</v>
      </c>
      <c r="O234" s="130">
        <f t="shared" si="62"/>
        <v>0</v>
      </c>
      <c r="P234" s="130">
        <f t="shared" si="62"/>
        <v>0</v>
      </c>
      <c r="Q234" s="130">
        <f t="shared" si="62"/>
        <v>0</v>
      </c>
      <c r="R234" s="130">
        <f t="shared" si="62"/>
        <v>0</v>
      </c>
      <c r="S234" s="130">
        <f t="shared" si="62"/>
        <v>0</v>
      </c>
      <c r="T234" s="130">
        <f t="shared" si="62"/>
        <v>0</v>
      </c>
      <c r="U234" s="130">
        <f t="shared" si="62"/>
        <v>0</v>
      </c>
      <c r="V234" s="130">
        <f t="shared" si="62"/>
        <v>0</v>
      </c>
      <c r="W234" s="130">
        <f t="shared" si="62"/>
        <v>0</v>
      </c>
      <c r="X234" s="130">
        <f t="shared" si="62"/>
        <v>0</v>
      </c>
      <c r="Y234" s="130">
        <f t="shared" si="62"/>
        <v>0</v>
      </c>
      <c r="Z234" s="130">
        <f t="shared" si="62"/>
        <v>0</v>
      </c>
      <c r="AA234" s="130">
        <f t="shared" si="62"/>
        <v>0</v>
      </c>
      <c r="AB234" s="130">
        <f t="shared" si="62"/>
        <v>0</v>
      </c>
      <c r="AC234" s="130">
        <f t="shared" si="62"/>
        <v>0</v>
      </c>
      <c r="AD234" s="130">
        <f t="shared" si="62"/>
        <v>0</v>
      </c>
      <c r="AE234" s="130">
        <f t="shared" si="62"/>
        <v>0</v>
      </c>
    </row>
    <row r="235" spans="1:35" customFormat="1" ht="14.25" x14ac:dyDescent="0.45">
      <c r="B235" s="14" t="s">
        <v>110</v>
      </c>
      <c r="C235" s="14" t="s">
        <v>113</v>
      </c>
      <c r="D235" s="25" t="s">
        <v>2255</v>
      </c>
      <c r="E235" s="16" t="s">
        <v>1854</v>
      </c>
      <c r="F235" s="14" t="s">
        <v>2256</v>
      </c>
      <c r="H235" s="128" t="str">
        <f>Settings!$B$3&amp;".mit.ccf.ind.cem.2"</f>
        <v>egy.mit.ccf.ind.cem.2</v>
      </c>
      <c r="L235" s="130">
        <f>L$162*Mitigation_Industry!L$678/1000</f>
        <v>0</v>
      </c>
      <c r="M235" s="130">
        <f>M$162*Mitigation_Industry!M$678/1000</f>
        <v>0</v>
      </c>
      <c r="N235" s="130">
        <f>N$162*Mitigation_Industry!N$678/1000</f>
        <v>0</v>
      </c>
      <c r="O235" s="130">
        <f>O$162*Mitigation_Industry!O$678/1000</f>
        <v>0</v>
      </c>
      <c r="P235" s="130">
        <f>P$162*Mitigation_Industry!P$678/1000</f>
        <v>0</v>
      </c>
      <c r="Q235" s="130">
        <f>Q$162*Mitigation_Industry!Q$678/1000</f>
        <v>216.02967406292771</v>
      </c>
      <c r="R235" s="130">
        <f>R$162*Mitigation_Industry!R$678/1000</f>
        <v>446.31730661400866</v>
      </c>
      <c r="S235" s="130">
        <f>S$162*Mitigation_Industry!S$678/1000</f>
        <v>691.56866659840637</v>
      </c>
      <c r="T235" s="130">
        <f>T$162*Mitigation_Industry!T$678/1000</f>
        <v>952.52057679487154</v>
      </c>
      <c r="U235" s="130">
        <f>U$162*Mitigation_Industry!U$678/1000</f>
        <v>1229.9421947863777</v>
      </c>
      <c r="V235" s="130">
        <f>V$162*Mitigation_Industry!V$678/1000</f>
        <v>1524.6363446571936</v>
      </c>
      <c r="W235" s="130">
        <f>W$162*Mitigation_Industry!W$678/1000</f>
        <v>1837.440901369361</v>
      </c>
      <c r="X235" s="130">
        <f>X$162*Mitigation_Industry!X$678/1000</f>
        <v>2169.2302298451991</v>
      </c>
      <c r="Y235" s="130">
        <f>Y$162*Mitigation_Industry!Y$678/1000</f>
        <v>2520.9166808588525</v>
      </c>
      <c r="Z235" s="130">
        <f>Z$162*Mitigation_Industry!Z$678/1000</f>
        <v>2893.4521459191046</v>
      </c>
      <c r="AA235" s="130">
        <f>AA$162*Mitigation_Industry!AA$678/1000</f>
        <v>3287.8296734078785</v>
      </c>
      <c r="AB235" s="130">
        <f>AB$162*Mitigation_Industry!AB$678/1000</f>
        <v>3705.0851483240049</v>
      </c>
      <c r="AC235" s="130">
        <f>AC$162*Mitigation_Industry!AC$678/1000</f>
        <v>4146.299038070254</v>
      </c>
      <c r="AD235" s="130">
        <f>AD$162*Mitigation_Industry!AD$678/1000</f>
        <v>4612.5982068132316</v>
      </c>
      <c r="AE235" s="130">
        <f>AE$162*Mitigation_Industry!AE$678/1000</f>
        <v>5105.1578010407875</v>
      </c>
    </row>
    <row r="236" spans="1:35" customFormat="1" ht="14.25" x14ac:dyDescent="0.45">
      <c r="B236" s="14" t="s">
        <v>110</v>
      </c>
      <c r="C236" s="14" t="s">
        <v>113</v>
      </c>
      <c r="D236" s="25" t="s">
        <v>2257</v>
      </c>
      <c r="E236" s="16" t="s">
        <v>79</v>
      </c>
      <c r="F236" s="14" t="s">
        <v>2258</v>
      </c>
      <c r="H236" s="128" t="str">
        <f>Settings!$B$3&amp;".mit.rsh.ind.cem.2"</f>
        <v>egy.mit.rsh.ind.cem.2</v>
      </c>
      <c r="I236" t="s">
        <v>2259</v>
      </c>
      <c r="L236" s="130">
        <f t="shared" ref="L236:AE236" si="63">IF(L$235&lt;=0,0,MIN(1,L$234/L$235))</f>
        <v>0</v>
      </c>
      <c r="M236" s="130">
        <f t="shared" si="63"/>
        <v>0</v>
      </c>
      <c r="N236" s="130">
        <f t="shared" si="63"/>
        <v>0</v>
      </c>
      <c r="O236" s="130">
        <f t="shared" si="63"/>
        <v>0</v>
      </c>
      <c r="P236" s="130">
        <f t="shared" si="63"/>
        <v>0</v>
      </c>
      <c r="Q236" s="130">
        <f t="shared" si="63"/>
        <v>0</v>
      </c>
      <c r="R236" s="130">
        <f t="shared" si="63"/>
        <v>0</v>
      </c>
      <c r="S236" s="130">
        <f t="shared" si="63"/>
        <v>0</v>
      </c>
      <c r="T236" s="130">
        <f t="shared" si="63"/>
        <v>0</v>
      </c>
      <c r="U236" s="130">
        <f t="shared" si="63"/>
        <v>0</v>
      </c>
      <c r="V236" s="130">
        <f t="shared" si="63"/>
        <v>0</v>
      </c>
      <c r="W236" s="130">
        <f t="shared" si="63"/>
        <v>0</v>
      </c>
      <c r="X236" s="130">
        <f t="shared" si="63"/>
        <v>0</v>
      </c>
      <c r="Y236" s="130">
        <f t="shared" si="63"/>
        <v>0</v>
      </c>
      <c r="Z236" s="130">
        <f t="shared" si="63"/>
        <v>0</v>
      </c>
      <c r="AA236" s="130">
        <f t="shared" si="63"/>
        <v>0</v>
      </c>
      <c r="AB236" s="130">
        <f t="shared" si="63"/>
        <v>0</v>
      </c>
      <c r="AC236" s="130">
        <f t="shared" si="63"/>
        <v>0</v>
      </c>
      <c r="AD236" s="130">
        <f t="shared" si="63"/>
        <v>0</v>
      </c>
      <c r="AE236" s="130">
        <f t="shared" si="63"/>
        <v>0</v>
      </c>
    </row>
    <row r="237" spans="1:35" customFormat="1" ht="14.25" x14ac:dyDescent="0.45">
      <c r="B237" s="14" t="s">
        <v>49</v>
      </c>
      <c r="C237" s="14" t="s">
        <v>113</v>
      </c>
      <c r="D237" s="15" t="s">
        <v>2260</v>
      </c>
      <c r="E237" s="16" t="s">
        <v>51</v>
      </c>
      <c r="F237" s="14" t="s">
        <v>2261</v>
      </c>
      <c r="G237" s="17"/>
      <c r="H237" s="128" t="str">
        <f>Settings!$B$3&amp;".mit.atpn.cem.coa.e.2"</f>
        <v>egy.mit.atpn.cem.coa.e.2</v>
      </c>
      <c r="I237" t="s">
        <v>2327</v>
      </c>
      <c r="K237" s="18"/>
      <c r="L237" s="19">
        <f>Mitigation_Industry!L$476-(Mitigation_Industry!L$476-Mitigation_Industry!L$466)*L$236</f>
        <v>10.5233613454312</v>
      </c>
      <c r="M237" s="19">
        <f>Mitigation_Industry!M$476-(Mitigation_Industry!M$476-Mitigation_Industry!M$466)*M$236</f>
        <v>10.2995608274442</v>
      </c>
      <c r="N237" s="19">
        <f>Mitigation_Industry!N$476-(Mitigation_Industry!N$476-Mitigation_Industry!N$466)*N$236</f>
        <v>9.5775283595382597</v>
      </c>
      <c r="O237" s="19">
        <f>Mitigation_Industry!O$476-(Mitigation_Industry!O$476-Mitigation_Industry!O$466)*O$236</f>
        <v>8.4854782869580507</v>
      </c>
      <c r="P237" s="19">
        <f>Mitigation_Industry!P$476-(Mitigation_Industry!P$476-Mitigation_Industry!P$466)*P$236</f>
        <v>9.0871922352498604</v>
      </c>
      <c r="Q237" s="19">
        <f>Mitigation_Industry!Q$476-(Mitigation_Industry!Q$476-Mitigation_Industry!Q$466)*Q$236</f>
        <v>10.472923728932679</v>
      </c>
      <c r="R237" s="19">
        <f>Mitigation_Industry!R$476-(Mitigation_Industry!R$476-Mitigation_Industry!R$466)*R$236</f>
        <v>11.658564955509689</v>
      </c>
      <c r="S237" s="19">
        <f>Mitigation_Industry!S$476-(Mitigation_Industry!S$476-Mitigation_Industry!S$466)*S$236</f>
        <v>12.839547877397379</v>
      </c>
      <c r="T237" s="19">
        <f>Mitigation_Industry!T$476-(Mitigation_Industry!T$476-Mitigation_Industry!T$466)*T$236</f>
        <v>14.01568166602283</v>
      </c>
      <c r="U237" s="19">
        <f>Mitigation_Industry!U$476-(Mitigation_Industry!U$476-Mitigation_Industry!U$466)*U$236</f>
        <v>15.19439776555711</v>
      </c>
      <c r="V237" s="19">
        <f>Mitigation_Industry!V$476-(Mitigation_Industry!V$476-Mitigation_Industry!V$466)*V$236</f>
        <v>16.44439776555711</v>
      </c>
      <c r="W237" s="19">
        <f>Mitigation_Industry!W$476-(Mitigation_Industry!W$476-Mitigation_Industry!W$466)*W$236</f>
        <v>17.69439776555711</v>
      </c>
      <c r="X237" s="19">
        <f>Mitigation_Industry!X$476-(Mitigation_Industry!X$476-Mitigation_Industry!X$466)*X$236</f>
        <v>18.94439776555711</v>
      </c>
      <c r="Y237" s="19">
        <f>Mitigation_Industry!Y$476-(Mitigation_Industry!Y$476-Mitigation_Industry!Y$466)*Y$236</f>
        <v>20.19439776555711</v>
      </c>
      <c r="Z237" s="19">
        <f>Mitigation_Industry!Z$476-(Mitigation_Industry!Z$476-Mitigation_Industry!Z$466)*Z$236</f>
        <v>21.44439776555711</v>
      </c>
      <c r="AA237" s="19">
        <f>Mitigation_Industry!AA$476-(Mitigation_Industry!AA$476-Mitigation_Industry!AA$466)*AA$236</f>
        <v>22.69439776555711</v>
      </c>
      <c r="AB237" s="19">
        <f>Mitigation_Industry!AB$476-(Mitigation_Industry!AB$476-Mitigation_Industry!AB$466)*AB$236</f>
        <v>23.94439776555711</v>
      </c>
      <c r="AC237" s="19">
        <f>Mitigation_Industry!AC$476-(Mitigation_Industry!AC$476-Mitigation_Industry!AC$466)*AC$236</f>
        <v>25.19439776555711</v>
      </c>
      <c r="AD237" s="19">
        <f>Mitigation_Industry!AD$476-(Mitigation_Industry!AD$476-Mitigation_Industry!AD$466)*AD$236</f>
        <v>26.44439776555711</v>
      </c>
      <c r="AE237" s="19">
        <f>Mitigation_Industry!AE$476-(Mitigation_Industry!AE$476-Mitigation_Industry!AE$466)*AE$236</f>
        <v>27.69439776555711</v>
      </c>
    </row>
    <row r="238" spans="1:35" customFormat="1" ht="14.25" x14ac:dyDescent="0.45">
      <c r="B238" s="14" t="s">
        <v>53</v>
      </c>
      <c r="C238" s="14" t="s">
        <v>113</v>
      </c>
      <c r="D238" s="15" t="s">
        <v>2263</v>
      </c>
      <c r="E238" s="16" t="s">
        <v>51</v>
      </c>
      <c r="F238" s="14" t="s">
        <v>2261</v>
      </c>
      <c r="G238" s="17"/>
      <c r="H238" s="128" t="str">
        <f>Settings!$B$3&amp;".mit.atpn.cem.nga.e.2"</f>
        <v>egy.mit.atpn.cem.nga.e.2</v>
      </c>
      <c r="I238" t="s">
        <v>2328</v>
      </c>
      <c r="K238" s="18"/>
      <c r="L238" s="19">
        <f>Mitigation_Industry!L$477-(Mitigation_Industry!L$477-Mitigation_Industry!L$467)*L$236</f>
        <v>5.4510150816191896</v>
      </c>
      <c r="M238" s="19">
        <f>Mitigation_Industry!M$477-(Mitigation_Industry!M$477-Mitigation_Industry!M$467)*M$236</f>
        <v>5.1193563062624801</v>
      </c>
      <c r="N238" s="19">
        <f>Mitigation_Industry!N$477-(Mitigation_Industry!N$477-Mitigation_Industry!N$467)*N$236</f>
        <v>5.08218458640407</v>
      </c>
      <c r="O238" s="19">
        <f>Mitigation_Industry!O$477-(Mitigation_Industry!O$477-Mitigation_Industry!O$467)*O$236</f>
        <v>5.08218458640407</v>
      </c>
      <c r="P238" s="19">
        <f>Mitigation_Industry!P$477-(Mitigation_Industry!P$477-Mitigation_Industry!P$467)*P$236</f>
        <v>5.08218458640407</v>
      </c>
      <c r="Q238" s="19">
        <f>Mitigation_Industry!Q$477-(Mitigation_Industry!Q$477-Mitigation_Industry!Q$467)*Q$236</f>
        <v>5.7796845864040698</v>
      </c>
      <c r="R238" s="19">
        <f>Mitigation_Industry!R$477-(Mitigation_Industry!R$477-Mitigation_Industry!R$467)*R$236</f>
        <v>6.4771845864040696</v>
      </c>
      <c r="S238" s="19">
        <f>Mitigation_Industry!S$477-(Mitigation_Industry!S$477-Mitigation_Industry!S$467)*S$236</f>
        <v>7.1746845864040703</v>
      </c>
      <c r="T238" s="19">
        <f>Mitigation_Industry!T$477-(Mitigation_Industry!T$477-Mitigation_Industry!T$467)*T$236</f>
        <v>7.87218458640407</v>
      </c>
      <c r="U238" s="19">
        <f>Mitigation_Industry!U$477-(Mitigation_Industry!U$477-Mitigation_Industry!U$467)*U$236</f>
        <v>8.5696845864040707</v>
      </c>
      <c r="V238" s="19">
        <f>Mitigation_Industry!V$477-(Mitigation_Industry!V$477-Mitigation_Industry!V$467)*V$236</f>
        <v>9.2671845864040705</v>
      </c>
      <c r="W238" s="19">
        <f>Mitigation_Industry!W$477-(Mitigation_Industry!W$477-Mitigation_Industry!W$467)*W$236</f>
        <v>9.9646845864040703</v>
      </c>
      <c r="X238" s="19">
        <f>Mitigation_Industry!X$477-(Mitigation_Industry!X$477-Mitigation_Industry!X$467)*X$236</f>
        <v>10.66218458640407</v>
      </c>
      <c r="Y238" s="19">
        <f>Mitigation_Industry!Y$477-(Mitigation_Industry!Y$477-Mitigation_Industry!Y$467)*Y$236</f>
        <v>11.35968458640407</v>
      </c>
      <c r="Z238" s="19">
        <f>Mitigation_Industry!Z$477-(Mitigation_Industry!Z$477-Mitigation_Industry!Z$467)*Z$236</f>
        <v>12.05718458640407</v>
      </c>
      <c r="AA238" s="19">
        <f>Mitigation_Industry!AA$477-(Mitigation_Industry!AA$477-Mitigation_Industry!AA$467)*AA$236</f>
        <v>12.754684586404071</v>
      </c>
      <c r="AB238" s="19">
        <f>Mitigation_Industry!AB$477-(Mitigation_Industry!AB$477-Mitigation_Industry!AB$467)*AB$236</f>
        <v>13.452184586404071</v>
      </c>
      <c r="AC238" s="19">
        <f>Mitigation_Industry!AC$477-(Mitigation_Industry!AC$477-Mitigation_Industry!AC$467)*AC$236</f>
        <v>14.149684586404071</v>
      </c>
      <c r="AD238" s="19">
        <f>Mitigation_Industry!AD$477-(Mitigation_Industry!AD$477-Mitigation_Industry!AD$467)*AD$236</f>
        <v>14.847184586404071</v>
      </c>
      <c r="AE238" s="19">
        <f>Mitigation_Industry!AE$477-(Mitigation_Industry!AE$477-Mitigation_Industry!AE$467)*AE$236</f>
        <v>15.54468458640407</v>
      </c>
    </row>
    <row r="239" spans="1:35" customFormat="1" ht="14.25" x14ac:dyDescent="0.45">
      <c r="B239" s="14" t="s">
        <v>55</v>
      </c>
      <c r="C239" s="14" t="s">
        <v>113</v>
      </c>
      <c r="D239" s="15" t="s">
        <v>2265</v>
      </c>
      <c r="E239" s="16" t="s">
        <v>57</v>
      </c>
      <c r="F239" s="14" t="s">
        <v>2261</v>
      </c>
      <c r="G239" s="17"/>
      <c r="H239" s="128" t="str">
        <f>Settings!$B$3&amp;".mit.atpn.cem.gso.e.2"</f>
        <v>egy.mit.atpn.cem.gso.e.2</v>
      </c>
      <c r="I239" t="s">
        <v>2329</v>
      </c>
      <c r="K239" s="18"/>
      <c r="L239" s="19">
        <f>Mitigation_Industry!L$478-(Mitigation_Industry!L$478-Mitigation_Industry!L$468)*L$236</f>
        <v>0.61197797679140598</v>
      </c>
      <c r="M239" s="19">
        <f>Mitigation_Industry!M$478-(Mitigation_Industry!M$478-Mitigation_Industry!M$468)*M$236</f>
        <v>0.61180974964187596</v>
      </c>
      <c r="N239" s="19">
        <f>Mitigation_Industry!N$478-(Mitigation_Industry!N$478-Mitigation_Industry!N$468)*N$236</f>
        <v>0.60358310017790595</v>
      </c>
      <c r="O239" s="19">
        <f>Mitigation_Industry!O$478-(Mitigation_Industry!O$478-Mitigation_Industry!O$468)*O$236</f>
        <v>0.60358310017790595</v>
      </c>
      <c r="P239" s="19">
        <f>Mitigation_Industry!P$478-(Mitigation_Industry!P$478-Mitigation_Industry!P$468)*P$236</f>
        <v>0.60358310017790595</v>
      </c>
      <c r="Q239" s="19">
        <f>Mitigation_Industry!Q$478-(Mitigation_Industry!Q$478-Mitigation_Industry!Q$468)*Q$236</f>
        <v>0.63251094334940594</v>
      </c>
      <c r="R239" s="19">
        <f>Mitigation_Industry!R$478-(Mitigation_Industry!R$478-Mitigation_Industry!R$468)*R$236</f>
        <v>0.66143878652090593</v>
      </c>
      <c r="S239" s="19">
        <f>Mitigation_Industry!S$478-(Mitigation_Industry!S$478-Mitigation_Industry!S$468)*S$236</f>
        <v>0.69036662969240592</v>
      </c>
      <c r="T239" s="19">
        <f>Mitigation_Industry!T$478-(Mitigation_Industry!T$478-Mitigation_Industry!T$468)*T$236</f>
        <v>0.71929447286390591</v>
      </c>
      <c r="U239" s="19">
        <f>Mitigation_Industry!U$478-(Mitigation_Industry!U$478-Mitigation_Industry!U$468)*U$236</f>
        <v>0.74822231603540601</v>
      </c>
      <c r="V239" s="19">
        <f>Mitigation_Industry!V$478-(Mitigation_Industry!V$478-Mitigation_Industry!V$468)*V$236</f>
        <v>0.777150159206906</v>
      </c>
      <c r="W239" s="19">
        <f>Mitigation_Industry!W$478-(Mitigation_Industry!W$478-Mitigation_Industry!W$468)*W$236</f>
        <v>0.80607800237840599</v>
      </c>
      <c r="X239" s="19">
        <f>Mitigation_Industry!X$478-(Mitigation_Industry!X$478-Mitigation_Industry!X$468)*X$236</f>
        <v>0.83500584554990598</v>
      </c>
      <c r="Y239" s="19">
        <f>Mitigation_Industry!Y$478-(Mitigation_Industry!Y$478-Mitigation_Industry!Y$468)*Y$236</f>
        <v>0.86393368872140597</v>
      </c>
      <c r="Z239" s="19">
        <f>Mitigation_Industry!Z$478-(Mitigation_Industry!Z$478-Mitigation_Industry!Z$468)*Z$236</f>
        <v>0.89286153189290596</v>
      </c>
      <c r="AA239" s="19">
        <f>Mitigation_Industry!AA$478-(Mitigation_Industry!AA$478-Mitigation_Industry!AA$468)*AA$236</f>
        <v>0.92178937506440595</v>
      </c>
      <c r="AB239" s="19">
        <f>Mitigation_Industry!AB$478-(Mitigation_Industry!AB$478-Mitigation_Industry!AB$468)*AB$236</f>
        <v>0.95071721823590605</v>
      </c>
      <c r="AC239" s="19">
        <f>Mitigation_Industry!AC$478-(Mitigation_Industry!AC$478-Mitigation_Industry!AC$468)*AC$236</f>
        <v>0.97964506140740593</v>
      </c>
      <c r="AD239" s="19">
        <f>Mitigation_Industry!AD$478-(Mitigation_Industry!AD$478-Mitigation_Industry!AD$468)*AD$236</f>
        <v>1.008572904578906</v>
      </c>
      <c r="AE239" s="19">
        <f>Mitigation_Industry!AE$478-(Mitigation_Industry!AE$478-Mitigation_Industry!AE$468)*AE$236</f>
        <v>1.0375007477504061</v>
      </c>
    </row>
    <row r="240" spans="1:35" customFormat="1" ht="14.25" x14ac:dyDescent="0.45">
      <c r="B240" s="14" t="s">
        <v>58</v>
      </c>
      <c r="C240" s="14" t="s">
        <v>113</v>
      </c>
      <c r="D240" s="15" t="s">
        <v>2267</v>
      </c>
      <c r="E240" s="16" t="s">
        <v>57</v>
      </c>
      <c r="F240" s="14" t="s">
        <v>2261</v>
      </c>
      <c r="G240" s="17"/>
      <c r="H240" s="128" t="str">
        <f>Settings!$B$3&amp;".mit.atpn.cem.die.e.2"</f>
        <v>egy.mit.atpn.cem.die.e.2</v>
      </c>
      <c r="I240" t="s">
        <v>2330</v>
      </c>
      <c r="K240" s="18"/>
      <c r="L240" s="19">
        <f>Mitigation_Industry!L$479-(Mitigation_Industry!L$479-Mitigation_Industry!L$469)*L$236</f>
        <v>0.49458873084106802</v>
      </c>
      <c r="M240" s="19">
        <f>Mitigation_Industry!M$479-(Mitigation_Industry!M$479-Mitigation_Industry!M$469)*M$236</f>
        <v>0.50778654720250105</v>
      </c>
      <c r="N240" s="19">
        <f>Mitigation_Industry!N$479-(Mitigation_Industry!N$479-Mitigation_Industry!N$469)*N$236</f>
        <v>0.47043642679561698</v>
      </c>
      <c r="O240" s="19">
        <f>Mitigation_Industry!O$479-(Mitigation_Industry!O$479-Mitigation_Industry!O$469)*O$236</f>
        <v>0.47043642679561698</v>
      </c>
      <c r="P240" s="19">
        <f>Mitigation_Industry!P$479-(Mitigation_Industry!P$479-Mitigation_Industry!P$469)*P$236</f>
        <v>0.47043642679561698</v>
      </c>
      <c r="Q240" s="19">
        <f>Mitigation_Industry!Q$479-(Mitigation_Industry!Q$479-Mitigation_Industry!Q$469)*Q$236</f>
        <v>0.50344686565449193</v>
      </c>
      <c r="R240" s="19">
        <f>Mitigation_Industry!R$479-(Mitigation_Industry!R$479-Mitigation_Industry!R$469)*R$236</f>
        <v>0.53645730451336693</v>
      </c>
      <c r="S240" s="19">
        <f>Mitigation_Industry!S$479-(Mitigation_Industry!S$479-Mitigation_Industry!S$469)*S$236</f>
        <v>0.56946774337224193</v>
      </c>
      <c r="T240" s="19">
        <f>Mitigation_Industry!T$479-(Mitigation_Industry!T$479-Mitigation_Industry!T$469)*T$236</f>
        <v>0.60247818223111693</v>
      </c>
      <c r="U240" s="19">
        <f>Mitigation_Industry!U$479-(Mitigation_Industry!U$479-Mitigation_Industry!U$469)*U$236</f>
        <v>0.63548862108999193</v>
      </c>
      <c r="V240" s="19">
        <f>Mitigation_Industry!V$479-(Mitigation_Industry!V$479-Mitigation_Industry!V$469)*V$236</f>
        <v>0.66849905994886694</v>
      </c>
      <c r="W240" s="19">
        <f>Mitigation_Industry!W$479-(Mitigation_Industry!W$479-Mitigation_Industry!W$469)*W$236</f>
        <v>0.70150949880774194</v>
      </c>
      <c r="X240" s="19">
        <f>Mitigation_Industry!X$479-(Mitigation_Industry!X$479-Mitigation_Industry!X$469)*X$236</f>
        <v>0.73451993766661694</v>
      </c>
      <c r="Y240" s="19">
        <f>Mitigation_Industry!Y$479-(Mitigation_Industry!Y$479-Mitigation_Industry!Y$469)*Y$236</f>
        <v>0.76753037652549194</v>
      </c>
      <c r="Z240" s="19">
        <f>Mitigation_Industry!Z$479-(Mitigation_Industry!Z$479-Mitigation_Industry!Z$469)*Z$236</f>
        <v>0.80054081538436694</v>
      </c>
      <c r="AA240" s="19">
        <f>Mitigation_Industry!AA$479-(Mitigation_Industry!AA$479-Mitigation_Industry!AA$469)*AA$236</f>
        <v>0.83355125424324195</v>
      </c>
      <c r="AB240" s="19">
        <f>Mitigation_Industry!AB$479-(Mitigation_Industry!AB$479-Mitigation_Industry!AB$469)*AB$236</f>
        <v>0.86656169310211695</v>
      </c>
      <c r="AC240" s="19">
        <f>Mitigation_Industry!AC$479-(Mitigation_Industry!AC$479-Mitigation_Industry!AC$469)*AC$236</f>
        <v>0.89957213196099195</v>
      </c>
      <c r="AD240" s="19">
        <f>Mitigation_Industry!AD$479-(Mitigation_Industry!AD$479-Mitigation_Industry!AD$469)*AD$236</f>
        <v>0.93258257081986695</v>
      </c>
      <c r="AE240" s="19">
        <f>Mitigation_Industry!AE$479-(Mitigation_Industry!AE$479-Mitigation_Industry!AE$469)*AE$236</f>
        <v>0.96559300967874195</v>
      </c>
    </row>
    <row r="241" spans="1:35" customFormat="1" ht="14.25" x14ac:dyDescent="0.45">
      <c r="B241" s="14" t="s">
        <v>60</v>
      </c>
      <c r="C241" s="14" t="s">
        <v>113</v>
      </c>
      <c r="D241" s="15" t="s">
        <v>2269</v>
      </c>
      <c r="E241" s="16" t="s">
        <v>57</v>
      </c>
      <c r="F241" s="14" t="s">
        <v>2261</v>
      </c>
      <c r="G241" s="17"/>
      <c r="H241" s="128" t="str">
        <f>Settings!$B$3&amp;".mit.atpn.cem.lpg.e.2"</f>
        <v>egy.mit.atpn.cem.lpg.e.2</v>
      </c>
      <c r="I241" t="s">
        <v>2331</v>
      </c>
      <c r="K241" s="18"/>
      <c r="L241" s="19">
        <f>Mitigation_Industry!L$480-(Mitigation_Industry!L$480-Mitigation_Industry!L$470)*L$236</f>
        <v>0.15734473625227399</v>
      </c>
      <c r="M241" s="19">
        <f>Mitigation_Industry!M$480-(Mitigation_Industry!M$480-Mitigation_Industry!M$470)*M$236</f>
        <v>0.164484037759277</v>
      </c>
      <c r="N241" s="19">
        <f>Mitigation_Industry!N$480-(Mitigation_Industry!N$480-Mitigation_Industry!N$470)*N$236</f>
        <v>0.15070907780704901</v>
      </c>
      <c r="O241" s="19">
        <f>Mitigation_Industry!O$480-(Mitigation_Industry!O$480-Mitigation_Industry!O$470)*O$236</f>
        <v>0.15070907780704901</v>
      </c>
      <c r="P241" s="19">
        <f>Mitigation_Industry!P$480-(Mitigation_Industry!P$480-Mitigation_Industry!P$470)*P$236</f>
        <v>0.15070907780704901</v>
      </c>
      <c r="Q241" s="19">
        <f>Mitigation_Industry!Q$480-(Mitigation_Industry!Q$480-Mitigation_Industry!Q$470)*Q$236</f>
        <v>0.17281516073434466</v>
      </c>
      <c r="R241" s="19">
        <f>Mitigation_Industry!R$480-(Mitigation_Industry!R$480-Mitigation_Industry!R$470)*R$236</f>
        <v>0.19492124366164035</v>
      </c>
      <c r="S241" s="19">
        <f>Mitigation_Industry!S$480-(Mitigation_Industry!S$480-Mitigation_Industry!S$470)*S$236</f>
        <v>0.217027326588936</v>
      </c>
      <c r="T241" s="19">
        <f>Mitigation_Industry!T$480-(Mitigation_Industry!T$480-Mitigation_Industry!T$470)*T$236</f>
        <v>0.23913340951623169</v>
      </c>
      <c r="U241" s="19">
        <f>Mitigation_Industry!U$480-(Mitigation_Industry!U$480-Mitigation_Industry!U$470)*U$236</f>
        <v>0.26123949244352734</v>
      </c>
      <c r="V241" s="19">
        <f>Mitigation_Industry!V$480-(Mitigation_Industry!V$480-Mitigation_Industry!V$470)*V$236</f>
        <v>0.283345575370823</v>
      </c>
      <c r="W241" s="19">
        <f>Mitigation_Industry!W$480-(Mitigation_Industry!W$480-Mitigation_Industry!W$470)*W$236</f>
        <v>0.30545165829811871</v>
      </c>
      <c r="X241" s="19">
        <f>Mitigation_Industry!X$480-(Mitigation_Industry!X$480-Mitigation_Industry!X$470)*X$236</f>
        <v>0.32755774122541437</v>
      </c>
      <c r="Y241" s="19">
        <f>Mitigation_Industry!Y$480-(Mitigation_Industry!Y$480-Mitigation_Industry!Y$470)*Y$236</f>
        <v>0.34966382415271002</v>
      </c>
      <c r="Z241" s="19">
        <f>Mitigation_Industry!Z$480-(Mitigation_Industry!Z$480-Mitigation_Industry!Z$470)*Z$236</f>
        <v>0.37176990708000568</v>
      </c>
      <c r="AA241" s="19">
        <f>Mitigation_Industry!AA$480-(Mitigation_Industry!AA$480-Mitigation_Industry!AA$470)*AA$236</f>
        <v>0.39387599000730134</v>
      </c>
      <c r="AB241" s="19">
        <f>Mitigation_Industry!AB$480-(Mitigation_Industry!AB$480-Mitigation_Industry!AB$470)*AB$236</f>
        <v>0.41598207293459699</v>
      </c>
      <c r="AC241" s="19">
        <f>Mitigation_Industry!AC$480-(Mitigation_Industry!AC$480-Mitigation_Industry!AC$470)*AC$236</f>
        <v>0.4380881558618927</v>
      </c>
      <c r="AD241" s="19">
        <f>Mitigation_Industry!AD$480-(Mitigation_Industry!AD$480-Mitigation_Industry!AD$470)*AD$236</f>
        <v>0.46019423878918836</v>
      </c>
      <c r="AE241" s="19">
        <f>Mitigation_Industry!AE$480-(Mitigation_Industry!AE$480-Mitigation_Industry!AE$470)*AE$236</f>
        <v>0.48230032171648402</v>
      </c>
    </row>
    <row r="242" spans="1:35" customFormat="1" ht="14.25" x14ac:dyDescent="0.45">
      <c r="B242" s="14" t="s">
        <v>62</v>
      </c>
      <c r="C242" s="14" t="s">
        <v>113</v>
      </c>
      <c r="D242" s="15" t="s">
        <v>2271</v>
      </c>
      <c r="E242" s="16" t="s">
        <v>57</v>
      </c>
      <c r="F242" s="14" t="s">
        <v>2261</v>
      </c>
      <c r="G242" s="17"/>
      <c r="H242" s="128" t="str">
        <f>Settings!$B$3&amp;".mit.atpn.cem.ker.e.2"</f>
        <v>egy.mit.atpn.cem.ker.e.2</v>
      </c>
      <c r="I242" t="s">
        <v>2332</v>
      </c>
      <c r="K242" s="18"/>
      <c r="L242" s="19">
        <f>Mitigation_Industry!L$481-(Mitigation_Industry!L$481-Mitigation_Industry!L$471)*L$236</f>
        <v>0.45642817050012802</v>
      </c>
      <c r="M242" s="19">
        <f>Mitigation_Industry!M$481-(Mitigation_Industry!M$481-Mitigation_Industry!M$471)*M$236</f>
        <v>0.43168920195599497</v>
      </c>
      <c r="N242" s="19">
        <f>Mitigation_Industry!N$481-(Mitigation_Industry!N$481-Mitigation_Industry!N$471)*N$236</f>
        <v>0.42507558395597</v>
      </c>
      <c r="O242" s="19">
        <f>Mitigation_Industry!O$481-(Mitigation_Industry!O$481-Mitigation_Industry!O$471)*O$236</f>
        <v>0.42507558395597</v>
      </c>
      <c r="P242" s="19">
        <f>Mitigation_Industry!P$481-(Mitigation_Industry!P$481-Mitigation_Industry!P$471)*P$236</f>
        <v>0.42507558395597</v>
      </c>
      <c r="Q242" s="19">
        <f>Mitigation_Industry!Q$481-(Mitigation_Industry!Q$481-Mitigation_Industry!Q$471)*Q$236</f>
        <v>0.45706441406607845</v>
      </c>
      <c r="R242" s="19">
        <f>Mitigation_Industry!R$481-(Mitigation_Industry!R$481-Mitigation_Industry!R$471)*R$236</f>
        <v>0.48905324417618695</v>
      </c>
      <c r="S242" s="19">
        <f>Mitigation_Industry!S$481-(Mitigation_Industry!S$481-Mitigation_Industry!S$471)*S$236</f>
        <v>0.52104207428629534</v>
      </c>
      <c r="T242" s="19">
        <f>Mitigation_Industry!T$481-(Mitigation_Industry!T$481-Mitigation_Industry!T$471)*T$236</f>
        <v>0.5530309043964039</v>
      </c>
      <c r="U242" s="19">
        <f>Mitigation_Industry!U$481-(Mitigation_Industry!U$481-Mitigation_Industry!U$471)*U$236</f>
        <v>0.58501973450651235</v>
      </c>
      <c r="V242" s="19">
        <f>Mitigation_Industry!V$481-(Mitigation_Industry!V$481-Mitigation_Industry!V$471)*V$236</f>
        <v>0.61700856461662079</v>
      </c>
      <c r="W242" s="19">
        <f>Mitigation_Industry!W$481-(Mitigation_Industry!W$481-Mitigation_Industry!W$471)*W$236</f>
        <v>0.64899739472672924</v>
      </c>
      <c r="X242" s="19">
        <f>Mitigation_Industry!X$481-(Mitigation_Industry!X$481-Mitigation_Industry!X$471)*X$236</f>
        <v>0.68098622483683768</v>
      </c>
      <c r="Y242" s="19">
        <f>Mitigation_Industry!Y$481-(Mitigation_Industry!Y$481-Mitigation_Industry!Y$471)*Y$236</f>
        <v>0.71297505494694624</v>
      </c>
      <c r="Z242" s="19">
        <f>Mitigation_Industry!Z$481-(Mitigation_Industry!Z$481-Mitigation_Industry!Z$471)*Z$236</f>
        <v>0.74496388505705469</v>
      </c>
      <c r="AA242" s="19">
        <f>Mitigation_Industry!AA$481-(Mitigation_Industry!AA$481-Mitigation_Industry!AA$471)*AA$236</f>
        <v>0.77695271516716313</v>
      </c>
      <c r="AB242" s="19">
        <f>Mitigation_Industry!AB$481-(Mitigation_Industry!AB$481-Mitigation_Industry!AB$471)*AB$236</f>
        <v>0.80894154527727158</v>
      </c>
      <c r="AC242" s="19">
        <f>Mitigation_Industry!AC$481-(Mitigation_Industry!AC$481-Mitigation_Industry!AC$471)*AC$236</f>
        <v>0.84093037538738002</v>
      </c>
      <c r="AD242" s="19">
        <f>Mitigation_Industry!AD$481-(Mitigation_Industry!AD$481-Mitigation_Industry!AD$471)*AD$236</f>
        <v>0.87291920549748858</v>
      </c>
      <c r="AE242" s="19">
        <f>Mitigation_Industry!AE$481-(Mitigation_Industry!AE$481-Mitigation_Industry!AE$471)*AE$236</f>
        <v>0.90490803560759692</v>
      </c>
    </row>
    <row r="243" spans="1:35" customFormat="1" ht="14.25" x14ac:dyDescent="0.45">
      <c r="B243" s="14" t="s">
        <v>64</v>
      </c>
      <c r="C243" s="14" t="s">
        <v>113</v>
      </c>
      <c r="D243" s="15" t="s">
        <v>2273</v>
      </c>
      <c r="E243" s="16" t="s">
        <v>66</v>
      </c>
      <c r="F243" s="14" t="s">
        <v>2261</v>
      </c>
      <c r="G243" s="17"/>
      <c r="H243" s="128" t="str">
        <f>Settings!$B$3&amp;".mit.atpn.cem.oop.e.2"</f>
        <v>egy.mit.atpn.cem.oop.e.2</v>
      </c>
      <c r="I243" t="s">
        <v>2333</v>
      </c>
      <c r="K243" s="18"/>
      <c r="L243" s="19">
        <f>Mitigation_Industry!L$482-(Mitigation_Industry!L$482-Mitigation_Industry!L$472)*L$236</f>
        <v>34.4153703043132</v>
      </c>
      <c r="M243" s="19">
        <f>Mitigation_Industry!M$482-(Mitigation_Industry!M$482-Mitigation_Industry!M$472)*M$236</f>
        <v>37.368960690431997</v>
      </c>
      <c r="N243" s="19">
        <f>Mitigation_Industry!N$482-(Mitigation_Industry!N$482-Mitigation_Industry!N$472)*N$236</f>
        <v>28.982761101477301</v>
      </c>
      <c r="O243" s="19">
        <f>Mitigation_Industry!O$482-(Mitigation_Industry!O$482-Mitigation_Industry!O$472)*O$236</f>
        <v>15</v>
      </c>
      <c r="P243" s="19">
        <f>Mitigation_Industry!P$482-(Mitigation_Industry!P$482-Mitigation_Industry!P$472)*P$236</f>
        <v>24.2586300842555</v>
      </c>
      <c r="Q243" s="19">
        <f>Mitigation_Industry!Q$482-(Mitigation_Industry!Q$482-Mitigation_Industry!Q$472)*Q$236</f>
        <v>18.963758196132499</v>
      </c>
      <c r="R243" s="19">
        <f>Mitigation_Industry!R$482-(Mitigation_Industry!R$482-Mitigation_Industry!R$472)*R$236</f>
        <v>21.760345114010597</v>
      </c>
      <c r="S243" s="19">
        <f>Mitigation_Industry!S$482-(Mitigation_Industry!S$482-Mitigation_Industry!S$472)*S$236</f>
        <v>26.079880691373621</v>
      </c>
      <c r="T243" s="19">
        <f>Mitigation_Industry!T$482-(Mitigation_Industry!T$482-Mitigation_Industry!T$472)*T$236</f>
        <v>30.593682445209218</v>
      </c>
      <c r="U243" s="19">
        <f>Mitigation_Industry!U$482-(Mitigation_Industry!U$482-Mitigation_Industry!U$472)*U$236</f>
        <v>34.990509739410058</v>
      </c>
      <c r="V243" s="19">
        <f>Mitigation_Industry!V$482-(Mitigation_Industry!V$482-Mitigation_Industry!V$472)*V$236</f>
        <v>40.858059739410059</v>
      </c>
      <c r="W243" s="19">
        <f>Mitigation_Industry!W$482-(Mitigation_Industry!W$482-Mitigation_Industry!W$472)*W$236</f>
        <v>46.725609739410054</v>
      </c>
      <c r="X243" s="19">
        <f>Mitigation_Industry!X$482-(Mitigation_Industry!X$482-Mitigation_Industry!X$472)*X$236</f>
        <v>52.593159739410055</v>
      </c>
      <c r="Y243" s="19">
        <f>Mitigation_Industry!Y$482-(Mitigation_Industry!Y$482-Mitigation_Industry!Y$472)*Y$236</f>
        <v>58.460709739410056</v>
      </c>
      <c r="Z243" s="19">
        <f>Mitigation_Industry!Z$482-(Mitigation_Industry!Z$482-Mitigation_Industry!Z$472)*Z$236</f>
        <v>64.328259739410072</v>
      </c>
      <c r="AA243" s="19">
        <f>Mitigation_Industry!AA$482-(Mitigation_Industry!AA$482-Mitigation_Industry!AA$472)*AA$236</f>
        <v>70.195809739410052</v>
      </c>
      <c r="AB243" s="19">
        <f>Mitigation_Industry!AB$482-(Mitigation_Industry!AB$482-Mitigation_Industry!AB$472)*AB$236</f>
        <v>76.06335973941006</v>
      </c>
      <c r="AC243" s="19">
        <f>Mitigation_Industry!AC$482-(Mitigation_Industry!AC$482-Mitigation_Industry!AC$472)*AC$236</f>
        <v>81.930909739410041</v>
      </c>
      <c r="AD243" s="19">
        <f>Mitigation_Industry!AD$482-(Mitigation_Industry!AD$482-Mitigation_Industry!AD$472)*AD$236</f>
        <v>87.798459739410049</v>
      </c>
      <c r="AE243" s="19">
        <f>Mitigation_Industry!AE$482-(Mitigation_Industry!AE$482-Mitigation_Industry!AE$472)*AE$236</f>
        <v>93.666009739410043</v>
      </c>
    </row>
    <row r="244" spans="1:35" customFormat="1" ht="14.25" x14ac:dyDescent="0.45">
      <c r="B244" s="14" t="s">
        <v>67</v>
      </c>
      <c r="C244" s="14" t="s">
        <v>113</v>
      </c>
      <c r="D244" s="15" t="s">
        <v>2275</v>
      </c>
      <c r="E244" s="16" t="s">
        <v>51</v>
      </c>
      <c r="F244" s="14" t="s">
        <v>2261</v>
      </c>
      <c r="G244" s="17"/>
      <c r="H244" s="128" t="str">
        <f>Settings!$B$3&amp;".mit.atpn.cem.bio.e.2"</f>
        <v>egy.mit.atpn.cem.bio.e.2</v>
      </c>
      <c r="I244" t="s">
        <v>2334</v>
      </c>
      <c r="K244" s="18"/>
      <c r="L244" s="19">
        <f>Mitigation_Industry!L$483-(Mitigation_Industry!L$483-Mitigation_Industry!L$473)*L$236</f>
        <v>14.199528390634899</v>
      </c>
      <c r="M244" s="19">
        <f>Mitigation_Industry!M$483-(Mitigation_Industry!M$483-Mitigation_Industry!M$473)*M$236</f>
        <v>13.8404416133152</v>
      </c>
      <c r="N244" s="19">
        <f>Mitigation_Industry!N$483-(Mitigation_Industry!N$483-Mitigation_Industry!N$473)*N$236</f>
        <v>13.5677269404465</v>
      </c>
      <c r="O244" s="19">
        <f>Mitigation_Industry!O$483-(Mitigation_Industry!O$483-Mitigation_Industry!O$473)*O$236</f>
        <v>13.5677269404465</v>
      </c>
      <c r="P244" s="19">
        <f>Mitigation_Industry!P$483-(Mitigation_Industry!P$483-Mitigation_Industry!P$473)*P$236</f>
        <v>13.5677269404465</v>
      </c>
      <c r="Q244" s="19">
        <f>Mitigation_Industry!Q$483-(Mitigation_Industry!Q$483-Mitigation_Industry!Q$473)*Q$236</f>
        <v>13.5677269404465</v>
      </c>
      <c r="R244" s="19">
        <f>Mitigation_Industry!R$483-(Mitigation_Industry!R$483-Mitigation_Industry!R$473)*R$236</f>
        <v>13.5677269404465</v>
      </c>
      <c r="S244" s="19">
        <f>Mitigation_Industry!S$483-(Mitigation_Industry!S$483-Mitigation_Industry!S$473)*S$236</f>
        <v>13.5677269404465</v>
      </c>
      <c r="T244" s="19">
        <f>Mitigation_Industry!T$483-(Mitigation_Industry!T$483-Mitigation_Industry!T$473)*T$236</f>
        <v>13.5677269404465</v>
      </c>
      <c r="U244" s="19">
        <f>Mitigation_Industry!U$483-(Mitigation_Industry!U$483-Mitigation_Industry!U$473)*U$236</f>
        <v>13.5677269404465</v>
      </c>
      <c r="V244" s="19">
        <f>Mitigation_Industry!V$483-(Mitigation_Industry!V$483-Mitigation_Industry!V$473)*V$236</f>
        <v>13.5677269404465</v>
      </c>
      <c r="W244" s="19">
        <f>Mitigation_Industry!W$483-(Mitigation_Industry!W$483-Mitigation_Industry!W$473)*W$236</f>
        <v>13.5677269404465</v>
      </c>
      <c r="X244" s="19">
        <f>Mitigation_Industry!X$483-(Mitigation_Industry!X$483-Mitigation_Industry!X$473)*X$236</f>
        <v>13.5677269404465</v>
      </c>
      <c r="Y244" s="19">
        <f>Mitigation_Industry!Y$483-(Mitigation_Industry!Y$483-Mitigation_Industry!Y$473)*Y$236</f>
        <v>13.5677269404465</v>
      </c>
      <c r="Z244" s="19">
        <f>Mitigation_Industry!Z$483-(Mitigation_Industry!Z$483-Mitigation_Industry!Z$473)*Z$236</f>
        <v>13.5677269404465</v>
      </c>
      <c r="AA244" s="19">
        <f>Mitigation_Industry!AA$483-(Mitigation_Industry!AA$483-Mitigation_Industry!AA$473)*AA$236</f>
        <v>13.5677269404465</v>
      </c>
      <c r="AB244" s="19">
        <f>Mitigation_Industry!AB$483-(Mitigation_Industry!AB$483-Mitigation_Industry!AB$473)*AB$236</f>
        <v>13.5677269404465</v>
      </c>
      <c r="AC244" s="19">
        <f>Mitigation_Industry!AC$483-(Mitigation_Industry!AC$483-Mitigation_Industry!AC$473)*AC$236</f>
        <v>13.5677269404465</v>
      </c>
      <c r="AD244" s="19">
        <f>Mitigation_Industry!AD$483-(Mitigation_Industry!AD$483-Mitigation_Industry!AD$473)*AD$236</f>
        <v>13.5677269404465</v>
      </c>
      <c r="AE244" s="19">
        <f>Mitigation_Industry!AE$483-(Mitigation_Industry!AE$483-Mitigation_Industry!AE$473)*AE$236</f>
        <v>13.5677269404465</v>
      </c>
    </row>
    <row r="245" spans="1:35" customFormat="1" ht="14.25" x14ac:dyDescent="0.45">
      <c r="B245" s="14" t="s">
        <v>69</v>
      </c>
      <c r="C245" s="14" t="s">
        <v>113</v>
      </c>
      <c r="D245" s="15" t="s">
        <v>2277</v>
      </c>
      <c r="E245" s="16" t="s">
        <v>71</v>
      </c>
      <c r="F245" s="14" t="s">
        <v>2261</v>
      </c>
      <c r="G245" s="17"/>
      <c r="H245" s="128" t="str">
        <f>Settings!$B$3&amp;".mit.atpn.cem.ren.e.2"</f>
        <v>egy.mit.atpn.cem.ren.e.2</v>
      </c>
      <c r="I245" t="s">
        <v>2335</v>
      </c>
      <c r="K245" s="18"/>
      <c r="L245" s="19">
        <f>Mitigation_Industry!L$484-(Mitigation_Industry!L$484-Mitigation_Industry!L$474)*L$236</f>
        <v>0.14404498679319799</v>
      </c>
      <c r="M245" s="19">
        <f>Mitigation_Industry!M$484-(Mitigation_Industry!M$484-Mitigation_Industry!M$474)*M$236</f>
        <v>0.141386241751359</v>
      </c>
      <c r="N245" s="19">
        <f>Mitigation_Industry!N$484-(Mitigation_Industry!N$484-Mitigation_Industry!N$474)*N$236</f>
        <v>0.13539756544373099</v>
      </c>
      <c r="O245" s="19">
        <f>Mitigation_Industry!O$484-(Mitigation_Industry!O$484-Mitigation_Industry!O$474)*O$236</f>
        <v>0.13152288542065099</v>
      </c>
      <c r="P245" s="19">
        <f>Mitigation_Industry!P$484-(Mitigation_Industry!P$484-Mitigation_Industry!P$474)*P$236</f>
        <v>0.12882610848523099</v>
      </c>
      <c r="Q245" s="19">
        <f>Mitigation_Industry!Q$484-(Mitigation_Industry!Q$484-Mitigation_Industry!Q$474)*Q$236</f>
        <v>0.12594200976473999</v>
      </c>
      <c r="R245" s="19">
        <f>Mitigation_Industry!R$484-(Mitigation_Industry!R$484-Mitigation_Industry!R$474)*R$236</f>
        <v>0.123113265701861</v>
      </c>
      <c r="S245" s="19">
        <f>Mitigation_Industry!S$484-(Mitigation_Industry!S$484-Mitigation_Industry!S$474)*S$236</f>
        <v>0.119391738089068</v>
      </c>
      <c r="T245" s="19">
        <f>Mitigation_Industry!T$484-(Mitigation_Industry!T$484-Mitigation_Industry!T$474)*T$236</f>
        <v>0.11554419046792</v>
      </c>
      <c r="U245" s="19">
        <f>Mitigation_Industry!U$484-(Mitigation_Industry!U$484-Mitigation_Industry!U$474)*U$236</f>
        <v>0.11492423065415899</v>
      </c>
      <c r="V245" s="19">
        <f>Mitigation_Industry!V$484-(Mitigation_Industry!V$484-Mitigation_Industry!V$474)*V$236</f>
        <v>0.114346912116736</v>
      </c>
      <c r="W245" s="19">
        <f>Mitigation_Industry!W$484-(Mitigation_Industry!W$484-Mitigation_Industry!W$474)*W$236</f>
        <v>0.113738711172664</v>
      </c>
      <c r="X245" s="19">
        <f>Mitigation_Industry!X$484-(Mitigation_Industry!X$484-Mitigation_Industry!X$474)*X$236</f>
        <v>0.112999900487521</v>
      </c>
      <c r="Y245" s="19">
        <f>Mitigation_Industry!Y$484-(Mitigation_Industry!Y$484-Mitigation_Industry!Y$474)*Y$236</f>
        <v>0.112177685835534</v>
      </c>
      <c r="Z245" s="19">
        <f>Mitigation_Industry!Z$484-(Mitigation_Industry!Z$484-Mitigation_Industry!Z$474)*Z$236</f>
        <v>0.111417903250404</v>
      </c>
      <c r="AA245" s="19">
        <f>Mitigation_Industry!AA$484-(Mitigation_Industry!AA$484-Mitigation_Industry!AA$474)*AA$236</f>
        <v>0.11052581998545399</v>
      </c>
      <c r="AB245" s="19">
        <f>Mitigation_Industry!AB$484-(Mitigation_Industry!AB$484-Mitigation_Industry!AB$474)*AB$236</f>
        <v>0.109699565234896</v>
      </c>
      <c r="AC245" s="19">
        <f>Mitigation_Industry!AC$484-(Mitigation_Industry!AC$484-Mitigation_Industry!AC$474)*AC$236</f>
        <v>0.10772678896394899</v>
      </c>
      <c r="AD245" s="19">
        <f>Mitigation_Industry!AD$484-(Mitigation_Industry!AD$484-Mitigation_Industry!AD$474)*AD$236</f>
        <v>0.10582092445093499</v>
      </c>
      <c r="AE245" s="19">
        <f>Mitigation_Industry!AE$484-(Mitigation_Industry!AE$484-Mitigation_Industry!AE$474)*AE$236</f>
        <v>0.103855595705721</v>
      </c>
    </row>
    <row r="247" spans="1:35" customFormat="1" ht="14.25" x14ac:dyDescent="0.45">
      <c r="A247" s="11"/>
      <c r="B247" s="6"/>
      <c r="C247" s="7" t="s">
        <v>115</v>
      </c>
      <c r="D247" s="6" t="s">
        <v>1488</v>
      </c>
      <c r="E247" s="7" t="s">
        <v>35</v>
      </c>
      <c r="F247" s="7" t="s">
        <v>45</v>
      </c>
      <c r="G247" s="7" t="s">
        <v>37</v>
      </c>
      <c r="H247" s="12" t="s">
        <v>38</v>
      </c>
      <c r="I247" s="6" t="s">
        <v>39</v>
      </c>
      <c r="J247" s="48">
        <v>2</v>
      </c>
      <c r="K247" s="6">
        <v>2021</v>
      </c>
      <c r="L247" s="46">
        <v>2022</v>
      </c>
      <c r="M247" s="6">
        <v>2023</v>
      </c>
      <c r="N247" s="6">
        <v>2024</v>
      </c>
      <c r="O247" s="6">
        <v>2025</v>
      </c>
      <c r="P247" s="6">
        <v>2026</v>
      </c>
      <c r="Q247" s="6">
        <v>2027</v>
      </c>
      <c r="R247" s="6">
        <v>2028</v>
      </c>
      <c r="S247" s="6">
        <v>2029</v>
      </c>
      <c r="T247" s="6">
        <v>2030</v>
      </c>
      <c r="U247" s="6">
        <v>2031</v>
      </c>
      <c r="V247" s="6">
        <v>2032</v>
      </c>
      <c r="W247" s="6">
        <v>2033</v>
      </c>
      <c r="X247" s="6">
        <v>2034</v>
      </c>
      <c r="Y247" s="6">
        <v>2035</v>
      </c>
      <c r="Z247" s="6">
        <v>2036</v>
      </c>
      <c r="AA247" s="6">
        <v>2037</v>
      </c>
      <c r="AB247" s="6">
        <v>2038</v>
      </c>
      <c r="AC247" s="6">
        <v>2039</v>
      </c>
      <c r="AD247" s="6">
        <v>2040</v>
      </c>
      <c r="AE247" s="6">
        <v>2041</v>
      </c>
      <c r="AF247" s="6">
        <v>2042</v>
      </c>
      <c r="AG247" s="6">
        <v>2043</v>
      </c>
      <c r="AH247" s="6">
        <v>2044</v>
      </c>
      <c r="AI247" s="6">
        <v>2045</v>
      </c>
    </row>
    <row r="248" spans="1:35" customFormat="1" ht="14.25" x14ac:dyDescent="0.45">
      <c r="B248" s="14" t="s">
        <v>110</v>
      </c>
      <c r="C248" s="14" t="s">
        <v>115</v>
      </c>
      <c r="D248" s="25" t="s">
        <v>2253</v>
      </c>
      <c r="E248" s="16" t="s">
        <v>1854</v>
      </c>
      <c r="F248" s="14" t="s">
        <v>2242</v>
      </c>
      <c r="H248" s="128" t="str">
        <f>Settings!$B$3&amp;".mit.obr.ind.nfm.2"</f>
        <v>egy.mit.obr.ind.nfm.2</v>
      </c>
      <c r="I248" t="s">
        <v>2289</v>
      </c>
      <c r="L248" s="130">
        <f t="shared" ref="L248:AE248" si="64">L$216</f>
        <v>0</v>
      </c>
      <c r="M248" s="130">
        <f t="shared" si="64"/>
        <v>0</v>
      </c>
      <c r="N248" s="130">
        <f t="shared" si="64"/>
        <v>0</v>
      </c>
      <c r="O248" s="130">
        <f t="shared" si="64"/>
        <v>0</v>
      </c>
      <c r="P248" s="130">
        <f t="shared" si="64"/>
        <v>0</v>
      </c>
      <c r="Q248" s="130">
        <f t="shared" si="64"/>
        <v>0</v>
      </c>
      <c r="R248" s="130">
        <f t="shared" si="64"/>
        <v>0</v>
      </c>
      <c r="S248" s="130">
        <f t="shared" si="64"/>
        <v>0</v>
      </c>
      <c r="T248" s="130">
        <f t="shared" si="64"/>
        <v>0</v>
      </c>
      <c r="U248" s="130">
        <f t="shared" si="64"/>
        <v>0</v>
      </c>
      <c r="V248" s="130">
        <f t="shared" si="64"/>
        <v>0</v>
      </c>
      <c r="W248" s="130">
        <f t="shared" si="64"/>
        <v>0</v>
      </c>
      <c r="X248" s="130">
        <f t="shared" si="64"/>
        <v>0</v>
      </c>
      <c r="Y248" s="130">
        <f t="shared" si="64"/>
        <v>0</v>
      </c>
      <c r="Z248" s="130">
        <f t="shared" si="64"/>
        <v>0</v>
      </c>
      <c r="AA248" s="130">
        <f t="shared" si="64"/>
        <v>0</v>
      </c>
      <c r="AB248" s="130">
        <f t="shared" si="64"/>
        <v>0</v>
      </c>
      <c r="AC248" s="130">
        <f t="shared" si="64"/>
        <v>0</v>
      </c>
      <c r="AD248" s="130">
        <f t="shared" si="64"/>
        <v>0</v>
      </c>
      <c r="AE248" s="130">
        <f t="shared" si="64"/>
        <v>0</v>
      </c>
    </row>
    <row r="249" spans="1:35" customFormat="1" ht="14.25" x14ac:dyDescent="0.45">
      <c r="B249" s="14" t="s">
        <v>110</v>
      </c>
      <c r="C249" s="14" t="s">
        <v>115</v>
      </c>
      <c r="D249" s="25" t="s">
        <v>2255</v>
      </c>
      <c r="E249" s="16" t="s">
        <v>1854</v>
      </c>
      <c r="F249" s="14" t="s">
        <v>2256</v>
      </c>
      <c r="H249" s="128" t="str">
        <f>Settings!$B$3&amp;".mit.ccf.ind.nfm.2"</f>
        <v>egy.mit.ccf.ind.nfm.2</v>
      </c>
      <c r="L249" s="130">
        <f>L$166*Mitigation_Industry!L$682/1000</f>
        <v>0</v>
      </c>
      <c r="M249" s="130">
        <f>M$166*Mitigation_Industry!M$682/1000</f>
        <v>0</v>
      </c>
      <c r="N249" s="130">
        <f>N$166*Mitigation_Industry!N$682/1000</f>
        <v>0</v>
      </c>
      <c r="O249" s="130">
        <f>O$166*Mitigation_Industry!O$682/1000</f>
        <v>0</v>
      </c>
      <c r="P249" s="130">
        <f>P$166*Mitigation_Industry!P$682/1000</f>
        <v>0</v>
      </c>
      <c r="Q249" s="130">
        <f>Q$166*Mitigation_Industry!Q$682/1000</f>
        <v>0.5434682643843749</v>
      </c>
      <c r="R249" s="130">
        <f>R$166*Mitigation_Industry!R$682/1000</f>
        <v>1.1467180378510311</v>
      </c>
      <c r="S249" s="130">
        <f>S$166*Mitigation_Industry!S$682/1000</f>
        <v>1.8146812948992568</v>
      </c>
      <c r="T249" s="130">
        <f>T$166*Mitigation_Industry!T$682/1000</f>
        <v>2.5526516881582877</v>
      </c>
      <c r="U249" s="130">
        <f>U$166*Mitigation_Industry!U$682/1000</f>
        <v>3.3663094137587413</v>
      </c>
      <c r="V249" s="130">
        <f>V$166*Mitigation_Industry!V$682/1000</f>
        <v>4.261747717818567</v>
      </c>
      <c r="W249" s="130">
        <f>W$166*Mitigation_Industry!W$682/1000</f>
        <v>5.2455011493483523</v>
      </c>
      <c r="X249" s="130">
        <f>X$166*Mitigation_Industry!X$682/1000</f>
        <v>6.3245756715000132</v>
      </c>
      <c r="Y249" s="130">
        <f>Y$166*Mitigation_Industry!Y$682/1000</f>
        <v>7.506480750111578</v>
      </c>
      <c r="Z249" s="130">
        <f>Z$166*Mitigation_Industry!Z$682/1000</f>
        <v>8.7992635459641271</v>
      </c>
      <c r="AA249" s="130">
        <f>AA$166*Mitigation_Industry!AA$682/1000</f>
        <v>10.211545345091368</v>
      </c>
      <c r="AB249" s="130">
        <f>AB$166*Mitigation_Industry!AB$682/1000</f>
        <v>11.752560369896068</v>
      </c>
      <c r="AC249" s="130">
        <f>AC$166*Mitigation_Industry!AC$682/1000</f>
        <v>13.432197122760376</v>
      </c>
      <c r="AD249" s="130">
        <f>AD$166*Mitigation_Industry!AD$682/1000</f>
        <v>15.261042423320831</v>
      </c>
      <c r="AE249" s="130">
        <f>AE$166*Mitigation_Industry!AE$682/1000</f>
        <v>17.250428310646576</v>
      </c>
    </row>
    <row r="250" spans="1:35" customFormat="1" ht="14.25" x14ac:dyDescent="0.45">
      <c r="B250" s="14" t="s">
        <v>110</v>
      </c>
      <c r="C250" s="14" t="s">
        <v>115</v>
      </c>
      <c r="D250" s="25" t="s">
        <v>2257</v>
      </c>
      <c r="E250" s="16" t="s">
        <v>79</v>
      </c>
      <c r="F250" s="14" t="s">
        <v>2258</v>
      </c>
      <c r="H250" s="128" t="str">
        <f>Settings!$B$3&amp;".mit.rsh.ind.nfm.2"</f>
        <v>egy.mit.rsh.ind.nfm.2</v>
      </c>
      <c r="I250" t="s">
        <v>2259</v>
      </c>
      <c r="L250" s="130">
        <f t="shared" ref="L250:AE250" si="65">IF(L$249&lt;=0,0,MIN(1,L$248/L$249))</f>
        <v>0</v>
      </c>
      <c r="M250" s="130">
        <f t="shared" si="65"/>
        <v>0</v>
      </c>
      <c r="N250" s="130">
        <f t="shared" si="65"/>
        <v>0</v>
      </c>
      <c r="O250" s="130">
        <f t="shared" si="65"/>
        <v>0</v>
      </c>
      <c r="P250" s="130">
        <f t="shared" si="65"/>
        <v>0</v>
      </c>
      <c r="Q250" s="130">
        <f t="shared" si="65"/>
        <v>0</v>
      </c>
      <c r="R250" s="130">
        <f t="shared" si="65"/>
        <v>0</v>
      </c>
      <c r="S250" s="130">
        <f t="shared" si="65"/>
        <v>0</v>
      </c>
      <c r="T250" s="130">
        <f t="shared" si="65"/>
        <v>0</v>
      </c>
      <c r="U250" s="130">
        <f t="shared" si="65"/>
        <v>0</v>
      </c>
      <c r="V250" s="130">
        <f t="shared" si="65"/>
        <v>0</v>
      </c>
      <c r="W250" s="130">
        <f t="shared" si="65"/>
        <v>0</v>
      </c>
      <c r="X250" s="130">
        <f t="shared" si="65"/>
        <v>0</v>
      </c>
      <c r="Y250" s="130">
        <f t="shared" si="65"/>
        <v>0</v>
      </c>
      <c r="Z250" s="130">
        <f t="shared" si="65"/>
        <v>0</v>
      </c>
      <c r="AA250" s="130">
        <f t="shared" si="65"/>
        <v>0</v>
      </c>
      <c r="AB250" s="130">
        <f t="shared" si="65"/>
        <v>0</v>
      </c>
      <c r="AC250" s="130">
        <f t="shared" si="65"/>
        <v>0</v>
      </c>
      <c r="AD250" s="130">
        <f t="shared" si="65"/>
        <v>0</v>
      </c>
      <c r="AE250" s="130">
        <f t="shared" si="65"/>
        <v>0</v>
      </c>
    </row>
    <row r="251" spans="1:35" customFormat="1" ht="14.25" x14ac:dyDescent="0.45">
      <c r="B251" s="14" t="s">
        <v>49</v>
      </c>
      <c r="C251" s="14" t="s">
        <v>115</v>
      </c>
      <c r="D251" s="15" t="s">
        <v>2260</v>
      </c>
      <c r="E251" s="16" t="s">
        <v>51</v>
      </c>
      <c r="F251" s="14" t="s">
        <v>2261</v>
      </c>
      <c r="G251" s="17"/>
      <c r="H251" s="128" t="str">
        <f>Settings!$B$3&amp;".mit.atpn.nfm.coa.e.2"</f>
        <v>egy.mit.atpn.nfm.coa.e.2</v>
      </c>
      <c r="I251" t="s">
        <v>2336</v>
      </c>
      <c r="K251" s="18"/>
      <c r="L251" s="19">
        <f>Mitigation_Industry!L$536-(Mitigation_Industry!L$536-Mitigation_Industry!L$526)*L$250</f>
        <v>10.5233613454312</v>
      </c>
      <c r="M251" s="19">
        <f>Mitigation_Industry!M$536-(Mitigation_Industry!M$536-Mitigation_Industry!M$526)*M$250</f>
        <v>10.2995608274442</v>
      </c>
      <c r="N251" s="19">
        <f>Mitigation_Industry!N$536-(Mitigation_Industry!N$536-Mitigation_Industry!N$526)*N$250</f>
        <v>9.5775283595382597</v>
      </c>
      <c r="O251" s="19">
        <f>Mitigation_Industry!O$536-(Mitigation_Industry!O$536-Mitigation_Industry!O$526)*O$250</f>
        <v>8.4854782869580507</v>
      </c>
      <c r="P251" s="19">
        <f>Mitigation_Industry!P$536-(Mitigation_Industry!P$536-Mitigation_Industry!P$526)*P$250</f>
        <v>9.0871922352498604</v>
      </c>
      <c r="Q251" s="19">
        <f>Mitigation_Industry!Q$536-(Mitigation_Industry!Q$536-Mitigation_Industry!Q$526)*Q$250</f>
        <v>10.472923728932679</v>
      </c>
      <c r="R251" s="19">
        <f>Mitigation_Industry!R$536-(Mitigation_Industry!R$536-Mitigation_Industry!R$526)*R$250</f>
        <v>11.658564955509689</v>
      </c>
      <c r="S251" s="19">
        <f>Mitigation_Industry!S$536-(Mitigation_Industry!S$536-Mitigation_Industry!S$526)*S$250</f>
        <v>12.839547877397379</v>
      </c>
      <c r="T251" s="19">
        <f>Mitigation_Industry!T$536-(Mitigation_Industry!T$536-Mitigation_Industry!T$526)*T$250</f>
        <v>14.01568166602283</v>
      </c>
      <c r="U251" s="19">
        <f>Mitigation_Industry!U$536-(Mitigation_Industry!U$536-Mitigation_Industry!U$526)*U$250</f>
        <v>15.19439776555711</v>
      </c>
      <c r="V251" s="19">
        <f>Mitigation_Industry!V$536-(Mitigation_Industry!V$536-Mitigation_Industry!V$526)*V$250</f>
        <v>16.44439776555711</v>
      </c>
      <c r="W251" s="19">
        <f>Mitigation_Industry!W$536-(Mitigation_Industry!W$536-Mitigation_Industry!W$526)*W$250</f>
        <v>17.69439776555711</v>
      </c>
      <c r="X251" s="19">
        <f>Mitigation_Industry!X$536-(Mitigation_Industry!X$536-Mitigation_Industry!X$526)*X$250</f>
        <v>18.94439776555711</v>
      </c>
      <c r="Y251" s="19">
        <f>Mitigation_Industry!Y$536-(Mitigation_Industry!Y$536-Mitigation_Industry!Y$526)*Y$250</f>
        <v>20.19439776555711</v>
      </c>
      <c r="Z251" s="19">
        <f>Mitigation_Industry!Z$536-(Mitigation_Industry!Z$536-Mitigation_Industry!Z$526)*Z$250</f>
        <v>21.44439776555711</v>
      </c>
      <c r="AA251" s="19">
        <f>Mitigation_Industry!AA$536-(Mitigation_Industry!AA$536-Mitigation_Industry!AA$526)*AA$250</f>
        <v>22.69439776555711</v>
      </c>
      <c r="AB251" s="19">
        <f>Mitigation_Industry!AB$536-(Mitigation_Industry!AB$536-Mitigation_Industry!AB$526)*AB$250</f>
        <v>23.94439776555711</v>
      </c>
      <c r="AC251" s="19">
        <f>Mitigation_Industry!AC$536-(Mitigation_Industry!AC$536-Mitigation_Industry!AC$526)*AC$250</f>
        <v>25.19439776555711</v>
      </c>
      <c r="AD251" s="19">
        <f>Mitigation_Industry!AD$536-(Mitigation_Industry!AD$536-Mitigation_Industry!AD$526)*AD$250</f>
        <v>26.44439776555711</v>
      </c>
      <c r="AE251" s="19">
        <f>Mitigation_Industry!AE$536-(Mitigation_Industry!AE$536-Mitigation_Industry!AE$526)*AE$250</f>
        <v>27.69439776555711</v>
      </c>
    </row>
    <row r="252" spans="1:35" customFormat="1" ht="14.25" x14ac:dyDescent="0.45">
      <c r="B252" s="14" t="s">
        <v>53</v>
      </c>
      <c r="C252" s="14" t="s">
        <v>115</v>
      </c>
      <c r="D252" s="15" t="s">
        <v>2263</v>
      </c>
      <c r="E252" s="16" t="s">
        <v>51</v>
      </c>
      <c r="F252" s="14" t="s">
        <v>2261</v>
      </c>
      <c r="G252" s="17"/>
      <c r="H252" s="128" t="str">
        <f>Settings!$B$3&amp;".mit.atpn.nfm.nga.e.2"</f>
        <v>egy.mit.atpn.nfm.nga.e.2</v>
      </c>
      <c r="I252" t="s">
        <v>2337</v>
      </c>
      <c r="K252" s="18"/>
      <c r="L252" s="19">
        <f>Mitigation_Industry!L$537-(Mitigation_Industry!L$537-Mitigation_Industry!L$527)*L$250</f>
        <v>5.4510150816191896</v>
      </c>
      <c r="M252" s="19">
        <f>Mitigation_Industry!M$537-(Mitigation_Industry!M$537-Mitigation_Industry!M$527)*M$250</f>
        <v>5.1193563062624801</v>
      </c>
      <c r="N252" s="19">
        <f>Mitigation_Industry!N$537-(Mitigation_Industry!N$537-Mitigation_Industry!N$527)*N$250</f>
        <v>5.08218458640407</v>
      </c>
      <c r="O252" s="19">
        <f>Mitigation_Industry!O$537-(Mitigation_Industry!O$537-Mitigation_Industry!O$527)*O$250</f>
        <v>5.08218458640407</v>
      </c>
      <c r="P252" s="19">
        <f>Mitigation_Industry!P$537-(Mitigation_Industry!P$537-Mitigation_Industry!P$527)*P$250</f>
        <v>5.08218458640407</v>
      </c>
      <c r="Q252" s="19">
        <f>Mitigation_Industry!Q$537-(Mitigation_Industry!Q$537-Mitigation_Industry!Q$527)*Q$250</f>
        <v>5.7796845864040698</v>
      </c>
      <c r="R252" s="19">
        <f>Mitigation_Industry!R$537-(Mitigation_Industry!R$537-Mitigation_Industry!R$527)*R$250</f>
        <v>6.4771845864040696</v>
      </c>
      <c r="S252" s="19">
        <f>Mitigation_Industry!S$537-(Mitigation_Industry!S$537-Mitigation_Industry!S$527)*S$250</f>
        <v>7.1746845864040703</v>
      </c>
      <c r="T252" s="19">
        <f>Mitigation_Industry!T$537-(Mitigation_Industry!T$537-Mitigation_Industry!T$527)*T$250</f>
        <v>7.87218458640407</v>
      </c>
      <c r="U252" s="19">
        <f>Mitigation_Industry!U$537-(Mitigation_Industry!U$537-Mitigation_Industry!U$527)*U$250</f>
        <v>8.5696845864040707</v>
      </c>
      <c r="V252" s="19">
        <f>Mitigation_Industry!V$537-(Mitigation_Industry!V$537-Mitigation_Industry!V$527)*V$250</f>
        <v>9.2671845864040705</v>
      </c>
      <c r="W252" s="19">
        <f>Mitigation_Industry!W$537-(Mitigation_Industry!W$537-Mitigation_Industry!W$527)*W$250</f>
        <v>9.9646845864040703</v>
      </c>
      <c r="X252" s="19">
        <f>Mitigation_Industry!X$537-(Mitigation_Industry!X$537-Mitigation_Industry!X$527)*X$250</f>
        <v>10.66218458640407</v>
      </c>
      <c r="Y252" s="19">
        <f>Mitigation_Industry!Y$537-(Mitigation_Industry!Y$537-Mitigation_Industry!Y$527)*Y$250</f>
        <v>11.35968458640407</v>
      </c>
      <c r="Z252" s="19">
        <f>Mitigation_Industry!Z$537-(Mitigation_Industry!Z$537-Mitigation_Industry!Z$527)*Z$250</f>
        <v>12.05718458640407</v>
      </c>
      <c r="AA252" s="19">
        <f>Mitigation_Industry!AA$537-(Mitigation_Industry!AA$537-Mitigation_Industry!AA$527)*AA$250</f>
        <v>12.754684586404071</v>
      </c>
      <c r="AB252" s="19">
        <f>Mitigation_Industry!AB$537-(Mitigation_Industry!AB$537-Mitigation_Industry!AB$527)*AB$250</f>
        <v>13.452184586404071</v>
      </c>
      <c r="AC252" s="19">
        <f>Mitigation_Industry!AC$537-(Mitigation_Industry!AC$537-Mitigation_Industry!AC$527)*AC$250</f>
        <v>14.149684586404071</v>
      </c>
      <c r="AD252" s="19">
        <f>Mitigation_Industry!AD$537-(Mitigation_Industry!AD$537-Mitigation_Industry!AD$527)*AD$250</f>
        <v>14.847184586404071</v>
      </c>
      <c r="AE252" s="19">
        <f>Mitigation_Industry!AE$537-(Mitigation_Industry!AE$537-Mitigation_Industry!AE$527)*AE$250</f>
        <v>15.54468458640407</v>
      </c>
    </row>
    <row r="253" spans="1:35" customFormat="1" ht="14.25" x14ac:dyDescent="0.45">
      <c r="B253" s="14" t="s">
        <v>55</v>
      </c>
      <c r="C253" s="14" t="s">
        <v>115</v>
      </c>
      <c r="D253" s="15" t="s">
        <v>2265</v>
      </c>
      <c r="E253" s="16" t="s">
        <v>57</v>
      </c>
      <c r="F253" s="14" t="s">
        <v>2261</v>
      </c>
      <c r="G253" s="17"/>
      <c r="H253" s="128" t="str">
        <f>Settings!$B$3&amp;".mit.atpn.nfm.gso.e.2"</f>
        <v>egy.mit.atpn.nfm.gso.e.2</v>
      </c>
      <c r="I253" t="s">
        <v>2338</v>
      </c>
      <c r="K253" s="18"/>
      <c r="L253" s="19">
        <f>Mitigation_Industry!L$538-(Mitigation_Industry!L$538-Mitigation_Industry!L$528)*L$250</f>
        <v>0.61197797679140598</v>
      </c>
      <c r="M253" s="19">
        <f>Mitigation_Industry!M$538-(Mitigation_Industry!M$538-Mitigation_Industry!M$528)*M$250</f>
        <v>0.61180974964187596</v>
      </c>
      <c r="N253" s="19">
        <f>Mitigation_Industry!N$538-(Mitigation_Industry!N$538-Mitigation_Industry!N$528)*N$250</f>
        <v>0.60358310017790595</v>
      </c>
      <c r="O253" s="19">
        <f>Mitigation_Industry!O$538-(Mitigation_Industry!O$538-Mitigation_Industry!O$528)*O$250</f>
        <v>0.60358310017790595</v>
      </c>
      <c r="P253" s="19">
        <f>Mitigation_Industry!P$538-(Mitigation_Industry!P$538-Mitigation_Industry!P$528)*P$250</f>
        <v>0.60358310017790595</v>
      </c>
      <c r="Q253" s="19">
        <f>Mitigation_Industry!Q$538-(Mitigation_Industry!Q$538-Mitigation_Industry!Q$528)*Q$250</f>
        <v>0.63251094334940594</v>
      </c>
      <c r="R253" s="19">
        <f>Mitigation_Industry!R$538-(Mitigation_Industry!R$538-Mitigation_Industry!R$528)*R$250</f>
        <v>0.66143878652090593</v>
      </c>
      <c r="S253" s="19">
        <f>Mitigation_Industry!S$538-(Mitigation_Industry!S$538-Mitigation_Industry!S$528)*S$250</f>
        <v>0.69036662969240592</v>
      </c>
      <c r="T253" s="19">
        <f>Mitigation_Industry!T$538-(Mitigation_Industry!T$538-Mitigation_Industry!T$528)*T$250</f>
        <v>0.71929447286390591</v>
      </c>
      <c r="U253" s="19">
        <f>Mitigation_Industry!U$538-(Mitigation_Industry!U$538-Mitigation_Industry!U$528)*U$250</f>
        <v>0.74822231603540601</v>
      </c>
      <c r="V253" s="19">
        <f>Mitigation_Industry!V$538-(Mitigation_Industry!V$538-Mitigation_Industry!V$528)*V$250</f>
        <v>0.777150159206906</v>
      </c>
      <c r="W253" s="19">
        <f>Mitigation_Industry!W$538-(Mitigation_Industry!W$538-Mitigation_Industry!W$528)*W$250</f>
        <v>0.80607800237840599</v>
      </c>
      <c r="X253" s="19">
        <f>Mitigation_Industry!X$538-(Mitigation_Industry!X$538-Mitigation_Industry!X$528)*X$250</f>
        <v>0.83500584554990598</v>
      </c>
      <c r="Y253" s="19">
        <f>Mitigation_Industry!Y$538-(Mitigation_Industry!Y$538-Mitigation_Industry!Y$528)*Y$250</f>
        <v>0.86393368872140597</v>
      </c>
      <c r="Z253" s="19">
        <f>Mitigation_Industry!Z$538-(Mitigation_Industry!Z$538-Mitigation_Industry!Z$528)*Z$250</f>
        <v>0.89286153189290596</v>
      </c>
      <c r="AA253" s="19">
        <f>Mitigation_Industry!AA$538-(Mitigation_Industry!AA$538-Mitigation_Industry!AA$528)*AA$250</f>
        <v>0.92178937506440595</v>
      </c>
      <c r="AB253" s="19">
        <f>Mitigation_Industry!AB$538-(Mitigation_Industry!AB$538-Mitigation_Industry!AB$528)*AB$250</f>
        <v>0.95071721823590605</v>
      </c>
      <c r="AC253" s="19">
        <f>Mitigation_Industry!AC$538-(Mitigation_Industry!AC$538-Mitigation_Industry!AC$528)*AC$250</f>
        <v>0.97964506140740593</v>
      </c>
      <c r="AD253" s="19">
        <f>Mitigation_Industry!AD$538-(Mitigation_Industry!AD$538-Mitigation_Industry!AD$528)*AD$250</f>
        <v>1.008572904578906</v>
      </c>
      <c r="AE253" s="19">
        <f>Mitigation_Industry!AE$538-(Mitigation_Industry!AE$538-Mitigation_Industry!AE$528)*AE$250</f>
        <v>1.0375007477504061</v>
      </c>
    </row>
    <row r="254" spans="1:35" customFormat="1" ht="14.25" x14ac:dyDescent="0.45">
      <c r="B254" s="14" t="s">
        <v>58</v>
      </c>
      <c r="C254" s="14" t="s">
        <v>115</v>
      </c>
      <c r="D254" s="15" t="s">
        <v>2267</v>
      </c>
      <c r="E254" s="16" t="s">
        <v>57</v>
      </c>
      <c r="F254" s="14" t="s">
        <v>2261</v>
      </c>
      <c r="G254" s="17"/>
      <c r="H254" s="128" t="str">
        <f>Settings!$B$3&amp;".mit.atpn.nfm.die.e.2"</f>
        <v>egy.mit.atpn.nfm.die.e.2</v>
      </c>
      <c r="I254" t="s">
        <v>2339</v>
      </c>
      <c r="K254" s="18"/>
      <c r="L254" s="19">
        <f>Mitigation_Industry!L$539-(Mitigation_Industry!L$539-Mitigation_Industry!L$529)*L$250</f>
        <v>0.49458873084106802</v>
      </c>
      <c r="M254" s="19">
        <f>Mitigation_Industry!M$539-(Mitigation_Industry!M$539-Mitigation_Industry!M$529)*M$250</f>
        <v>0.50778654720250105</v>
      </c>
      <c r="N254" s="19">
        <f>Mitigation_Industry!N$539-(Mitigation_Industry!N$539-Mitigation_Industry!N$529)*N$250</f>
        <v>0.47043642679561698</v>
      </c>
      <c r="O254" s="19">
        <f>Mitigation_Industry!O$539-(Mitigation_Industry!O$539-Mitigation_Industry!O$529)*O$250</f>
        <v>0.47043642679561698</v>
      </c>
      <c r="P254" s="19">
        <f>Mitigation_Industry!P$539-(Mitigation_Industry!P$539-Mitigation_Industry!P$529)*P$250</f>
        <v>0.47043642679561698</v>
      </c>
      <c r="Q254" s="19">
        <f>Mitigation_Industry!Q$539-(Mitigation_Industry!Q$539-Mitigation_Industry!Q$529)*Q$250</f>
        <v>0.50344686565449193</v>
      </c>
      <c r="R254" s="19">
        <f>Mitigation_Industry!R$539-(Mitigation_Industry!R$539-Mitigation_Industry!R$529)*R$250</f>
        <v>0.53645730451336693</v>
      </c>
      <c r="S254" s="19">
        <f>Mitigation_Industry!S$539-(Mitigation_Industry!S$539-Mitigation_Industry!S$529)*S$250</f>
        <v>0.56946774337224193</v>
      </c>
      <c r="T254" s="19">
        <f>Mitigation_Industry!T$539-(Mitigation_Industry!T$539-Mitigation_Industry!T$529)*T$250</f>
        <v>0.60247818223111693</v>
      </c>
      <c r="U254" s="19">
        <f>Mitigation_Industry!U$539-(Mitigation_Industry!U$539-Mitigation_Industry!U$529)*U$250</f>
        <v>0.63548862108999193</v>
      </c>
      <c r="V254" s="19">
        <f>Mitigation_Industry!V$539-(Mitigation_Industry!V$539-Mitigation_Industry!V$529)*V$250</f>
        <v>0.66849905994886694</v>
      </c>
      <c r="W254" s="19">
        <f>Mitigation_Industry!W$539-(Mitigation_Industry!W$539-Mitigation_Industry!W$529)*W$250</f>
        <v>0.70150949880774194</v>
      </c>
      <c r="X254" s="19">
        <f>Mitigation_Industry!X$539-(Mitigation_Industry!X$539-Mitigation_Industry!X$529)*X$250</f>
        <v>0.73451993766661694</v>
      </c>
      <c r="Y254" s="19">
        <f>Mitigation_Industry!Y$539-(Mitigation_Industry!Y$539-Mitigation_Industry!Y$529)*Y$250</f>
        <v>0.76753037652549194</v>
      </c>
      <c r="Z254" s="19">
        <f>Mitigation_Industry!Z$539-(Mitigation_Industry!Z$539-Mitigation_Industry!Z$529)*Z$250</f>
        <v>0.80054081538436694</v>
      </c>
      <c r="AA254" s="19">
        <f>Mitigation_Industry!AA$539-(Mitigation_Industry!AA$539-Mitigation_Industry!AA$529)*AA$250</f>
        <v>0.83355125424324195</v>
      </c>
      <c r="AB254" s="19">
        <f>Mitigation_Industry!AB$539-(Mitigation_Industry!AB$539-Mitigation_Industry!AB$529)*AB$250</f>
        <v>0.86656169310211695</v>
      </c>
      <c r="AC254" s="19">
        <f>Mitigation_Industry!AC$539-(Mitigation_Industry!AC$539-Mitigation_Industry!AC$529)*AC$250</f>
        <v>0.89957213196099195</v>
      </c>
      <c r="AD254" s="19">
        <f>Mitigation_Industry!AD$539-(Mitigation_Industry!AD$539-Mitigation_Industry!AD$529)*AD$250</f>
        <v>0.93258257081986695</v>
      </c>
      <c r="AE254" s="19">
        <f>Mitigation_Industry!AE$539-(Mitigation_Industry!AE$539-Mitigation_Industry!AE$529)*AE$250</f>
        <v>0.96559300967874195</v>
      </c>
    </row>
    <row r="255" spans="1:35" customFormat="1" ht="14.25" x14ac:dyDescent="0.45">
      <c r="B255" s="14" t="s">
        <v>60</v>
      </c>
      <c r="C255" s="14" t="s">
        <v>115</v>
      </c>
      <c r="D255" s="15" t="s">
        <v>2269</v>
      </c>
      <c r="E255" s="16" t="s">
        <v>57</v>
      </c>
      <c r="F255" s="14" t="s">
        <v>2261</v>
      </c>
      <c r="G255" s="17"/>
      <c r="H255" s="128" t="str">
        <f>Settings!$B$3&amp;".mit.atpn.nfm.lpg.e.2"</f>
        <v>egy.mit.atpn.nfm.lpg.e.2</v>
      </c>
      <c r="I255" t="s">
        <v>2340</v>
      </c>
      <c r="K255" s="18"/>
      <c r="L255" s="19">
        <f>Mitigation_Industry!L$540-(Mitigation_Industry!L$540-Mitigation_Industry!L$530)*L$250</f>
        <v>0.15734473625227399</v>
      </c>
      <c r="M255" s="19">
        <f>Mitigation_Industry!M$540-(Mitigation_Industry!M$540-Mitigation_Industry!M$530)*M$250</f>
        <v>0.164484037759277</v>
      </c>
      <c r="N255" s="19">
        <f>Mitigation_Industry!N$540-(Mitigation_Industry!N$540-Mitigation_Industry!N$530)*N$250</f>
        <v>0.15070907780704901</v>
      </c>
      <c r="O255" s="19">
        <f>Mitigation_Industry!O$540-(Mitigation_Industry!O$540-Mitigation_Industry!O$530)*O$250</f>
        <v>0.15070907780704901</v>
      </c>
      <c r="P255" s="19">
        <f>Mitigation_Industry!P$540-(Mitigation_Industry!P$540-Mitigation_Industry!P$530)*P$250</f>
        <v>0.15070907780704901</v>
      </c>
      <c r="Q255" s="19">
        <f>Mitigation_Industry!Q$540-(Mitigation_Industry!Q$540-Mitigation_Industry!Q$530)*Q$250</f>
        <v>0.17281516073434466</v>
      </c>
      <c r="R255" s="19">
        <f>Mitigation_Industry!R$540-(Mitigation_Industry!R$540-Mitigation_Industry!R$530)*R$250</f>
        <v>0.19492124366164035</v>
      </c>
      <c r="S255" s="19">
        <f>Mitigation_Industry!S$540-(Mitigation_Industry!S$540-Mitigation_Industry!S$530)*S$250</f>
        <v>0.217027326588936</v>
      </c>
      <c r="T255" s="19">
        <f>Mitigation_Industry!T$540-(Mitigation_Industry!T$540-Mitigation_Industry!T$530)*T$250</f>
        <v>0.23913340951623169</v>
      </c>
      <c r="U255" s="19">
        <f>Mitigation_Industry!U$540-(Mitigation_Industry!U$540-Mitigation_Industry!U$530)*U$250</f>
        <v>0.26123949244352734</v>
      </c>
      <c r="V255" s="19">
        <f>Mitigation_Industry!V$540-(Mitigation_Industry!V$540-Mitigation_Industry!V$530)*V$250</f>
        <v>0.283345575370823</v>
      </c>
      <c r="W255" s="19">
        <f>Mitigation_Industry!W$540-(Mitigation_Industry!W$540-Mitigation_Industry!W$530)*W$250</f>
        <v>0.30545165829811871</v>
      </c>
      <c r="X255" s="19">
        <f>Mitigation_Industry!X$540-(Mitigation_Industry!X$540-Mitigation_Industry!X$530)*X$250</f>
        <v>0.32755774122541437</v>
      </c>
      <c r="Y255" s="19">
        <f>Mitigation_Industry!Y$540-(Mitigation_Industry!Y$540-Mitigation_Industry!Y$530)*Y$250</f>
        <v>0.34966382415271002</v>
      </c>
      <c r="Z255" s="19">
        <f>Mitigation_Industry!Z$540-(Mitigation_Industry!Z$540-Mitigation_Industry!Z$530)*Z$250</f>
        <v>0.37176990708000568</v>
      </c>
      <c r="AA255" s="19">
        <f>Mitigation_Industry!AA$540-(Mitigation_Industry!AA$540-Mitigation_Industry!AA$530)*AA$250</f>
        <v>0.39387599000730134</v>
      </c>
      <c r="AB255" s="19">
        <f>Mitigation_Industry!AB$540-(Mitigation_Industry!AB$540-Mitigation_Industry!AB$530)*AB$250</f>
        <v>0.41598207293459699</v>
      </c>
      <c r="AC255" s="19">
        <f>Mitigation_Industry!AC$540-(Mitigation_Industry!AC$540-Mitigation_Industry!AC$530)*AC$250</f>
        <v>0.4380881558618927</v>
      </c>
      <c r="AD255" s="19">
        <f>Mitigation_Industry!AD$540-(Mitigation_Industry!AD$540-Mitigation_Industry!AD$530)*AD$250</f>
        <v>0.46019423878918836</v>
      </c>
      <c r="AE255" s="19">
        <f>Mitigation_Industry!AE$540-(Mitigation_Industry!AE$540-Mitigation_Industry!AE$530)*AE$250</f>
        <v>0.48230032171648402</v>
      </c>
    </row>
    <row r="256" spans="1:35" customFormat="1" ht="14.25" x14ac:dyDescent="0.45">
      <c r="B256" s="14" t="s">
        <v>62</v>
      </c>
      <c r="C256" s="14" t="s">
        <v>115</v>
      </c>
      <c r="D256" s="15" t="s">
        <v>2271</v>
      </c>
      <c r="E256" s="16" t="s">
        <v>57</v>
      </c>
      <c r="F256" s="14" t="s">
        <v>2261</v>
      </c>
      <c r="G256" s="17"/>
      <c r="H256" s="128" t="str">
        <f>Settings!$B$3&amp;".mit.atpn.nfm.ker.e.2"</f>
        <v>egy.mit.atpn.nfm.ker.e.2</v>
      </c>
      <c r="I256" t="s">
        <v>2341</v>
      </c>
      <c r="K256" s="18"/>
      <c r="L256" s="19">
        <f>Mitigation_Industry!L$541-(Mitigation_Industry!L$541-Mitigation_Industry!L$531)*L$250</f>
        <v>0.45642817050012802</v>
      </c>
      <c r="M256" s="19">
        <f>Mitigation_Industry!M$541-(Mitigation_Industry!M$541-Mitigation_Industry!M$531)*M$250</f>
        <v>0.43168920195599497</v>
      </c>
      <c r="N256" s="19">
        <f>Mitigation_Industry!N$541-(Mitigation_Industry!N$541-Mitigation_Industry!N$531)*N$250</f>
        <v>0.42507558395597</v>
      </c>
      <c r="O256" s="19">
        <f>Mitigation_Industry!O$541-(Mitigation_Industry!O$541-Mitigation_Industry!O$531)*O$250</f>
        <v>0.42507558395597</v>
      </c>
      <c r="P256" s="19">
        <f>Mitigation_Industry!P$541-(Mitigation_Industry!P$541-Mitigation_Industry!P$531)*P$250</f>
        <v>0.42507558395597</v>
      </c>
      <c r="Q256" s="19">
        <f>Mitigation_Industry!Q$541-(Mitigation_Industry!Q$541-Mitigation_Industry!Q$531)*Q$250</f>
        <v>0.45706441406607845</v>
      </c>
      <c r="R256" s="19">
        <f>Mitigation_Industry!R$541-(Mitigation_Industry!R$541-Mitigation_Industry!R$531)*R$250</f>
        <v>0.48905324417618695</v>
      </c>
      <c r="S256" s="19">
        <f>Mitigation_Industry!S$541-(Mitigation_Industry!S$541-Mitigation_Industry!S$531)*S$250</f>
        <v>0.52104207428629534</v>
      </c>
      <c r="T256" s="19">
        <f>Mitigation_Industry!T$541-(Mitigation_Industry!T$541-Mitigation_Industry!T$531)*T$250</f>
        <v>0.5530309043964039</v>
      </c>
      <c r="U256" s="19">
        <f>Mitigation_Industry!U$541-(Mitigation_Industry!U$541-Mitigation_Industry!U$531)*U$250</f>
        <v>0.58501973450651235</v>
      </c>
      <c r="V256" s="19">
        <f>Mitigation_Industry!V$541-(Mitigation_Industry!V$541-Mitigation_Industry!V$531)*V$250</f>
        <v>0.61700856461662079</v>
      </c>
      <c r="W256" s="19">
        <f>Mitigation_Industry!W$541-(Mitigation_Industry!W$541-Mitigation_Industry!W$531)*W$250</f>
        <v>0.64899739472672924</v>
      </c>
      <c r="X256" s="19">
        <f>Mitigation_Industry!X$541-(Mitigation_Industry!X$541-Mitigation_Industry!X$531)*X$250</f>
        <v>0.68098622483683768</v>
      </c>
      <c r="Y256" s="19">
        <f>Mitigation_Industry!Y$541-(Mitigation_Industry!Y$541-Mitigation_Industry!Y$531)*Y$250</f>
        <v>0.71297505494694624</v>
      </c>
      <c r="Z256" s="19">
        <f>Mitigation_Industry!Z$541-(Mitigation_Industry!Z$541-Mitigation_Industry!Z$531)*Z$250</f>
        <v>0.74496388505705469</v>
      </c>
      <c r="AA256" s="19">
        <f>Mitigation_Industry!AA$541-(Mitigation_Industry!AA$541-Mitigation_Industry!AA$531)*AA$250</f>
        <v>0.77695271516716313</v>
      </c>
      <c r="AB256" s="19">
        <f>Mitigation_Industry!AB$541-(Mitigation_Industry!AB$541-Mitigation_Industry!AB$531)*AB$250</f>
        <v>0.80894154527727158</v>
      </c>
      <c r="AC256" s="19">
        <f>Mitigation_Industry!AC$541-(Mitigation_Industry!AC$541-Mitigation_Industry!AC$531)*AC$250</f>
        <v>0.84093037538738002</v>
      </c>
      <c r="AD256" s="19">
        <f>Mitigation_Industry!AD$541-(Mitigation_Industry!AD$541-Mitigation_Industry!AD$531)*AD$250</f>
        <v>0.87291920549748858</v>
      </c>
      <c r="AE256" s="19">
        <f>Mitigation_Industry!AE$541-(Mitigation_Industry!AE$541-Mitigation_Industry!AE$531)*AE$250</f>
        <v>0.90490803560759692</v>
      </c>
    </row>
    <row r="257" spans="1:35" customFormat="1" ht="14.25" x14ac:dyDescent="0.45">
      <c r="B257" s="14" t="s">
        <v>64</v>
      </c>
      <c r="C257" s="14" t="s">
        <v>115</v>
      </c>
      <c r="D257" s="15" t="s">
        <v>2273</v>
      </c>
      <c r="E257" s="16" t="s">
        <v>66</v>
      </c>
      <c r="F257" s="14" t="s">
        <v>2261</v>
      </c>
      <c r="G257" s="17"/>
      <c r="H257" s="128" t="str">
        <f>Settings!$B$3&amp;".mit.atpn.nfm.oop.e.2"</f>
        <v>egy.mit.atpn.nfm.oop.e.2</v>
      </c>
      <c r="I257" t="s">
        <v>2342</v>
      </c>
      <c r="K257" s="18"/>
      <c r="L257" s="19">
        <f>Mitigation_Industry!L$542-(Mitigation_Industry!L$542-Mitigation_Industry!L$532)*L$250</f>
        <v>34.4153703043132</v>
      </c>
      <c r="M257" s="19">
        <f>Mitigation_Industry!M$542-(Mitigation_Industry!M$542-Mitigation_Industry!M$532)*M$250</f>
        <v>37.368960690431997</v>
      </c>
      <c r="N257" s="19">
        <f>Mitigation_Industry!N$542-(Mitigation_Industry!N$542-Mitigation_Industry!N$532)*N$250</f>
        <v>28.982761101477301</v>
      </c>
      <c r="O257" s="19">
        <f>Mitigation_Industry!O$542-(Mitigation_Industry!O$542-Mitigation_Industry!O$532)*O$250</f>
        <v>15</v>
      </c>
      <c r="P257" s="19">
        <f>Mitigation_Industry!P$542-(Mitigation_Industry!P$542-Mitigation_Industry!P$532)*P$250</f>
        <v>24.2586300842555</v>
      </c>
      <c r="Q257" s="19">
        <f>Mitigation_Industry!Q$542-(Mitigation_Industry!Q$542-Mitigation_Industry!Q$532)*Q$250</f>
        <v>18.963758196132499</v>
      </c>
      <c r="R257" s="19">
        <f>Mitigation_Industry!R$542-(Mitigation_Industry!R$542-Mitigation_Industry!R$532)*R$250</f>
        <v>21.760345114010597</v>
      </c>
      <c r="S257" s="19">
        <f>Mitigation_Industry!S$542-(Mitigation_Industry!S$542-Mitigation_Industry!S$532)*S$250</f>
        <v>26.079880691373621</v>
      </c>
      <c r="T257" s="19">
        <f>Mitigation_Industry!T$542-(Mitigation_Industry!T$542-Mitigation_Industry!T$532)*T$250</f>
        <v>30.593682445209218</v>
      </c>
      <c r="U257" s="19">
        <f>Mitigation_Industry!U$542-(Mitigation_Industry!U$542-Mitigation_Industry!U$532)*U$250</f>
        <v>34.990509739410058</v>
      </c>
      <c r="V257" s="19">
        <f>Mitigation_Industry!V$542-(Mitigation_Industry!V$542-Mitigation_Industry!V$532)*V$250</f>
        <v>40.858059739410059</v>
      </c>
      <c r="W257" s="19">
        <f>Mitigation_Industry!W$542-(Mitigation_Industry!W$542-Mitigation_Industry!W$532)*W$250</f>
        <v>46.725609739410054</v>
      </c>
      <c r="X257" s="19">
        <f>Mitigation_Industry!X$542-(Mitigation_Industry!X$542-Mitigation_Industry!X$532)*X$250</f>
        <v>52.593159739410055</v>
      </c>
      <c r="Y257" s="19">
        <f>Mitigation_Industry!Y$542-(Mitigation_Industry!Y$542-Mitigation_Industry!Y$532)*Y$250</f>
        <v>58.460709739410056</v>
      </c>
      <c r="Z257" s="19">
        <f>Mitigation_Industry!Z$542-(Mitigation_Industry!Z$542-Mitigation_Industry!Z$532)*Z$250</f>
        <v>64.328259739410072</v>
      </c>
      <c r="AA257" s="19">
        <f>Mitigation_Industry!AA$542-(Mitigation_Industry!AA$542-Mitigation_Industry!AA$532)*AA$250</f>
        <v>70.195809739410052</v>
      </c>
      <c r="AB257" s="19">
        <f>Mitigation_Industry!AB$542-(Mitigation_Industry!AB$542-Mitigation_Industry!AB$532)*AB$250</f>
        <v>76.06335973941006</v>
      </c>
      <c r="AC257" s="19">
        <f>Mitigation_Industry!AC$542-(Mitigation_Industry!AC$542-Mitigation_Industry!AC$532)*AC$250</f>
        <v>81.930909739410041</v>
      </c>
      <c r="AD257" s="19">
        <f>Mitigation_Industry!AD$542-(Mitigation_Industry!AD$542-Mitigation_Industry!AD$532)*AD$250</f>
        <v>87.798459739410049</v>
      </c>
      <c r="AE257" s="19">
        <f>Mitigation_Industry!AE$542-(Mitigation_Industry!AE$542-Mitigation_Industry!AE$532)*AE$250</f>
        <v>93.666009739410043</v>
      </c>
    </row>
    <row r="258" spans="1:35" customFormat="1" ht="14.25" x14ac:dyDescent="0.45">
      <c r="B258" s="14" t="s">
        <v>67</v>
      </c>
      <c r="C258" s="14" t="s">
        <v>115</v>
      </c>
      <c r="D258" s="15" t="s">
        <v>2275</v>
      </c>
      <c r="E258" s="16" t="s">
        <v>51</v>
      </c>
      <c r="F258" s="14" t="s">
        <v>2261</v>
      </c>
      <c r="G258" s="17"/>
      <c r="H258" s="128" t="str">
        <f>Settings!$B$3&amp;".mit.atpn.nfm.bio.e.2"</f>
        <v>egy.mit.atpn.nfm.bio.e.2</v>
      </c>
      <c r="I258" t="s">
        <v>2343</v>
      </c>
      <c r="K258" s="18"/>
      <c r="L258" s="19">
        <f>Mitigation_Industry!L$543-(Mitigation_Industry!L$543-Mitigation_Industry!L$533)*L$250</f>
        <v>14.199528390634899</v>
      </c>
      <c r="M258" s="19">
        <f>Mitigation_Industry!M$543-(Mitigation_Industry!M$543-Mitigation_Industry!M$533)*M$250</f>
        <v>13.8404416133152</v>
      </c>
      <c r="N258" s="19">
        <f>Mitigation_Industry!N$543-(Mitigation_Industry!N$543-Mitigation_Industry!N$533)*N$250</f>
        <v>13.5677269404465</v>
      </c>
      <c r="O258" s="19">
        <f>Mitigation_Industry!O$543-(Mitigation_Industry!O$543-Mitigation_Industry!O$533)*O$250</f>
        <v>13.5677269404465</v>
      </c>
      <c r="P258" s="19">
        <f>Mitigation_Industry!P$543-(Mitigation_Industry!P$543-Mitigation_Industry!P$533)*P$250</f>
        <v>13.5677269404465</v>
      </c>
      <c r="Q258" s="19">
        <f>Mitigation_Industry!Q$543-(Mitigation_Industry!Q$543-Mitigation_Industry!Q$533)*Q$250</f>
        <v>13.5677269404465</v>
      </c>
      <c r="R258" s="19">
        <f>Mitigation_Industry!R$543-(Mitigation_Industry!R$543-Mitigation_Industry!R$533)*R$250</f>
        <v>13.5677269404465</v>
      </c>
      <c r="S258" s="19">
        <f>Mitigation_Industry!S$543-(Mitigation_Industry!S$543-Mitigation_Industry!S$533)*S$250</f>
        <v>13.5677269404465</v>
      </c>
      <c r="T258" s="19">
        <f>Mitigation_Industry!T$543-(Mitigation_Industry!T$543-Mitigation_Industry!T$533)*T$250</f>
        <v>13.5677269404465</v>
      </c>
      <c r="U258" s="19">
        <f>Mitigation_Industry!U$543-(Mitigation_Industry!U$543-Mitigation_Industry!U$533)*U$250</f>
        <v>13.5677269404465</v>
      </c>
      <c r="V258" s="19">
        <f>Mitigation_Industry!V$543-(Mitigation_Industry!V$543-Mitigation_Industry!V$533)*V$250</f>
        <v>13.5677269404465</v>
      </c>
      <c r="W258" s="19">
        <f>Mitigation_Industry!W$543-(Mitigation_Industry!W$543-Mitigation_Industry!W$533)*W$250</f>
        <v>13.5677269404465</v>
      </c>
      <c r="X258" s="19">
        <f>Mitigation_Industry!X$543-(Mitigation_Industry!X$543-Mitigation_Industry!X$533)*X$250</f>
        <v>13.5677269404465</v>
      </c>
      <c r="Y258" s="19">
        <f>Mitigation_Industry!Y$543-(Mitigation_Industry!Y$543-Mitigation_Industry!Y$533)*Y$250</f>
        <v>13.5677269404465</v>
      </c>
      <c r="Z258" s="19">
        <f>Mitigation_Industry!Z$543-(Mitigation_Industry!Z$543-Mitigation_Industry!Z$533)*Z$250</f>
        <v>13.5677269404465</v>
      </c>
      <c r="AA258" s="19">
        <f>Mitigation_Industry!AA$543-(Mitigation_Industry!AA$543-Mitigation_Industry!AA$533)*AA$250</f>
        <v>13.5677269404465</v>
      </c>
      <c r="AB258" s="19">
        <f>Mitigation_Industry!AB$543-(Mitigation_Industry!AB$543-Mitigation_Industry!AB$533)*AB$250</f>
        <v>13.5677269404465</v>
      </c>
      <c r="AC258" s="19">
        <f>Mitigation_Industry!AC$543-(Mitigation_Industry!AC$543-Mitigation_Industry!AC$533)*AC$250</f>
        <v>13.5677269404465</v>
      </c>
      <c r="AD258" s="19">
        <f>Mitigation_Industry!AD$543-(Mitigation_Industry!AD$543-Mitigation_Industry!AD$533)*AD$250</f>
        <v>13.5677269404465</v>
      </c>
      <c r="AE258" s="19">
        <f>Mitigation_Industry!AE$543-(Mitigation_Industry!AE$543-Mitigation_Industry!AE$533)*AE$250</f>
        <v>13.5677269404465</v>
      </c>
    </row>
    <row r="259" spans="1:35" customFormat="1" ht="14.25" x14ac:dyDescent="0.45">
      <c r="B259" s="14" t="s">
        <v>69</v>
      </c>
      <c r="C259" s="14" t="s">
        <v>115</v>
      </c>
      <c r="D259" s="15" t="s">
        <v>2277</v>
      </c>
      <c r="E259" s="16" t="s">
        <v>71</v>
      </c>
      <c r="F259" s="14" t="s">
        <v>2261</v>
      </c>
      <c r="G259" s="17"/>
      <c r="H259" s="128" t="str">
        <f>Settings!$B$3&amp;".mit.atpn.nfm.ren.e.2"</f>
        <v>egy.mit.atpn.nfm.ren.e.2</v>
      </c>
      <c r="I259" t="s">
        <v>2344</v>
      </c>
      <c r="K259" s="18"/>
      <c r="L259" s="19">
        <f>Mitigation_Industry!L$544-(Mitigation_Industry!L$544-Mitigation_Industry!L$534)*L$250</f>
        <v>0.14404498679319799</v>
      </c>
      <c r="M259" s="19">
        <f>Mitigation_Industry!M$544-(Mitigation_Industry!M$544-Mitigation_Industry!M$534)*M$250</f>
        <v>0.141386241751359</v>
      </c>
      <c r="N259" s="19">
        <f>Mitigation_Industry!N$544-(Mitigation_Industry!N$544-Mitigation_Industry!N$534)*N$250</f>
        <v>0.13539756544373099</v>
      </c>
      <c r="O259" s="19">
        <f>Mitigation_Industry!O$544-(Mitigation_Industry!O$544-Mitigation_Industry!O$534)*O$250</f>
        <v>0.13152288542065099</v>
      </c>
      <c r="P259" s="19">
        <f>Mitigation_Industry!P$544-(Mitigation_Industry!P$544-Mitigation_Industry!P$534)*P$250</f>
        <v>0.12882610848523099</v>
      </c>
      <c r="Q259" s="19">
        <f>Mitigation_Industry!Q$544-(Mitigation_Industry!Q$544-Mitigation_Industry!Q$534)*Q$250</f>
        <v>0.12594200976473999</v>
      </c>
      <c r="R259" s="19">
        <f>Mitigation_Industry!R$544-(Mitigation_Industry!R$544-Mitigation_Industry!R$534)*R$250</f>
        <v>0.123113265701861</v>
      </c>
      <c r="S259" s="19">
        <f>Mitigation_Industry!S$544-(Mitigation_Industry!S$544-Mitigation_Industry!S$534)*S$250</f>
        <v>0.119391738089068</v>
      </c>
      <c r="T259" s="19">
        <f>Mitigation_Industry!T$544-(Mitigation_Industry!T$544-Mitigation_Industry!T$534)*T$250</f>
        <v>0.11554419046792</v>
      </c>
      <c r="U259" s="19">
        <f>Mitigation_Industry!U$544-(Mitigation_Industry!U$544-Mitigation_Industry!U$534)*U$250</f>
        <v>0.11492423065415899</v>
      </c>
      <c r="V259" s="19">
        <f>Mitigation_Industry!V$544-(Mitigation_Industry!V$544-Mitigation_Industry!V$534)*V$250</f>
        <v>0.114346912116736</v>
      </c>
      <c r="W259" s="19">
        <f>Mitigation_Industry!W$544-(Mitigation_Industry!W$544-Mitigation_Industry!W$534)*W$250</f>
        <v>0.113738711172664</v>
      </c>
      <c r="X259" s="19">
        <f>Mitigation_Industry!X$544-(Mitigation_Industry!X$544-Mitigation_Industry!X$534)*X$250</f>
        <v>0.112999900487521</v>
      </c>
      <c r="Y259" s="19">
        <f>Mitigation_Industry!Y$544-(Mitigation_Industry!Y$544-Mitigation_Industry!Y$534)*Y$250</f>
        <v>0.112177685835534</v>
      </c>
      <c r="Z259" s="19">
        <f>Mitigation_Industry!Z$544-(Mitigation_Industry!Z$544-Mitigation_Industry!Z$534)*Z$250</f>
        <v>0.111417903250404</v>
      </c>
      <c r="AA259" s="19">
        <f>Mitigation_Industry!AA$544-(Mitigation_Industry!AA$544-Mitigation_Industry!AA$534)*AA$250</f>
        <v>0.11052581998545399</v>
      </c>
      <c r="AB259" s="19">
        <f>Mitigation_Industry!AB$544-(Mitigation_Industry!AB$544-Mitigation_Industry!AB$534)*AB$250</f>
        <v>0.109699565234896</v>
      </c>
      <c r="AC259" s="19">
        <f>Mitigation_Industry!AC$544-(Mitigation_Industry!AC$544-Mitigation_Industry!AC$534)*AC$250</f>
        <v>0.10772678896394899</v>
      </c>
      <c r="AD259" s="19">
        <f>Mitigation_Industry!AD$544-(Mitigation_Industry!AD$544-Mitigation_Industry!AD$534)*AD$250</f>
        <v>0.10582092445093499</v>
      </c>
      <c r="AE259" s="19">
        <f>Mitigation_Industry!AE$544-(Mitigation_Industry!AE$544-Mitigation_Industry!AE$534)*AE$250</f>
        <v>0.103855595705721</v>
      </c>
    </row>
    <row r="261" spans="1:35" customFormat="1" ht="14.25" x14ac:dyDescent="0.45">
      <c r="A261" s="11"/>
      <c r="B261" s="6"/>
      <c r="C261" s="7" t="s">
        <v>117</v>
      </c>
      <c r="D261" s="6" t="s">
        <v>1488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6">
        <v>2021</v>
      </c>
      <c r="L261" s="46">
        <v>2022</v>
      </c>
      <c r="M261" s="6">
        <v>2023</v>
      </c>
      <c r="N261" s="6">
        <v>2024</v>
      </c>
      <c r="O261" s="6">
        <v>2025</v>
      </c>
      <c r="P261" s="6">
        <v>2026</v>
      </c>
      <c r="Q261" s="6">
        <v>2027</v>
      </c>
      <c r="R261" s="6">
        <v>2028</v>
      </c>
      <c r="S261" s="6">
        <v>2029</v>
      </c>
      <c r="T261" s="6">
        <v>2030</v>
      </c>
      <c r="U261" s="6">
        <v>2031</v>
      </c>
      <c r="V261" s="6">
        <v>2032</v>
      </c>
      <c r="W261" s="6">
        <v>2033</v>
      </c>
      <c r="X261" s="6">
        <v>2034</v>
      </c>
      <c r="Y261" s="6">
        <v>2035</v>
      </c>
      <c r="Z261" s="6">
        <v>2036</v>
      </c>
      <c r="AA261" s="6">
        <v>2037</v>
      </c>
      <c r="AB261" s="6">
        <v>2038</v>
      </c>
      <c r="AC261" s="6">
        <v>2039</v>
      </c>
      <c r="AD261" s="6">
        <v>2040</v>
      </c>
      <c r="AE261" s="6">
        <v>2041</v>
      </c>
      <c r="AF261" s="6">
        <v>2042</v>
      </c>
      <c r="AG261" s="6">
        <v>2043</v>
      </c>
      <c r="AH261" s="6">
        <v>2044</v>
      </c>
      <c r="AI261" s="6">
        <v>2045</v>
      </c>
    </row>
    <row r="262" spans="1:35" customFormat="1" ht="14.25" x14ac:dyDescent="0.45">
      <c r="B262" s="14" t="s">
        <v>110</v>
      </c>
      <c r="C262" s="14" t="s">
        <v>117</v>
      </c>
      <c r="D262" s="25" t="s">
        <v>2253</v>
      </c>
      <c r="E262" s="16" t="s">
        <v>1854</v>
      </c>
      <c r="F262" s="14" t="s">
        <v>2242</v>
      </c>
      <c r="H262" s="128" t="str">
        <f>Settings!$B$3&amp;".mit.obr.ind.mch.2"</f>
        <v>egy.mit.obr.ind.mch.2</v>
      </c>
      <c r="I262" t="s">
        <v>2299</v>
      </c>
      <c r="L262" s="130">
        <f t="shared" ref="L262:AE262" si="66">L$213+L$214+L$215</f>
        <v>0</v>
      </c>
      <c r="M262" s="130">
        <f t="shared" si="66"/>
        <v>0</v>
      </c>
      <c r="N262" s="130">
        <f t="shared" si="66"/>
        <v>0</v>
      </c>
      <c r="O262" s="130">
        <f t="shared" si="66"/>
        <v>0</v>
      </c>
      <c r="P262" s="130">
        <f t="shared" si="66"/>
        <v>0</v>
      </c>
      <c r="Q262" s="130">
        <f t="shared" si="66"/>
        <v>0</v>
      </c>
      <c r="R262" s="130">
        <f t="shared" si="66"/>
        <v>0</v>
      </c>
      <c r="S262" s="130">
        <f t="shared" si="66"/>
        <v>0</v>
      </c>
      <c r="T262" s="130">
        <f t="shared" si="66"/>
        <v>0</v>
      </c>
      <c r="U262" s="130">
        <f t="shared" si="66"/>
        <v>0</v>
      </c>
      <c r="V262" s="130">
        <f t="shared" si="66"/>
        <v>0</v>
      </c>
      <c r="W262" s="130">
        <f t="shared" si="66"/>
        <v>0</v>
      </c>
      <c r="X262" s="130">
        <f t="shared" si="66"/>
        <v>0</v>
      </c>
      <c r="Y262" s="130">
        <f t="shared" si="66"/>
        <v>0</v>
      </c>
      <c r="Z262" s="130">
        <f t="shared" si="66"/>
        <v>0</v>
      </c>
      <c r="AA262" s="130">
        <f t="shared" si="66"/>
        <v>0</v>
      </c>
      <c r="AB262" s="130">
        <f t="shared" si="66"/>
        <v>0</v>
      </c>
      <c r="AC262" s="130">
        <f t="shared" si="66"/>
        <v>0</v>
      </c>
      <c r="AD262" s="130">
        <f t="shared" si="66"/>
        <v>0</v>
      </c>
      <c r="AE262" s="130">
        <f t="shared" si="66"/>
        <v>0</v>
      </c>
    </row>
    <row r="263" spans="1:35" customFormat="1" ht="14.25" x14ac:dyDescent="0.45">
      <c r="B263" s="14" t="s">
        <v>110</v>
      </c>
      <c r="C263" s="14" t="s">
        <v>117</v>
      </c>
      <c r="D263" s="25" t="s">
        <v>2255</v>
      </c>
      <c r="E263" s="16" t="s">
        <v>1854</v>
      </c>
      <c r="F263" s="14" t="s">
        <v>2256</v>
      </c>
      <c r="H263" s="128" t="str">
        <f>Settings!$B$3&amp;".mit.ccf.ind.mch.2"</f>
        <v>egy.mit.ccf.ind.mch.2</v>
      </c>
      <c r="L263" s="130">
        <f>L$163*Mitigation_Industry!L$679/1000+L$164*Mitigation_Industry!L$680/1000+L$165*Mitigation_Industry!L$681/1000</f>
        <v>0</v>
      </c>
      <c r="M263" s="130">
        <f>M$163*Mitigation_Industry!M$679/1000+M$164*Mitigation_Industry!M$680/1000+M$165*Mitigation_Industry!M$681/1000</f>
        <v>0</v>
      </c>
      <c r="N263" s="130">
        <f>N$163*Mitigation_Industry!N$679/1000+N$164*Mitigation_Industry!N$680/1000+N$165*Mitigation_Industry!N$681/1000</f>
        <v>0</v>
      </c>
      <c r="O263" s="130">
        <f>O$163*Mitigation_Industry!O$679/1000+O$164*Mitigation_Industry!O$680/1000+O$165*Mitigation_Industry!O$681/1000</f>
        <v>0</v>
      </c>
      <c r="P263" s="130">
        <f>P$163*Mitigation_Industry!P$679/1000+P$164*Mitigation_Industry!P$680/1000+P$165*Mitigation_Industry!P$681/1000</f>
        <v>0</v>
      </c>
      <c r="Q263" s="130">
        <f>Q$163*Mitigation_Industry!Q$679/1000+Q$164*Mitigation_Industry!Q$680/1000+Q$165*Mitigation_Industry!Q$681/1000</f>
        <v>52.123603322757127</v>
      </c>
      <c r="R263" s="130">
        <f>R$163*Mitigation_Industry!R$679/1000+R$164*Mitigation_Industry!R$680/1000+R$165*Mitigation_Industry!R$681/1000</f>
        <v>106.54064519171556</v>
      </c>
      <c r="S263" s="130">
        <f>S$163*Mitigation_Industry!S$679/1000+S$164*Mitigation_Industry!S$680/1000+S$165*Mitigation_Industry!S$681/1000</f>
        <v>163.32680907889997</v>
      </c>
      <c r="T263" s="130">
        <f>T$163*Mitigation_Industry!T$679/1000+T$164*Mitigation_Industry!T$680/1000+T$165*Mitigation_Industry!T$681/1000</f>
        <v>222.55999850484761</v>
      </c>
      <c r="U263" s="130">
        <f>U$163*Mitigation_Industry!U$679/1000+U$164*Mitigation_Industry!U$680/1000+U$165*Mitigation_Industry!U$681/1000</f>
        <v>284.32039808994296</v>
      </c>
      <c r="V263" s="130">
        <f>V$163*Mitigation_Industry!V$679/1000+V$164*Mitigation_Industry!V$680/1000+V$165*Mitigation_Industry!V$681/1000</f>
        <v>348.69053621750601</v>
      </c>
      <c r="W263" s="130">
        <f>W$163*Mitigation_Industry!W$679/1000+W$164*Mitigation_Industry!W$680/1000+W$165*Mitigation_Industry!W$681/1000</f>
        <v>415.75534935000633</v>
      </c>
      <c r="X263" s="130">
        <f>X$163*Mitigation_Industry!X$679/1000+X$164*Mitigation_Industry!X$680/1000+X$165*Mitigation_Industry!X$681/1000</f>
        <v>485.60224804080741</v>
      </c>
      <c r="Y263" s="130">
        <f>Y$163*Mitigation_Industry!Y$679/1000+Y$164*Mitigation_Industry!Y$680/1000+Y$165*Mitigation_Industry!Y$681/1000</f>
        <v>558.32118468491831</v>
      </c>
      <c r="Z263" s="130">
        <f>Z$163*Mitigation_Industry!Z$679/1000+Z$164*Mitigation_Industry!Z$680/1000+Z$165*Mitigation_Industry!Z$681/1000</f>
        <v>634.00472305331834</v>
      </c>
      <c r="AA263" s="130">
        <f>AA$163*Mitigation_Industry!AA$679/1000+AA$164*Mitigation_Industry!AA$680/1000+AA$165*Mitigation_Industry!AA$681/1000</f>
        <v>712.74810965654046</v>
      </c>
      <c r="AB263" s="130">
        <f>AB$163*Mitigation_Industry!AB$679/1000+AB$164*Mitigation_Industry!AB$680/1000+AB$165*Mitigation_Industry!AB$681/1000</f>
        <v>794.64934698434661</v>
      </c>
      <c r="AC263" s="130">
        <f>AC$163*Mitigation_Industry!AC$679/1000+AC$164*Mitigation_Industry!AC$680/1000+AC$165*Mitigation_Industry!AC$681/1000</f>
        <v>879.80926866950233</v>
      </c>
      <c r="AD263" s="130">
        <f>AD$163*Mitigation_Industry!AD$679/1000+AD$164*Mitigation_Industry!AD$680/1000+AD$165*Mitigation_Industry!AD$681/1000</f>
        <v>968.33161662486475</v>
      </c>
      <c r="AE263" s="130">
        <f>AE$163*Mitigation_Industry!AE$679/1000+AE$164*Mitigation_Industry!AE$680/1000+AE$165*Mitigation_Industry!AE$681/1000</f>
        <v>1060.3231202042268</v>
      </c>
    </row>
    <row r="264" spans="1:35" customFormat="1" ht="14.25" x14ac:dyDescent="0.45">
      <c r="B264" s="14" t="s">
        <v>110</v>
      </c>
      <c r="C264" s="14" t="s">
        <v>117</v>
      </c>
      <c r="D264" s="25" t="s">
        <v>2257</v>
      </c>
      <c r="E264" s="16" t="s">
        <v>79</v>
      </c>
      <c r="F264" s="14" t="s">
        <v>2258</v>
      </c>
      <c r="H264" s="128" t="str">
        <f>Settings!$B$3&amp;".mit.rsh.ind.mch.2"</f>
        <v>egy.mit.rsh.ind.mch.2</v>
      </c>
      <c r="I264" t="s">
        <v>2259</v>
      </c>
      <c r="L264" s="130">
        <f t="shared" ref="L264:AE264" si="67">IF(L$263&lt;=0,0,MIN(1,L$262/L$263))</f>
        <v>0</v>
      </c>
      <c r="M264" s="130">
        <f t="shared" si="67"/>
        <v>0</v>
      </c>
      <c r="N264" s="130">
        <f t="shared" si="67"/>
        <v>0</v>
      </c>
      <c r="O264" s="130">
        <f t="shared" si="67"/>
        <v>0</v>
      </c>
      <c r="P264" s="130">
        <f t="shared" si="67"/>
        <v>0</v>
      </c>
      <c r="Q264" s="130">
        <f t="shared" si="67"/>
        <v>0</v>
      </c>
      <c r="R264" s="130">
        <f t="shared" si="67"/>
        <v>0</v>
      </c>
      <c r="S264" s="130">
        <f t="shared" si="67"/>
        <v>0</v>
      </c>
      <c r="T264" s="130">
        <f t="shared" si="67"/>
        <v>0</v>
      </c>
      <c r="U264" s="130">
        <f t="shared" si="67"/>
        <v>0</v>
      </c>
      <c r="V264" s="130">
        <f t="shared" si="67"/>
        <v>0</v>
      </c>
      <c r="W264" s="130">
        <f t="shared" si="67"/>
        <v>0</v>
      </c>
      <c r="X264" s="130">
        <f t="shared" si="67"/>
        <v>0</v>
      </c>
      <c r="Y264" s="130">
        <f t="shared" si="67"/>
        <v>0</v>
      </c>
      <c r="Z264" s="130">
        <f t="shared" si="67"/>
        <v>0</v>
      </c>
      <c r="AA264" s="130">
        <f t="shared" si="67"/>
        <v>0</v>
      </c>
      <c r="AB264" s="130">
        <f t="shared" si="67"/>
        <v>0</v>
      </c>
      <c r="AC264" s="130">
        <f t="shared" si="67"/>
        <v>0</v>
      </c>
      <c r="AD264" s="130">
        <f t="shared" si="67"/>
        <v>0</v>
      </c>
      <c r="AE264" s="130">
        <f t="shared" si="67"/>
        <v>0</v>
      </c>
    </row>
    <row r="265" spans="1:35" customFormat="1" ht="14.25" x14ac:dyDescent="0.45">
      <c r="B265" s="14" t="s">
        <v>49</v>
      </c>
      <c r="C265" s="14" t="s">
        <v>117</v>
      </c>
      <c r="D265" s="15" t="s">
        <v>2260</v>
      </c>
      <c r="E265" s="16" t="s">
        <v>51</v>
      </c>
      <c r="F265" s="14" t="s">
        <v>2261</v>
      </c>
      <c r="G265" s="17"/>
      <c r="H265" s="128" t="str">
        <f>Settings!$B$3&amp;".mit.atpn.mch.coa.e.2"</f>
        <v>egy.mit.atpn.mch.coa.e.2</v>
      </c>
      <c r="I265" t="s">
        <v>2345</v>
      </c>
      <c r="K265" s="18"/>
      <c r="L265" s="19">
        <f>Mitigation_Industry!L$596-(Mitigation_Industry!L$596-Mitigation_Industry!L$586)*L$264</f>
        <v>10.5233613454312</v>
      </c>
      <c r="M265" s="19">
        <f>Mitigation_Industry!M$596-(Mitigation_Industry!M$596-Mitigation_Industry!M$586)*M$264</f>
        <v>10.2995608274442</v>
      </c>
      <c r="N265" s="19">
        <f>Mitigation_Industry!N$596-(Mitigation_Industry!N$596-Mitigation_Industry!N$586)*N$264</f>
        <v>9.5775283595382597</v>
      </c>
      <c r="O265" s="19">
        <f>Mitigation_Industry!O$596-(Mitigation_Industry!O$596-Mitigation_Industry!O$586)*O$264</f>
        <v>8.4854782869580507</v>
      </c>
      <c r="P265" s="19">
        <f>Mitigation_Industry!P$596-(Mitigation_Industry!P$596-Mitigation_Industry!P$586)*P$264</f>
        <v>9.0871922352498604</v>
      </c>
      <c r="Q265" s="19">
        <f>Mitigation_Industry!Q$596-(Mitigation_Industry!Q$596-Mitigation_Industry!Q$586)*Q$264</f>
        <v>10.472923728932679</v>
      </c>
      <c r="R265" s="19">
        <f>Mitigation_Industry!R$596-(Mitigation_Industry!R$596-Mitigation_Industry!R$586)*R$264</f>
        <v>11.658564955509689</v>
      </c>
      <c r="S265" s="19">
        <f>Mitigation_Industry!S$596-(Mitigation_Industry!S$596-Mitigation_Industry!S$586)*S$264</f>
        <v>12.839547877397379</v>
      </c>
      <c r="T265" s="19">
        <f>Mitigation_Industry!T$596-(Mitigation_Industry!T$596-Mitigation_Industry!T$586)*T$264</f>
        <v>14.01568166602283</v>
      </c>
      <c r="U265" s="19">
        <f>Mitigation_Industry!U$596-(Mitigation_Industry!U$596-Mitigation_Industry!U$586)*U$264</f>
        <v>15.19439776555711</v>
      </c>
      <c r="V265" s="19">
        <f>Mitigation_Industry!V$596-(Mitigation_Industry!V$596-Mitigation_Industry!V$586)*V$264</f>
        <v>16.44439776555711</v>
      </c>
      <c r="W265" s="19">
        <f>Mitigation_Industry!W$596-(Mitigation_Industry!W$596-Mitigation_Industry!W$586)*W$264</f>
        <v>17.69439776555711</v>
      </c>
      <c r="X265" s="19">
        <f>Mitigation_Industry!X$596-(Mitigation_Industry!X$596-Mitigation_Industry!X$586)*X$264</f>
        <v>18.94439776555711</v>
      </c>
      <c r="Y265" s="19">
        <f>Mitigation_Industry!Y$596-(Mitigation_Industry!Y$596-Mitigation_Industry!Y$586)*Y$264</f>
        <v>20.19439776555711</v>
      </c>
      <c r="Z265" s="19">
        <f>Mitigation_Industry!Z$596-(Mitigation_Industry!Z$596-Mitigation_Industry!Z$586)*Z$264</f>
        <v>21.44439776555711</v>
      </c>
      <c r="AA265" s="19">
        <f>Mitigation_Industry!AA$596-(Mitigation_Industry!AA$596-Mitigation_Industry!AA$586)*AA$264</f>
        <v>22.69439776555711</v>
      </c>
      <c r="AB265" s="19">
        <f>Mitigation_Industry!AB$596-(Mitigation_Industry!AB$596-Mitigation_Industry!AB$586)*AB$264</f>
        <v>23.94439776555711</v>
      </c>
      <c r="AC265" s="19">
        <f>Mitigation_Industry!AC$596-(Mitigation_Industry!AC$596-Mitigation_Industry!AC$586)*AC$264</f>
        <v>25.19439776555711</v>
      </c>
      <c r="AD265" s="19">
        <f>Mitigation_Industry!AD$596-(Mitigation_Industry!AD$596-Mitigation_Industry!AD$586)*AD$264</f>
        <v>26.44439776555711</v>
      </c>
      <c r="AE265" s="19">
        <f>Mitigation_Industry!AE$596-(Mitigation_Industry!AE$596-Mitigation_Industry!AE$586)*AE$264</f>
        <v>27.69439776555711</v>
      </c>
    </row>
    <row r="266" spans="1:35" customFormat="1" ht="14.25" x14ac:dyDescent="0.45">
      <c r="B266" s="14" t="s">
        <v>53</v>
      </c>
      <c r="C266" s="14" t="s">
        <v>117</v>
      </c>
      <c r="D266" s="15" t="s">
        <v>2263</v>
      </c>
      <c r="E266" s="16" t="s">
        <v>51</v>
      </c>
      <c r="F266" s="14" t="s">
        <v>2261</v>
      </c>
      <c r="G266" s="17"/>
      <c r="H266" s="128" t="str">
        <f>Settings!$B$3&amp;".mit.atpn.mch.nga.e.2"</f>
        <v>egy.mit.atpn.mch.nga.e.2</v>
      </c>
      <c r="I266" t="s">
        <v>2346</v>
      </c>
      <c r="K266" s="18"/>
      <c r="L266" s="19">
        <f>Mitigation_Industry!L$597-(Mitigation_Industry!L$597-Mitigation_Industry!L$587)*L$264</f>
        <v>5.4510150816191896</v>
      </c>
      <c r="M266" s="19">
        <f>Mitigation_Industry!M$597-(Mitigation_Industry!M$597-Mitigation_Industry!M$587)*M$264</f>
        <v>5.1193563062624801</v>
      </c>
      <c r="N266" s="19">
        <f>Mitigation_Industry!N$597-(Mitigation_Industry!N$597-Mitigation_Industry!N$587)*N$264</f>
        <v>5.08218458640407</v>
      </c>
      <c r="O266" s="19">
        <f>Mitigation_Industry!O$597-(Mitigation_Industry!O$597-Mitigation_Industry!O$587)*O$264</f>
        <v>5.08218458640407</v>
      </c>
      <c r="P266" s="19">
        <f>Mitigation_Industry!P$597-(Mitigation_Industry!P$597-Mitigation_Industry!P$587)*P$264</f>
        <v>5.08218458640407</v>
      </c>
      <c r="Q266" s="19">
        <f>Mitigation_Industry!Q$597-(Mitigation_Industry!Q$597-Mitigation_Industry!Q$587)*Q$264</f>
        <v>5.7796845864040698</v>
      </c>
      <c r="R266" s="19">
        <f>Mitigation_Industry!R$597-(Mitigation_Industry!R$597-Mitigation_Industry!R$587)*R$264</f>
        <v>6.4771845864040696</v>
      </c>
      <c r="S266" s="19">
        <f>Mitigation_Industry!S$597-(Mitigation_Industry!S$597-Mitigation_Industry!S$587)*S$264</f>
        <v>7.1746845864040703</v>
      </c>
      <c r="T266" s="19">
        <f>Mitigation_Industry!T$597-(Mitigation_Industry!T$597-Mitigation_Industry!T$587)*T$264</f>
        <v>7.87218458640407</v>
      </c>
      <c r="U266" s="19">
        <f>Mitigation_Industry!U$597-(Mitigation_Industry!U$597-Mitigation_Industry!U$587)*U$264</f>
        <v>8.5696845864040707</v>
      </c>
      <c r="V266" s="19">
        <f>Mitigation_Industry!V$597-(Mitigation_Industry!V$597-Mitigation_Industry!V$587)*V$264</f>
        <v>9.2671845864040705</v>
      </c>
      <c r="W266" s="19">
        <f>Mitigation_Industry!W$597-(Mitigation_Industry!W$597-Mitigation_Industry!W$587)*W$264</f>
        <v>9.9646845864040703</v>
      </c>
      <c r="X266" s="19">
        <f>Mitigation_Industry!X$597-(Mitigation_Industry!X$597-Mitigation_Industry!X$587)*X$264</f>
        <v>10.66218458640407</v>
      </c>
      <c r="Y266" s="19">
        <f>Mitigation_Industry!Y$597-(Mitigation_Industry!Y$597-Mitigation_Industry!Y$587)*Y$264</f>
        <v>11.35968458640407</v>
      </c>
      <c r="Z266" s="19">
        <f>Mitigation_Industry!Z$597-(Mitigation_Industry!Z$597-Mitigation_Industry!Z$587)*Z$264</f>
        <v>12.05718458640407</v>
      </c>
      <c r="AA266" s="19">
        <f>Mitigation_Industry!AA$597-(Mitigation_Industry!AA$597-Mitigation_Industry!AA$587)*AA$264</f>
        <v>12.754684586404071</v>
      </c>
      <c r="AB266" s="19">
        <f>Mitigation_Industry!AB$597-(Mitigation_Industry!AB$597-Mitigation_Industry!AB$587)*AB$264</f>
        <v>13.452184586404071</v>
      </c>
      <c r="AC266" s="19">
        <f>Mitigation_Industry!AC$597-(Mitigation_Industry!AC$597-Mitigation_Industry!AC$587)*AC$264</f>
        <v>14.149684586404071</v>
      </c>
      <c r="AD266" s="19">
        <f>Mitigation_Industry!AD$597-(Mitigation_Industry!AD$597-Mitigation_Industry!AD$587)*AD$264</f>
        <v>14.847184586404071</v>
      </c>
      <c r="AE266" s="19">
        <f>Mitigation_Industry!AE$597-(Mitigation_Industry!AE$597-Mitigation_Industry!AE$587)*AE$264</f>
        <v>15.54468458640407</v>
      </c>
    </row>
    <row r="267" spans="1:35" customFormat="1" ht="14.25" x14ac:dyDescent="0.45">
      <c r="B267" s="14" t="s">
        <v>55</v>
      </c>
      <c r="C267" s="14" t="s">
        <v>117</v>
      </c>
      <c r="D267" s="15" t="s">
        <v>2265</v>
      </c>
      <c r="E267" s="16" t="s">
        <v>57</v>
      </c>
      <c r="F267" s="14" t="s">
        <v>2261</v>
      </c>
      <c r="G267" s="17"/>
      <c r="H267" s="128" t="str">
        <f>Settings!$B$3&amp;".mit.atpn.mch.gso.e.2"</f>
        <v>egy.mit.atpn.mch.gso.e.2</v>
      </c>
      <c r="I267" t="s">
        <v>2347</v>
      </c>
      <c r="K267" s="18"/>
      <c r="L267" s="19">
        <f>Mitigation_Industry!L$598-(Mitigation_Industry!L$598-Mitigation_Industry!L$588)*L$264</f>
        <v>0.61197797679140598</v>
      </c>
      <c r="M267" s="19">
        <f>Mitigation_Industry!M$598-(Mitigation_Industry!M$598-Mitigation_Industry!M$588)*M$264</f>
        <v>0.61180974964187596</v>
      </c>
      <c r="N267" s="19">
        <f>Mitigation_Industry!N$598-(Mitigation_Industry!N$598-Mitigation_Industry!N$588)*N$264</f>
        <v>0.60358310017790595</v>
      </c>
      <c r="O267" s="19">
        <f>Mitigation_Industry!O$598-(Mitigation_Industry!O$598-Mitigation_Industry!O$588)*O$264</f>
        <v>0.60358310017790595</v>
      </c>
      <c r="P267" s="19">
        <f>Mitigation_Industry!P$598-(Mitigation_Industry!P$598-Mitigation_Industry!P$588)*P$264</f>
        <v>0.60358310017790595</v>
      </c>
      <c r="Q267" s="19">
        <f>Mitigation_Industry!Q$598-(Mitigation_Industry!Q$598-Mitigation_Industry!Q$588)*Q$264</f>
        <v>0.63251094334940594</v>
      </c>
      <c r="R267" s="19">
        <f>Mitigation_Industry!R$598-(Mitigation_Industry!R$598-Mitigation_Industry!R$588)*R$264</f>
        <v>0.66143878652090593</v>
      </c>
      <c r="S267" s="19">
        <f>Mitigation_Industry!S$598-(Mitigation_Industry!S$598-Mitigation_Industry!S$588)*S$264</f>
        <v>0.69036662969240592</v>
      </c>
      <c r="T267" s="19">
        <f>Mitigation_Industry!T$598-(Mitigation_Industry!T$598-Mitigation_Industry!T$588)*T$264</f>
        <v>0.71929447286390591</v>
      </c>
      <c r="U267" s="19">
        <f>Mitigation_Industry!U$598-(Mitigation_Industry!U$598-Mitigation_Industry!U$588)*U$264</f>
        <v>0.74822231603540601</v>
      </c>
      <c r="V267" s="19">
        <f>Mitigation_Industry!V$598-(Mitigation_Industry!V$598-Mitigation_Industry!V$588)*V$264</f>
        <v>0.777150159206906</v>
      </c>
      <c r="W267" s="19">
        <f>Mitigation_Industry!W$598-(Mitigation_Industry!W$598-Mitigation_Industry!W$588)*W$264</f>
        <v>0.80607800237840599</v>
      </c>
      <c r="X267" s="19">
        <f>Mitigation_Industry!X$598-(Mitigation_Industry!X$598-Mitigation_Industry!X$588)*X$264</f>
        <v>0.83500584554990598</v>
      </c>
      <c r="Y267" s="19">
        <f>Mitigation_Industry!Y$598-(Mitigation_Industry!Y$598-Mitigation_Industry!Y$588)*Y$264</f>
        <v>0.86393368872140597</v>
      </c>
      <c r="Z267" s="19">
        <f>Mitigation_Industry!Z$598-(Mitigation_Industry!Z$598-Mitigation_Industry!Z$588)*Z$264</f>
        <v>0.89286153189290596</v>
      </c>
      <c r="AA267" s="19">
        <f>Mitigation_Industry!AA$598-(Mitigation_Industry!AA$598-Mitigation_Industry!AA$588)*AA$264</f>
        <v>0.92178937506440595</v>
      </c>
      <c r="AB267" s="19">
        <f>Mitigation_Industry!AB$598-(Mitigation_Industry!AB$598-Mitigation_Industry!AB$588)*AB$264</f>
        <v>0.95071721823590605</v>
      </c>
      <c r="AC267" s="19">
        <f>Mitigation_Industry!AC$598-(Mitigation_Industry!AC$598-Mitigation_Industry!AC$588)*AC$264</f>
        <v>0.97964506140740593</v>
      </c>
      <c r="AD267" s="19">
        <f>Mitigation_Industry!AD$598-(Mitigation_Industry!AD$598-Mitigation_Industry!AD$588)*AD$264</f>
        <v>1.008572904578906</v>
      </c>
      <c r="AE267" s="19">
        <f>Mitigation_Industry!AE$598-(Mitigation_Industry!AE$598-Mitigation_Industry!AE$588)*AE$264</f>
        <v>1.0375007477504061</v>
      </c>
    </row>
    <row r="268" spans="1:35" customFormat="1" ht="14.25" x14ac:dyDescent="0.45">
      <c r="B268" s="14" t="s">
        <v>58</v>
      </c>
      <c r="C268" s="14" t="s">
        <v>117</v>
      </c>
      <c r="D268" s="15" t="s">
        <v>2267</v>
      </c>
      <c r="E268" s="16" t="s">
        <v>57</v>
      </c>
      <c r="F268" s="14" t="s">
        <v>2261</v>
      </c>
      <c r="G268" s="17"/>
      <c r="H268" s="128" t="str">
        <f>Settings!$B$3&amp;".mit.atpn.mch.die.e.2"</f>
        <v>egy.mit.atpn.mch.die.e.2</v>
      </c>
      <c r="I268" t="s">
        <v>2348</v>
      </c>
      <c r="K268" s="18"/>
      <c r="L268" s="19">
        <f>Mitigation_Industry!L$599-(Mitigation_Industry!L$599-Mitigation_Industry!L$589)*L$264</f>
        <v>0.49458873084106802</v>
      </c>
      <c r="M268" s="19">
        <f>Mitigation_Industry!M$599-(Mitigation_Industry!M$599-Mitigation_Industry!M$589)*M$264</f>
        <v>0.50778654720250105</v>
      </c>
      <c r="N268" s="19">
        <f>Mitigation_Industry!N$599-(Mitigation_Industry!N$599-Mitigation_Industry!N$589)*N$264</f>
        <v>0.47043642679561698</v>
      </c>
      <c r="O268" s="19">
        <f>Mitigation_Industry!O$599-(Mitigation_Industry!O$599-Mitigation_Industry!O$589)*O$264</f>
        <v>0.47043642679561698</v>
      </c>
      <c r="P268" s="19">
        <f>Mitigation_Industry!P$599-(Mitigation_Industry!P$599-Mitigation_Industry!P$589)*P$264</f>
        <v>0.47043642679561698</v>
      </c>
      <c r="Q268" s="19">
        <f>Mitigation_Industry!Q$599-(Mitigation_Industry!Q$599-Mitigation_Industry!Q$589)*Q$264</f>
        <v>0.50344686565449193</v>
      </c>
      <c r="R268" s="19">
        <f>Mitigation_Industry!R$599-(Mitigation_Industry!R$599-Mitigation_Industry!R$589)*R$264</f>
        <v>0.53645730451336693</v>
      </c>
      <c r="S268" s="19">
        <f>Mitigation_Industry!S$599-(Mitigation_Industry!S$599-Mitigation_Industry!S$589)*S$264</f>
        <v>0.56946774337224193</v>
      </c>
      <c r="T268" s="19">
        <f>Mitigation_Industry!T$599-(Mitigation_Industry!T$599-Mitigation_Industry!T$589)*T$264</f>
        <v>0.60247818223111693</v>
      </c>
      <c r="U268" s="19">
        <f>Mitigation_Industry!U$599-(Mitigation_Industry!U$599-Mitigation_Industry!U$589)*U$264</f>
        <v>0.63548862108999193</v>
      </c>
      <c r="V268" s="19">
        <f>Mitigation_Industry!V$599-(Mitigation_Industry!V$599-Mitigation_Industry!V$589)*V$264</f>
        <v>0.66849905994886694</v>
      </c>
      <c r="W268" s="19">
        <f>Mitigation_Industry!W$599-(Mitigation_Industry!W$599-Mitigation_Industry!W$589)*W$264</f>
        <v>0.70150949880774194</v>
      </c>
      <c r="X268" s="19">
        <f>Mitigation_Industry!X$599-(Mitigation_Industry!X$599-Mitigation_Industry!X$589)*X$264</f>
        <v>0.73451993766661694</v>
      </c>
      <c r="Y268" s="19">
        <f>Mitigation_Industry!Y$599-(Mitigation_Industry!Y$599-Mitigation_Industry!Y$589)*Y$264</f>
        <v>0.76753037652549194</v>
      </c>
      <c r="Z268" s="19">
        <f>Mitigation_Industry!Z$599-(Mitigation_Industry!Z$599-Mitigation_Industry!Z$589)*Z$264</f>
        <v>0.80054081538436694</v>
      </c>
      <c r="AA268" s="19">
        <f>Mitigation_Industry!AA$599-(Mitigation_Industry!AA$599-Mitigation_Industry!AA$589)*AA$264</f>
        <v>0.83355125424324195</v>
      </c>
      <c r="AB268" s="19">
        <f>Mitigation_Industry!AB$599-(Mitigation_Industry!AB$599-Mitigation_Industry!AB$589)*AB$264</f>
        <v>0.86656169310211695</v>
      </c>
      <c r="AC268" s="19">
        <f>Mitigation_Industry!AC$599-(Mitigation_Industry!AC$599-Mitigation_Industry!AC$589)*AC$264</f>
        <v>0.89957213196099195</v>
      </c>
      <c r="AD268" s="19">
        <f>Mitigation_Industry!AD$599-(Mitigation_Industry!AD$599-Mitigation_Industry!AD$589)*AD$264</f>
        <v>0.93258257081986695</v>
      </c>
      <c r="AE268" s="19">
        <f>Mitigation_Industry!AE$599-(Mitigation_Industry!AE$599-Mitigation_Industry!AE$589)*AE$264</f>
        <v>0.96559300967874195</v>
      </c>
    </row>
    <row r="269" spans="1:35" customFormat="1" ht="14.25" x14ac:dyDescent="0.45">
      <c r="B269" s="14" t="s">
        <v>60</v>
      </c>
      <c r="C269" s="14" t="s">
        <v>117</v>
      </c>
      <c r="D269" s="15" t="s">
        <v>2269</v>
      </c>
      <c r="E269" s="16" t="s">
        <v>57</v>
      </c>
      <c r="F269" s="14" t="s">
        <v>2261</v>
      </c>
      <c r="G269" s="17"/>
      <c r="H269" s="128" t="str">
        <f>Settings!$B$3&amp;".mit.atpn.mch.lpg.e.2"</f>
        <v>egy.mit.atpn.mch.lpg.e.2</v>
      </c>
      <c r="I269" t="s">
        <v>2349</v>
      </c>
      <c r="K269" s="18"/>
      <c r="L269" s="19">
        <f>Mitigation_Industry!L$600-(Mitigation_Industry!L$600-Mitigation_Industry!L$590)*L$264</f>
        <v>0.15734473625227399</v>
      </c>
      <c r="M269" s="19">
        <f>Mitigation_Industry!M$600-(Mitigation_Industry!M$600-Mitigation_Industry!M$590)*M$264</f>
        <v>0.164484037759277</v>
      </c>
      <c r="N269" s="19">
        <f>Mitigation_Industry!N$600-(Mitigation_Industry!N$600-Mitigation_Industry!N$590)*N$264</f>
        <v>0.15070907780704901</v>
      </c>
      <c r="O269" s="19">
        <f>Mitigation_Industry!O$600-(Mitigation_Industry!O$600-Mitigation_Industry!O$590)*O$264</f>
        <v>0.15070907780704901</v>
      </c>
      <c r="P269" s="19">
        <f>Mitigation_Industry!P$600-(Mitigation_Industry!P$600-Mitigation_Industry!P$590)*P$264</f>
        <v>0.15070907780704901</v>
      </c>
      <c r="Q269" s="19">
        <f>Mitigation_Industry!Q$600-(Mitigation_Industry!Q$600-Mitigation_Industry!Q$590)*Q$264</f>
        <v>0.17281516073434466</v>
      </c>
      <c r="R269" s="19">
        <f>Mitigation_Industry!R$600-(Mitigation_Industry!R$600-Mitigation_Industry!R$590)*R$264</f>
        <v>0.19492124366164035</v>
      </c>
      <c r="S269" s="19">
        <f>Mitigation_Industry!S$600-(Mitigation_Industry!S$600-Mitigation_Industry!S$590)*S$264</f>
        <v>0.217027326588936</v>
      </c>
      <c r="T269" s="19">
        <f>Mitigation_Industry!T$600-(Mitigation_Industry!T$600-Mitigation_Industry!T$590)*T$264</f>
        <v>0.23913340951623169</v>
      </c>
      <c r="U269" s="19">
        <f>Mitigation_Industry!U$600-(Mitigation_Industry!U$600-Mitigation_Industry!U$590)*U$264</f>
        <v>0.26123949244352734</v>
      </c>
      <c r="V269" s="19">
        <f>Mitigation_Industry!V$600-(Mitigation_Industry!V$600-Mitigation_Industry!V$590)*V$264</f>
        <v>0.283345575370823</v>
      </c>
      <c r="W269" s="19">
        <f>Mitigation_Industry!W$600-(Mitigation_Industry!W$600-Mitigation_Industry!W$590)*W$264</f>
        <v>0.30545165829811871</v>
      </c>
      <c r="X269" s="19">
        <f>Mitigation_Industry!X$600-(Mitigation_Industry!X$600-Mitigation_Industry!X$590)*X$264</f>
        <v>0.32755774122541437</v>
      </c>
      <c r="Y269" s="19">
        <f>Mitigation_Industry!Y$600-(Mitigation_Industry!Y$600-Mitigation_Industry!Y$590)*Y$264</f>
        <v>0.34966382415271002</v>
      </c>
      <c r="Z269" s="19">
        <f>Mitigation_Industry!Z$600-(Mitigation_Industry!Z$600-Mitigation_Industry!Z$590)*Z$264</f>
        <v>0.37176990708000568</v>
      </c>
      <c r="AA269" s="19">
        <f>Mitigation_Industry!AA$600-(Mitigation_Industry!AA$600-Mitigation_Industry!AA$590)*AA$264</f>
        <v>0.39387599000730134</v>
      </c>
      <c r="AB269" s="19">
        <f>Mitigation_Industry!AB$600-(Mitigation_Industry!AB$600-Mitigation_Industry!AB$590)*AB$264</f>
        <v>0.41598207293459699</v>
      </c>
      <c r="AC269" s="19">
        <f>Mitigation_Industry!AC$600-(Mitigation_Industry!AC$600-Mitigation_Industry!AC$590)*AC$264</f>
        <v>0.4380881558618927</v>
      </c>
      <c r="AD269" s="19">
        <f>Mitigation_Industry!AD$600-(Mitigation_Industry!AD$600-Mitigation_Industry!AD$590)*AD$264</f>
        <v>0.46019423878918836</v>
      </c>
      <c r="AE269" s="19">
        <f>Mitigation_Industry!AE$600-(Mitigation_Industry!AE$600-Mitigation_Industry!AE$590)*AE$264</f>
        <v>0.48230032171648402</v>
      </c>
    </row>
    <row r="270" spans="1:35" customFormat="1" ht="14.25" x14ac:dyDescent="0.45">
      <c r="B270" s="14" t="s">
        <v>62</v>
      </c>
      <c r="C270" s="14" t="s">
        <v>117</v>
      </c>
      <c r="D270" s="15" t="s">
        <v>2271</v>
      </c>
      <c r="E270" s="16" t="s">
        <v>57</v>
      </c>
      <c r="F270" s="14" t="s">
        <v>2261</v>
      </c>
      <c r="G270" s="17"/>
      <c r="H270" s="128" t="str">
        <f>Settings!$B$3&amp;".mit.atpn.mch.ker.e.2"</f>
        <v>egy.mit.atpn.mch.ker.e.2</v>
      </c>
      <c r="I270" t="s">
        <v>2350</v>
      </c>
      <c r="K270" s="18"/>
      <c r="L270" s="19">
        <f>Mitigation_Industry!L$601-(Mitigation_Industry!L$601-Mitigation_Industry!L$591)*L$264</f>
        <v>0.45642817050012802</v>
      </c>
      <c r="M270" s="19">
        <f>Mitigation_Industry!M$601-(Mitigation_Industry!M$601-Mitigation_Industry!M$591)*M$264</f>
        <v>0.43168920195599497</v>
      </c>
      <c r="N270" s="19">
        <f>Mitigation_Industry!N$601-(Mitigation_Industry!N$601-Mitigation_Industry!N$591)*N$264</f>
        <v>0.42507558395597</v>
      </c>
      <c r="O270" s="19">
        <f>Mitigation_Industry!O$601-(Mitigation_Industry!O$601-Mitigation_Industry!O$591)*O$264</f>
        <v>0.42507558395597</v>
      </c>
      <c r="P270" s="19">
        <f>Mitigation_Industry!P$601-(Mitigation_Industry!P$601-Mitigation_Industry!P$591)*P$264</f>
        <v>0.42507558395597</v>
      </c>
      <c r="Q270" s="19">
        <f>Mitigation_Industry!Q$601-(Mitigation_Industry!Q$601-Mitigation_Industry!Q$591)*Q$264</f>
        <v>0.45706441406607845</v>
      </c>
      <c r="R270" s="19">
        <f>Mitigation_Industry!R$601-(Mitigation_Industry!R$601-Mitigation_Industry!R$591)*R$264</f>
        <v>0.48905324417618695</v>
      </c>
      <c r="S270" s="19">
        <f>Mitigation_Industry!S$601-(Mitigation_Industry!S$601-Mitigation_Industry!S$591)*S$264</f>
        <v>0.52104207428629534</v>
      </c>
      <c r="T270" s="19">
        <f>Mitigation_Industry!T$601-(Mitigation_Industry!T$601-Mitigation_Industry!T$591)*T$264</f>
        <v>0.5530309043964039</v>
      </c>
      <c r="U270" s="19">
        <f>Mitigation_Industry!U$601-(Mitigation_Industry!U$601-Mitigation_Industry!U$591)*U$264</f>
        <v>0.58501973450651235</v>
      </c>
      <c r="V270" s="19">
        <f>Mitigation_Industry!V$601-(Mitigation_Industry!V$601-Mitigation_Industry!V$591)*V$264</f>
        <v>0.61700856461662079</v>
      </c>
      <c r="W270" s="19">
        <f>Mitigation_Industry!W$601-(Mitigation_Industry!W$601-Mitigation_Industry!W$591)*W$264</f>
        <v>0.64899739472672924</v>
      </c>
      <c r="X270" s="19">
        <f>Mitigation_Industry!X$601-(Mitigation_Industry!X$601-Mitigation_Industry!X$591)*X$264</f>
        <v>0.68098622483683768</v>
      </c>
      <c r="Y270" s="19">
        <f>Mitigation_Industry!Y$601-(Mitigation_Industry!Y$601-Mitigation_Industry!Y$591)*Y$264</f>
        <v>0.71297505494694624</v>
      </c>
      <c r="Z270" s="19">
        <f>Mitigation_Industry!Z$601-(Mitigation_Industry!Z$601-Mitigation_Industry!Z$591)*Z$264</f>
        <v>0.74496388505705469</v>
      </c>
      <c r="AA270" s="19">
        <f>Mitigation_Industry!AA$601-(Mitigation_Industry!AA$601-Mitigation_Industry!AA$591)*AA$264</f>
        <v>0.77695271516716313</v>
      </c>
      <c r="AB270" s="19">
        <f>Mitigation_Industry!AB$601-(Mitigation_Industry!AB$601-Mitigation_Industry!AB$591)*AB$264</f>
        <v>0.80894154527727158</v>
      </c>
      <c r="AC270" s="19">
        <f>Mitigation_Industry!AC$601-(Mitigation_Industry!AC$601-Mitigation_Industry!AC$591)*AC$264</f>
        <v>0.84093037538738002</v>
      </c>
      <c r="AD270" s="19">
        <f>Mitigation_Industry!AD$601-(Mitigation_Industry!AD$601-Mitigation_Industry!AD$591)*AD$264</f>
        <v>0.87291920549748858</v>
      </c>
      <c r="AE270" s="19">
        <f>Mitigation_Industry!AE$601-(Mitigation_Industry!AE$601-Mitigation_Industry!AE$591)*AE$264</f>
        <v>0.90490803560759692</v>
      </c>
    </row>
    <row r="271" spans="1:35" customFormat="1" ht="14.25" x14ac:dyDescent="0.45">
      <c r="B271" s="14" t="s">
        <v>64</v>
      </c>
      <c r="C271" s="14" t="s">
        <v>117</v>
      </c>
      <c r="D271" s="15" t="s">
        <v>2273</v>
      </c>
      <c r="E271" s="16" t="s">
        <v>66</v>
      </c>
      <c r="F271" s="14" t="s">
        <v>2261</v>
      </c>
      <c r="G271" s="17"/>
      <c r="H271" s="128" t="str">
        <f>Settings!$B$3&amp;".mit.atpn.mch.oop.e.2"</f>
        <v>egy.mit.atpn.mch.oop.e.2</v>
      </c>
      <c r="I271" t="s">
        <v>2351</v>
      </c>
      <c r="K271" s="18"/>
      <c r="L271" s="19">
        <f>Mitigation_Industry!L$602-(Mitigation_Industry!L$602-Mitigation_Industry!L$592)*L$264</f>
        <v>34.4153703043132</v>
      </c>
      <c r="M271" s="19">
        <f>Mitigation_Industry!M$602-(Mitigation_Industry!M$602-Mitigation_Industry!M$592)*M$264</f>
        <v>37.368960690431997</v>
      </c>
      <c r="N271" s="19">
        <f>Mitigation_Industry!N$602-(Mitigation_Industry!N$602-Mitigation_Industry!N$592)*N$264</f>
        <v>28.982761101477301</v>
      </c>
      <c r="O271" s="19">
        <f>Mitigation_Industry!O$602-(Mitigation_Industry!O$602-Mitigation_Industry!O$592)*O$264</f>
        <v>15</v>
      </c>
      <c r="P271" s="19">
        <f>Mitigation_Industry!P$602-(Mitigation_Industry!P$602-Mitigation_Industry!P$592)*P$264</f>
        <v>24.2586300842555</v>
      </c>
      <c r="Q271" s="19">
        <f>Mitigation_Industry!Q$602-(Mitigation_Industry!Q$602-Mitigation_Industry!Q$592)*Q$264</f>
        <v>18.963758196132499</v>
      </c>
      <c r="R271" s="19">
        <f>Mitigation_Industry!R$602-(Mitigation_Industry!R$602-Mitigation_Industry!R$592)*R$264</f>
        <v>21.760345114010597</v>
      </c>
      <c r="S271" s="19">
        <f>Mitigation_Industry!S$602-(Mitigation_Industry!S$602-Mitigation_Industry!S$592)*S$264</f>
        <v>26.079880691373621</v>
      </c>
      <c r="T271" s="19">
        <f>Mitigation_Industry!T$602-(Mitigation_Industry!T$602-Mitigation_Industry!T$592)*T$264</f>
        <v>30.593682445209218</v>
      </c>
      <c r="U271" s="19">
        <f>Mitigation_Industry!U$602-(Mitigation_Industry!U$602-Mitigation_Industry!U$592)*U$264</f>
        <v>34.990509739410058</v>
      </c>
      <c r="V271" s="19">
        <f>Mitigation_Industry!V$602-(Mitigation_Industry!V$602-Mitigation_Industry!V$592)*V$264</f>
        <v>40.858059739410059</v>
      </c>
      <c r="W271" s="19">
        <f>Mitigation_Industry!W$602-(Mitigation_Industry!W$602-Mitigation_Industry!W$592)*W$264</f>
        <v>46.725609739410054</v>
      </c>
      <c r="X271" s="19">
        <f>Mitigation_Industry!X$602-(Mitigation_Industry!X$602-Mitigation_Industry!X$592)*X$264</f>
        <v>52.593159739410055</v>
      </c>
      <c r="Y271" s="19">
        <f>Mitigation_Industry!Y$602-(Mitigation_Industry!Y$602-Mitigation_Industry!Y$592)*Y$264</f>
        <v>58.460709739410056</v>
      </c>
      <c r="Z271" s="19">
        <f>Mitigation_Industry!Z$602-(Mitigation_Industry!Z$602-Mitigation_Industry!Z$592)*Z$264</f>
        <v>64.328259739410072</v>
      </c>
      <c r="AA271" s="19">
        <f>Mitigation_Industry!AA$602-(Mitigation_Industry!AA$602-Mitigation_Industry!AA$592)*AA$264</f>
        <v>70.195809739410052</v>
      </c>
      <c r="AB271" s="19">
        <f>Mitigation_Industry!AB$602-(Mitigation_Industry!AB$602-Mitigation_Industry!AB$592)*AB$264</f>
        <v>76.06335973941006</v>
      </c>
      <c r="AC271" s="19">
        <f>Mitigation_Industry!AC$602-(Mitigation_Industry!AC$602-Mitigation_Industry!AC$592)*AC$264</f>
        <v>81.930909739410041</v>
      </c>
      <c r="AD271" s="19">
        <f>Mitigation_Industry!AD$602-(Mitigation_Industry!AD$602-Mitigation_Industry!AD$592)*AD$264</f>
        <v>87.798459739410049</v>
      </c>
      <c r="AE271" s="19">
        <f>Mitigation_Industry!AE$602-(Mitigation_Industry!AE$602-Mitigation_Industry!AE$592)*AE$264</f>
        <v>93.666009739410043</v>
      </c>
    </row>
    <row r="272" spans="1:35" customFormat="1" ht="14.25" x14ac:dyDescent="0.45">
      <c r="B272" s="14" t="s">
        <v>67</v>
      </c>
      <c r="C272" s="14" t="s">
        <v>117</v>
      </c>
      <c r="D272" s="15" t="s">
        <v>2275</v>
      </c>
      <c r="E272" s="16" t="s">
        <v>51</v>
      </c>
      <c r="F272" s="14" t="s">
        <v>2261</v>
      </c>
      <c r="G272" s="17"/>
      <c r="H272" s="128" t="str">
        <f>Settings!$B$3&amp;".mit.atpn.mch.bio.e.2"</f>
        <v>egy.mit.atpn.mch.bio.e.2</v>
      </c>
      <c r="I272" t="s">
        <v>2352</v>
      </c>
      <c r="K272" s="18"/>
      <c r="L272" s="19">
        <f>Mitigation_Industry!L$603-(Mitigation_Industry!L$603-Mitigation_Industry!L$593)*L$264</f>
        <v>14.199528390634899</v>
      </c>
      <c r="M272" s="19">
        <f>Mitigation_Industry!M$603-(Mitigation_Industry!M$603-Mitigation_Industry!M$593)*M$264</f>
        <v>13.8404416133152</v>
      </c>
      <c r="N272" s="19">
        <f>Mitigation_Industry!N$603-(Mitigation_Industry!N$603-Mitigation_Industry!N$593)*N$264</f>
        <v>13.5677269404465</v>
      </c>
      <c r="O272" s="19">
        <f>Mitigation_Industry!O$603-(Mitigation_Industry!O$603-Mitigation_Industry!O$593)*O$264</f>
        <v>13.5677269404465</v>
      </c>
      <c r="P272" s="19">
        <f>Mitigation_Industry!P$603-(Mitigation_Industry!P$603-Mitigation_Industry!P$593)*P$264</f>
        <v>13.5677269404465</v>
      </c>
      <c r="Q272" s="19">
        <f>Mitigation_Industry!Q$603-(Mitigation_Industry!Q$603-Mitigation_Industry!Q$593)*Q$264</f>
        <v>13.5677269404465</v>
      </c>
      <c r="R272" s="19">
        <f>Mitigation_Industry!R$603-(Mitigation_Industry!R$603-Mitigation_Industry!R$593)*R$264</f>
        <v>13.5677269404465</v>
      </c>
      <c r="S272" s="19">
        <f>Mitigation_Industry!S$603-(Mitigation_Industry!S$603-Mitigation_Industry!S$593)*S$264</f>
        <v>13.5677269404465</v>
      </c>
      <c r="T272" s="19">
        <f>Mitigation_Industry!T$603-(Mitigation_Industry!T$603-Mitigation_Industry!T$593)*T$264</f>
        <v>13.5677269404465</v>
      </c>
      <c r="U272" s="19">
        <f>Mitigation_Industry!U$603-(Mitigation_Industry!U$603-Mitigation_Industry!U$593)*U$264</f>
        <v>13.5677269404465</v>
      </c>
      <c r="V272" s="19">
        <f>Mitigation_Industry!V$603-(Mitigation_Industry!V$603-Mitigation_Industry!V$593)*V$264</f>
        <v>13.5677269404465</v>
      </c>
      <c r="W272" s="19">
        <f>Mitigation_Industry!W$603-(Mitigation_Industry!W$603-Mitigation_Industry!W$593)*W$264</f>
        <v>13.5677269404465</v>
      </c>
      <c r="X272" s="19">
        <f>Mitigation_Industry!X$603-(Mitigation_Industry!X$603-Mitigation_Industry!X$593)*X$264</f>
        <v>13.5677269404465</v>
      </c>
      <c r="Y272" s="19">
        <f>Mitigation_Industry!Y$603-(Mitigation_Industry!Y$603-Mitigation_Industry!Y$593)*Y$264</f>
        <v>13.5677269404465</v>
      </c>
      <c r="Z272" s="19">
        <f>Mitigation_Industry!Z$603-(Mitigation_Industry!Z$603-Mitigation_Industry!Z$593)*Z$264</f>
        <v>13.5677269404465</v>
      </c>
      <c r="AA272" s="19">
        <f>Mitigation_Industry!AA$603-(Mitigation_Industry!AA$603-Mitigation_Industry!AA$593)*AA$264</f>
        <v>13.5677269404465</v>
      </c>
      <c r="AB272" s="19">
        <f>Mitigation_Industry!AB$603-(Mitigation_Industry!AB$603-Mitigation_Industry!AB$593)*AB$264</f>
        <v>13.5677269404465</v>
      </c>
      <c r="AC272" s="19">
        <f>Mitigation_Industry!AC$603-(Mitigation_Industry!AC$603-Mitigation_Industry!AC$593)*AC$264</f>
        <v>13.5677269404465</v>
      </c>
      <c r="AD272" s="19">
        <f>Mitigation_Industry!AD$603-(Mitigation_Industry!AD$603-Mitigation_Industry!AD$593)*AD$264</f>
        <v>13.5677269404465</v>
      </c>
      <c r="AE272" s="19">
        <f>Mitigation_Industry!AE$603-(Mitigation_Industry!AE$603-Mitigation_Industry!AE$593)*AE$264</f>
        <v>13.5677269404465</v>
      </c>
    </row>
    <row r="273" spans="1:35" customFormat="1" ht="14.25" x14ac:dyDescent="0.45">
      <c r="B273" s="14" t="s">
        <v>69</v>
      </c>
      <c r="C273" s="14" t="s">
        <v>117</v>
      </c>
      <c r="D273" s="15" t="s">
        <v>2277</v>
      </c>
      <c r="E273" s="16" t="s">
        <v>71</v>
      </c>
      <c r="F273" s="14" t="s">
        <v>2261</v>
      </c>
      <c r="G273" s="17"/>
      <c r="H273" s="128" t="str">
        <f>Settings!$B$3&amp;".mit.atpn.mch.ren.e.2"</f>
        <v>egy.mit.atpn.mch.ren.e.2</v>
      </c>
      <c r="I273" t="s">
        <v>2353</v>
      </c>
      <c r="K273" s="18"/>
      <c r="L273" s="19">
        <f>Mitigation_Industry!L$604-(Mitigation_Industry!L$604-Mitigation_Industry!L$594)*L$264</f>
        <v>0.14404498679319799</v>
      </c>
      <c r="M273" s="19">
        <f>Mitigation_Industry!M$604-(Mitigation_Industry!M$604-Mitigation_Industry!M$594)*M$264</f>
        <v>0.141386241751359</v>
      </c>
      <c r="N273" s="19">
        <f>Mitigation_Industry!N$604-(Mitigation_Industry!N$604-Mitigation_Industry!N$594)*N$264</f>
        <v>0.13539756544373099</v>
      </c>
      <c r="O273" s="19">
        <f>Mitigation_Industry!O$604-(Mitigation_Industry!O$604-Mitigation_Industry!O$594)*O$264</f>
        <v>0.13152288542065099</v>
      </c>
      <c r="P273" s="19">
        <f>Mitigation_Industry!P$604-(Mitigation_Industry!P$604-Mitigation_Industry!P$594)*P$264</f>
        <v>0.12882610848523099</v>
      </c>
      <c r="Q273" s="19">
        <f>Mitigation_Industry!Q$604-(Mitigation_Industry!Q$604-Mitigation_Industry!Q$594)*Q$264</f>
        <v>0.12594200976473999</v>
      </c>
      <c r="R273" s="19">
        <f>Mitigation_Industry!R$604-(Mitigation_Industry!R$604-Mitigation_Industry!R$594)*R$264</f>
        <v>0.123113265701861</v>
      </c>
      <c r="S273" s="19">
        <f>Mitigation_Industry!S$604-(Mitigation_Industry!S$604-Mitigation_Industry!S$594)*S$264</f>
        <v>0.119391738089068</v>
      </c>
      <c r="T273" s="19">
        <f>Mitigation_Industry!T$604-(Mitigation_Industry!T$604-Mitigation_Industry!T$594)*T$264</f>
        <v>0.11554419046792</v>
      </c>
      <c r="U273" s="19">
        <f>Mitigation_Industry!U$604-(Mitigation_Industry!U$604-Mitigation_Industry!U$594)*U$264</f>
        <v>0.11492423065415899</v>
      </c>
      <c r="V273" s="19">
        <f>Mitigation_Industry!V$604-(Mitigation_Industry!V$604-Mitigation_Industry!V$594)*V$264</f>
        <v>0.114346912116736</v>
      </c>
      <c r="W273" s="19">
        <f>Mitigation_Industry!W$604-(Mitigation_Industry!W$604-Mitigation_Industry!W$594)*W$264</f>
        <v>0.113738711172664</v>
      </c>
      <c r="X273" s="19">
        <f>Mitigation_Industry!X$604-(Mitigation_Industry!X$604-Mitigation_Industry!X$594)*X$264</f>
        <v>0.112999900487521</v>
      </c>
      <c r="Y273" s="19">
        <f>Mitigation_Industry!Y$604-(Mitigation_Industry!Y$604-Mitigation_Industry!Y$594)*Y$264</f>
        <v>0.112177685835534</v>
      </c>
      <c r="Z273" s="19">
        <f>Mitigation_Industry!Z$604-(Mitigation_Industry!Z$604-Mitigation_Industry!Z$594)*Z$264</f>
        <v>0.111417903250404</v>
      </c>
      <c r="AA273" s="19">
        <f>Mitigation_Industry!AA$604-(Mitigation_Industry!AA$604-Mitigation_Industry!AA$594)*AA$264</f>
        <v>0.11052581998545399</v>
      </c>
      <c r="AB273" s="19">
        <f>Mitigation_Industry!AB$604-(Mitigation_Industry!AB$604-Mitigation_Industry!AB$594)*AB$264</f>
        <v>0.109699565234896</v>
      </c>
      <c r="AC273" s="19">
        <f>Mitigation_Industry!AC$604-(Mitigation_Industry!AC$604-Mitigation_Industry!AC$594)*AC$264</f>
        <v>0.10772678896394899</v>
      </c>
      <c r="AD273" s="19">
        <f>Mitigation_Industry!AD$604-(Mitigation_Industry!AD$604-Mitigation_Industry!AD$594)*AD$264</f>
        <v>0.10582092445093499</v>
      </c>
      <c r="AE273" s="19">
        <f>Mitigation_Industry!AE$604-(Mitigation_Industry!AE$604-Mitigation_Industry!AE$594)*AE$264</f>
        <v>0.103855595705721</v>
      </c>
    </row>
    <row r="275" spans="1:35" customFormat="1" ht="14.25" x14ac:dyDescent="0.45">
      <c r="A275" s="11"/>
      <c r="B275" s="6"/>
      <c r="C275" s="7" t="s">
        <v>2309</v>
      </c>
      <c r="D275" s="6" t="s">
        <v>1488</v>
      </c>
      <c r="E275" s="7" t="s">
        <v>35</v>
      </c>
      <c r="F275" s="7" t="s">
        <v>45</v>
      </c>
      <c r="G275" s="7" t="s">
        <v>37</v>
      </c>
      <c r="H275" s="12" t="s">
        <v>38</v>
      </c>
      <c r="I275" s="6" t="s">
        <v>39</v>
      </c>
      <c r="J275" s="48">
        <v>2</v>
      </c>
      <c r="K275" s="6">
        <v>2021</v>
      </c>
      <c r="L275" s="46">
        <v>2022</v>
      </c>
      <c r="M275" s="6">
        <v>2023</v>
      </c>
      <c r="N275" s="6">
        <v>2024</v>
      </c>
      <c r="O275" s="6">
        <v>2025</v>
      </c>
      <c r="P275" s="6">
        <v>2026</v>
      </c>
      <c r="Q275" s="6">
        <v>2027</v>
      </c>
      <c r="R275" s="6">
        <v>2028</v>
      </c>
      <c r="S275" s="6">
        <v>2029</v>
      </c>
      <c r="T275" s="6">
        <v>2030</v>
      </c>
      <c r="U275" s="6">
        <v>2031</v>
      </c>
      <c r="V275" s="6">
        <v>2032</v>
      </c>
      <c r="W275" s="6">
        <v>2033</v>
      </c>
      <c r="X275" s="6">
        <v>2034</v>
      </c>
      <c r="Y275" s="6">
        <v>2035</v>
      </c>
      <c r="Z275" s="6">
        <v>2036</v>
      </c>
      <c r="AA275" s="6">
        <v>2037</v>
      </c>
      <c r="AB275" s="6">
        <v>2038</v>
      </c>
      <c r="AC275" s="6">
        <v>2039</v>
      </c>
      <c r="AD275" s="6">
        <v>2040</v>
      </c>
      <c r="AE275" s="6">
        <v>2041</v>
      </c>
      <c r="AF275" s="6">
        <v>2042</v>
      </c>
      <c r="AG275" s="6">
        <v>2043</v>
      </c>
      <c r="AH275" s="6">
        <v>2044</v>
      </c>
      <c r="AI275" s="6">
        <v>2045</v>
      </c>
    </row>
    <row r="276" spans="1:35" customFormat="1" ht="14.25" x14ac:dyDescent="0.45">
      <c r="B276" s="14" t="s">
        <v>110</v>
      </c>
      <c r="C276" s="14"/>
      <c r="D276" s="25" t="s">
        <v>2310</v>
      </c>
      <c r="E276" s="16" t="s">
        <v>1854</v>
      </c>
      <c r="F276" s="14" t="s">
        <v>2311</v>
      </c>
      <c r="H276" s="17"/>
      <c r="I276" t="s">
        <v>2354</v>
      </c>
      <c r="L276" s="130">
        <f>Mitigation_Industry!L$799</f>
        <v>0</v>
      </c>
      <c r="M276" s="130">
        <f>Mitigation_Industry!M$799</f>
        <v>0</v>
      </c>
      <c r="N276" s="130">
        <f>Mitigation_Industry!N$799</f>
        <v>0</v>
      </c>
      <c r="O276" s="130">
        <f>Mitigation_Industry!O$799</f>
        <v>0</v>
      </c>
      <c r="P276" s="130">
        <f>Mitigation_Industry!P$799</f>
        <v>0</v>
      </c>
      <c r="Q276" s="130">
        <f>Mitigation_Industry!Q$799</f>
        <v>313.18092912945133</v>
      </c>
      <c r="R276" s="130">
        <f>Mitigation_Industry!R$799</f>
        <v>646.88764494852489</v>
      </c>
      <c r="S276" s="130">
        <f>Mitigation_Industry!S$799</f>
        <v>1002.1648959865571</v>
      </c>
      <c r="T276" s="130">
        <f>Mitigation_Industry!T$799</f>
        <v>1380.1062236958546</v>
      </c>
      <c r="U276" s="130">
        <f>Mitigation_Industry!U$799</f>
        <v>1781.8561629939895</v>
      </c>
      <c r="V276" s="130">
        <f>Mitigation_Industry!V$799</f>
        <v>2208.6125408023772</v>
      </c>
      <c r="W276" s="130">
        <f>Mitigation_Industry!W$799</f>
        <v>2661.6288769403232</v>
      </c>
      <c r="X276" s="130">
        <f>Mitigation_Industry!X$799</f>
        <v>3142.2168919286596</v>
      </c>
      <c r="Y276" s="130">
        <f>Mitigation_Industry!Y$799</f>
        <v>3651.7491264608011</v>
      </c>
      <c r="Z276" s="130">
        <f>Mitigation_Industry!Z$799</f>
        <v>4191.6616775120128</v>
      </c>
      <c r="AA276" s="130">
        <f>Mitigation_Industry!AA$799</f>
        <v>4763.45705628019</v>
      </c>
      <c r="AB276" s="130">
        <f>Mitigation_Industry!AB$799</f>
        <v>5368.7071733840539</v>
      </c>
      <c r="AC276" s="130">
        <f>Mitigation_Industry!AC$799</f>
        <v>6009.0564569877843</v>
      </c>
      <c r="AD276" s="130">
        <f>Mitigation_Industry!AD$799</f>
        <v>6686.2251097751796</v>
      </c>
      <c r="AE276" s="130">
        <f>Mitigation_Industry!AE$799</f>
        <v>7402.012510962054</v>
      </c>
    </row>
    <row r="277" spans="1:35" customFormat="1" ht="14.25" x14ac:dyDescent="0.45">
      <c r="B277" s="14" t="s">
        <v>110</v>
      </c>
      <c r="C277" s="14"/>
      <c r="D277" s="25" t="s">
        <v>2313</v>
      </c>
      <c r="E277" s="16" t="s">
        <v>1854</v>
      </c>
      <c r="F277" s="14" t="s">
        <v>2242</v>
      </c>
      <c r="H277" s="17"/>
      <c r="L277" s="130">
        <f t="shared" ref="L277:AE277" si="68">L$217</f>
        <v>0</v>
      </c>
      <c r="M277" s="130">
        <f t="shared" si="68"/>
        <v>0</v>
      </c>
      <c r="N277" s="130">
        <f t="shared" si="68"/>
        <v>0</v>
      </c>
      <c r="O277" s="130">
        <f t="shared" si="68"/>
        <v>0</v>
      </c>
      <c r="P277" s="130">
        <f t="shared" si="68"/>
        <v>0</v>
      </c>
      <c r="Q277" s="130">
        <f t="shared" si="68"/>
        <v>0</v>
      </c>
      <c r="R277" s="130">
        <f t="shared" si="68"/>
        <v>0</v>
      </c>
      <c r="S277" s="130">
        <f t="shared" si="68"/>
        <v>0</v>
      </c>
      <c r="T277" s="130">
        <f t="shared" si="68"/>
        <v>0</v>
      </c>
      <c r="U277" s="130">
        <f t="shared" si="68"/>
        <v>0</v>
      </c>
      <c r="V277" s="130">
        <f t="shared" si="68"/>
        <v>0</v>
      </c>
      <c r="W277" s="130">
        <f t="shared" si="68"/>
        <v>0</v>
      </c>
      <c r="X277" s="130">
        <f t="shared" si="68"/>
        <v>0</v>
      </c>
      <c r="Y277" s="130">
        <f t="shared" si="68"/>
        <v>0</v>
      </c>
      <c r="Z277" s="130">
        <f t="shared" si="68"/>
        <v>0</v>
      </c>
      <c r="AA277" s="130">
        <f t="shared" si="68"/>
        <v>0</v>
      </c>
      <c r="AB277" s="130">
        <f t="shared" si="68"/>
        <v>0</v>
      </c>
      <c r="AC277" s="130">
        <f t="shared" si="68"/>
        <v>0</v>
      </c>
      <c r="AD277" s="130">
        <f t="shared" si="68"/>
        <v>0</v>
      </c>
      <c r="AE277" s="130">
        <f t="shared" si="68"/>
        <v>0</v>
      </c>
    </row>
    <row r="278" spans="1:35" customFormat="1" ht="14.25" x14ac:dyDescent="0.45">
      <c r="B278" s="14" t="s">
        <v>110</v>
      </c>
      <c r="C278" s="14"/>
      <c r="D278" s="25" t="s">
        <v>2314</v>
      </c>
      <c r="E278" s="16" t="s">
        <v>1854</v>
      </c>
      <c r="F278" s="14" t="s">
        <v>2315</v>
      </c>
      <c r="H278" s="128" t="str">
        <f>Settings!$B$3&amp;".mit.revnet.cbam.tot.2"</f>
        <v>egy.mit.revnet.cbam.tot.2</v>
      </c>
      <c r="L278" s="130">
        <f t="shared" ref="L278:AE278" si="69">L276-L277</f>
        <v>0</v>
      </c>
      <c r="M278" s="130">
        <f t="shared" si="69"/>
        <v>0</v>
      </c>
      <c r="N278" s="130">
        <f t="shared" si="69"/>
        <v>0</v>
      </c>
      <c r="O278" s="130">
        <f t="shared" si="69"/>
        <v>0</v>
      </c>
      <c r="P278" s="130">
        <f t="shared" si="69"/>
        <v>0</v>
      </c>
      <c r="Q278" s="130">
        <f t="shared" si="69"/>
        <v>313.18092912945133</v>
      </c>
      <c r="R278" s="130">
        <f t="shared" si="69"/>
        <v>646.88764494852489</v>
      </c>
      <c r="S278" s="130">
        <f t="shared" si="69"/>
        <v>1002.1648959865571</v>
      </c>
      <c r="T278" s="130">
        <f t="shared" si="69"/>
        <v>1380.1062236958546</v>
      </c>
      <c r="U278" s="130">
        <f t="shared" si="69"/>
        <v>1781.8561629939895</v>
      </c>
      <c r="V278" s="130">
        <f t="shared" si="69"/>
        <v>2208.6125408023772</v>
      </c>
      <c r="W278" s="130">
        <f t="shared" si="69"/>
        <v>2661.6288769403232</v>
      </c>
      <c r="X278" s="130">
        <f t="shared" si="69"/>
        <v>3142.2168919286596</v>
      </c>
      <c r="Y278" s="130">
        <f t="shared" si="69"/>
        <v>3651.7491264608011</v>
      </c>
      <c r="Z278" s="130">
        <f t="shared" si="69"/>
        <v>4191.6616775120128</v>
      </c>
      <c r="AA278" s="130">
        <f t="shared" si="69"/>
        <v>4763.45705628019</v>
      </c>
      <c r="AB278" s="130">
        <f t="shared" si="69"/>
        <v>5368.7071733840539</v>
      </c>
      <c r="AC278" s="130">
        <f t="shared" si="69"/>
        <v>6009.0564569877843</v>
      </c>
      <c r="AD278" s="130">
        <f t="shared" si="69"/>
        <v>6686.2251097751796</v>
      </c>
      <c r="AE278" s="130">
        <f t="shared" si="69"/>
        <v>7402.012510962054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D14C-2733-450C-BC72-7F74AE9059F1}">
  <dimension ref="A1:AI433"/>
  <sheetViews>
    <sheetView topLeftCell="A414" workbookViewId="0">
      <selection activeCell="A433" sqref="A433:XFD433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44.5976562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60.597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2538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3.9" x14ac:dyDescent="0.4">
      <c r="B3" s="124" t="s">
        <v>2539</v>
      </c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</row>
    <row r="4" spans="1:35" x14ac:dyDescent="0.35">
      <c r="D4" s="115" t="s">
        <v>2540</v>
      </c>
      <c r="E4" s="115" t="s">
        <v>2541</v>
      </c>
      <c r="F4" s="132" t="s">
        <v>2542</v>
      </c>
      <c r="I4" s="115" t="s">
        <v>2545</v>
      </c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</row>
    <row r="5" spans="1:35" x14ac:dyDescent="0.35">
      <c r="D5" s="115" t="s">
        <v>2543</v>
      </c>
      <c r="E5" s="115" t="s">
        <v>1398</v>
      </c>
      <c r="F5" s="132">
        <v>1000</v>
      </c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</row>
    <row r="6" spans="1:35" x14ac:dyDescent="0.35">
      <c r="D6" s="115" t="s">
        <v>2544</v>
      </c>
      <c r="E6" s="115" t="s">
        <v>79</v>
      </c>
      <c r="F6" s="132">
        <v>1</v>
      </c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</row>
    <row r="7" spans="1:35" x14ac:dyDescent="0.35"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</row>
    <row r="8" spans="1:35" customFormat="1" ht="18" customHeight="1" x14ac:dyDescent="0.45">
      <c r="A8" s="8"/>
      <c r="B8" s="9" t="s">
        <v>2546</v>
      </c>
      <c r="C8" s="10"/>
      <c r="D8" s="10"/>
      <c r="E8" s="10"/>
      <c r="F8" s="10"/>
      <c r="G8" s="10"/>
      <c r="H8" s="10"/>
      <c r="I8" s="10"/>
      <c r="J8" s="10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</row>
    <row r="9" spans="1:35" x14ac:dyDescent="0.35"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</row>
    <row r="10" spans="1:35" customFormat="1" ht="14.25" x14ac:dyDescent="0.45">
      <c r="A10" s="11"/>
      <c r="B10" s="6"/>
      <c r="C10" s="7" t="s">
        <v>2176</v>
      </c>
      <c r="D10" s="6" t="s">
        <v>1488</v>
      </c>
      <c r="E10" s="7" t="s">
        <v>35</v>
      </c>
      <c r="F10" s="7" t="s">
        <v>45</v>
      </c>
      <c r="G10" s="7" t="s">
        <v>37</v>
      </c>
      <c r="H10" s="12" t="s">
        <v>38</v>
      </c>
      <c r="I10" s="6" t="s">
        <v>39</v>
      </c>
      <c r="J10" s="48">
        <v>1</v>
      </c>
      <c r="K10" s="137">
        <v>2021</v>
      </c>
      <c r="L10" s="138">
        <v>2022</v>
      </c>
      <c r="M10" s="137">
        <v>2023</v>
      </c>
      <c r="N10" s="137">
        <v>2024</v>
      </c>
      <c r="O10" s="137">
        <v>2025</v>
      </c>
      <c r="P10" s="137">
        <v>2026</v>
      </c>
      <c r="Q10" s="137">
        <v>2027</v>
      </c>
      <c r="R10" s="137">
        <v>2028</v>
      </c>
      <c r="S10" s="137">
        <v>2029</v>
      </c>
      <c r="T10" s="137">
        <v>2030</v>
      </c>
      <c r="U10" s="137">
        <v>2031</v>
      </c>
      <c r="V10" s="137">
        <v>2032</v>
      </c>
      <c r="W10" s="137">
        <v>2033</v>
      </c>
      <c r="X10" s="137">
        <v>2034</v>
      </c>
      <c r="Y10" s="137">
        <v>2035</v>
      </c>
      <c r="Z10" s="137">
        <v>2036</v>
      </c>
      <c r="AA10" s="137">
        <v>2037</v>
      </c>
      <c r="AB10" s="137">
        <v>2038</v>
      </c>
      <c r="AC10" s="137">
        <v>2039</v>
      </c>
      <c r="AD10" s="137">
        <v>2040</v>
      </c>
      <c r="AE10" s="137">
        <v>2041</v>
      </c>
      <c r="AF10" s="137">
        <v>2042</v>
      </c>
      <c r="AG10" s="137">
        <v>2043</v>
      </c>
      <c r="AH10" s="137">
        <v>2044</v>
      </c>
      <c r="AI10" s="137">
        <v>2045</v>
      </c>
    </row>
    <row r="11" spans="1:35" customFormat="1" ht="14.25" x14ac:dyDescent="0.45">
      <c r="B11" s="14" t="s">
        <v>1789</v>
      </c>
      <c r="C11" s="14"/>
      <c r="D11" s="15" t="s">
        <v>2547</v>
      </c>
      <c r="E11" s="16" t="s">
        <v>79</v>
      </c>
      <c r="F11" s="14" t="s">
        <v>1789</v>
      </c>
      <c r="G11" s="128" t="s">
        <v>1842</v>
      </c>
      <c r="H11" s="17"/>
      <c r="I11" t="s">
        <v>2178</v>
      </c>
      <c r="K11" s="139"/>
      <c r="L11" s="140">
        <f>INDEX(Data_Prices!L:L,MATCH($G11,Data_Prices!$A:$A,0))</f>
        <v>0</v>
      </c>
      <c r="M11" s="140">
        <f>INDEX(Data_Prices!M:M,MATCH($G11,Data_Prices!$A:$A,0))</f>
        <v>0</v>
      </c>
      <c r="N11" s="140">
        <f>INDEX(Data_Prices!N:N,MATCH($G11,Data_Prices!$A:$A,0))</f>
        <v>0</v>
      </c>
      <c r="O11" s="140">
        <f>INDEX(Data_Prices!O:O,MATCH($G11,Data_Prices!$A:$A,0))</f>
        <v>0</v>
      </c>
      <c r="P11" s="140">
        <f>INDEX(Data_Prices!P:P,MATCH($G11,Data_Prices!$A:$A,0))</f>
        <v>0</v>
      </c>
      <c r="Q11" s="140">
        <f>INDEX(Data_Prices!Q:Q,MATCH($G11,Data_Prices!$A:$A,0))</f>
        <v>0</v>
      </c>
      <c r="R11" s="140">
        <f>INDEX(Data_Prices!R:R,MATCH($G11,Data_Prices!$A:$A,0))</f>
        <v>0</v>
      </c>
      <c r="S11" s="140">
        <f>INDEX(Data_Prices!S:S,MATCH($G11,Data_Prices!$A:$A,0))</f>
        <v>0</v>
      </c>
      <c r="T11" s="140">
        <f>INDEX(Data_Prices!T:T,MATCH($G11,Data_Prices!$A:$A,0))</f>
        <v>0</v>
      </c>
      <c r="U11" s="140">
        <f>INDEX(Data_Prices!U:U,MATCH($G11,Data_Prices!$A:$A,0))</f>
        <v>0</v>
      </c>
      <c r="V11" s="140">
        <f>INDEX(Data_Prices!V:V,MATCH($G11,Data_Prices!$A:$A,0))</f>
        <v>0</v>
      </c>
      <c r="W11" s="140">
        <f>INDEX(Data_Prices!W:W,MATCH($G11,Data_Prices!$A:$A,0))</f>
        <v>0</v>
      </c>
      <c r="X11" s="140">
        <f>INDEX(Data_Prices!X:X,MATCH($G11,Data_Prices!$A:$A,0))</f>
        <v>0</v>
      </c>
      <c r="Y11" s="140">
        <f>INDEX(Data_Prices!Y:Y,MATCH($G11,Data_Prices!$A:$A,0))</f>
        <v>0</v>
      </c>
      <c r="Z11" s="140">
        <f>INDEX(Data_Prices!Z:Z,MATCH($G11,Data_Prices!$A:$A,0))</f>
        <v>0</v>
      </c>
      <c r="AA11" s="140">
        <f>INDEX(Data_Prices!AA:AA,MATCH($G11,Data_Prices!$A:$A,0))</f>
        <v>0</v>
      </c>
      <c r="AB11" s="140">
        <f>INDEX(Data_Prices!AB:AB,MATCH($G11,Data_Prices!$A:$A,0))</f>
        <v>0</v>
      </c>
      <c r="AC11" s="140">
        <f>INDEX(Data_Prices!AC:AC,MATCH($G11,Data_Prices!$A:$A,0))</f>
        <v>0</v>
      </c>
      <c r="AD11" s="140">
        <f>INDEX(Data_Prices!AD:AD,MATCH($G11,Data_Prices!$A:$A,0))</f>
        <v>0</v>
      </c>
      <c r="AE11" s="140">
        <f>INDEX(Data_Prices!AE:AE,MATCH($G11,Data_Prices!$A:$A,0))</f>
        <v>0</v>
      </c>
      <c r="AF11" s="141"/>
      <c r="AG11" s="141"/>
      <c r="AH11" s="141"/>
      <c r="AI11" s="141"/>
    </row>
    <row r="12" spans="1:35" customFormat="1" ht="14.25" x14ac:dyDescent="0.45">
      <c r="B12" s="14" t="s">
        <v>1397</v>
      </c>
      <c r="C12" s="14"/>
      <c r="D12" s="15" t="s">
        <v>2548</v>
      </c>
      <c r="E12" s="16" t="s">
        <v>1398</v>
      </c>
      <c r="F12" s="14" t="s">
        <v>1397</v>
      </c>
      <c r="G12" s="17"/>
      <c r="H12" s="17"/>
      <c r="I12" t="s">
        <v>2549</v>
      </c>
      <c r="K12" s="139"/>
      <c r="L12" s="140">
        <f>Mitigation_Industry!L$247</f>
        <v>0</v>
      </c>
      <c r="M12" s="140">
        <f>Mitigation_Industry!M$247</f>
        <v>0</v>
      </c>
      <c r="N12" s="140">
        <f>Mitigation_Industry!N$247</f>
        <v>0</v>
      </c>
      <c r="O12" s="140">
        <f>Mitigation_Industry!O$247</f>
        <v>0</v>
      </c>
      <c r="P12" s="140">
        <f>Mitigation_Industry!P$247</f>
        <v>0</v>
      </c>
      <c r="Q12" s="140">
        <f>Mitigation_Industry!Q$247</f>
        <v>0</v>
      </c>
      <c r="R12" s="140">
        <f>Mitigation_Industry!R$247</f>
        <v>0</v>
      </c>
      <c r="S12" s="140">
        <f>Mitigation_Industry!S$247</f>
        <v>0</v>
      </c>
      <c r="T12" s="140">
        <f>Mitigation_Industry!T$247</f>
        <v>0</v>
      </c>
      <c r="U12" s="140">
        <f>Mitigation_Industry!U$247</f>
        <v>0</v>
      </c>
      <c r="V12" s="140">
        <f>Mitigation_Industry!V$247</f>
        <v>0</v>
      </c>
      <c r="W12" s="140">
        <f>Mitigation_Industry!W$247</f>
        <v>0</v>
      </c>
      <c r="X12" s="140">
        <f>Mitigation_Industry!X$247</f>
        <v>0</v>
      </c>
      <c r="Y12" s="140">
        <f>Mitigation_Industry!Y$247</f>
        <v>0</v>
      </c>
      <c r="Z12" s="140">
        <f>Mitigation_Industry!Z$247</f>
        <v>0</v>
      </c>
      <c r="AA12" s="140">
        <f>Mitigation_Industry!AA$247</f>
        <v>0</v>
      </c>
      <c r="AB12" s="140">
        <f>Mitigation_Industry!AB$247</f>
        <v>0</v>
      </c>
      <c r="AC12" s="140">
        <f>Mitigation_Industry!AC$247</f>
        <v>0</v>
      </c>
      <c r="AD12" s="140">
        <f>Mitigation_Industry!AD$247</f>
        <v>0</v>
      </c>
      <c r="AE12" s="140">
        <f>Mitigation_Industry!AE$247</f>
        <v>0</v>
      </c>
      <c r="AF12" s="141"/>
      <c r="AG12" s="141"/>
      <c r="AH12" s="141"/>
      <c r="AI12" s="141"/>
    </row>
    <row r="13" spans="1:35" customFormat="1" ht="14.25" x14ac:dyDescent="0.45">
      <c r="B13" s="14" t="s">
        <v>1401</v>
      </c>
      <c r="C13" s="14"/>
      <c r="D13" s="15" t="s">
        <v>2550</v>
      </c>
      <c r="E13" s="16" t="s">
        <v>1398</v>
      </c>
      <c r="F13" s="14" t="s">
        <v>1401</v>
      </c>
      <c r="G13" s="17"/>
      <c r="H13" s="17"/>
      <c r="I13" t="s">
        <v>2551</v>
      </c>
      <c r="K13" s="139"/>
      <c r="L13" s="140">
        <f>Mitigation_Industry!L$248</f>
        <v>0</v>
      </c>
      <c r="M13" s="140">
        <f>Mitigation_Industry!M$248</f>
        <v>0</v>
      </c>
      <c r="N13" s="140">
        <f>Mitigation_Industry!N$248</f>
        <v>0</v>
      </c>
      <c r="O13" s="140">
        <f>Mitigation_Industry!O$248</f>
        <v>0</v>
      </c>
      <c r="P13" s="140">
        <f>Mitigation_Industry!P$248</f>
        <v>0</v>
      </c>
      <c r="Q13" s="140">
        <f>Mitigation_Industry!Q$248</f>
        <v>0</v>
      </c>
      <c r="R13" s="140">
        <f>Mitigation_Industry!R$248</f>
        <v>0</v>
      </c>
      <c r="S13" s="140">
        <f>Mitigation_Industry!S$248</f>
        <v>0</v>
      </c>
      <c r="T13" s="140">
        <f>Mitigation_Industry!T$248</f>
        <v>0</v>
      </c>
      <c r="U13" s="140">
        <f>Mitigation_Industry!U$248</f>
        <v>0</v>
      </c>
      <c r="V13" s="140">
        <f>Mitigation_Industry!V$248</f>
        <v>0</v>
      </c>
      <c r="W13" s="140">
        <f>Mitigation_Industry!W$248</f>
        <v>0</v>
      </c>
      <c r="X13" s="140">
        <f>Mitigation_Industry!X$248</f>
        <v>0</v>
      </c>
      <c r="Y13" s="140">
        <f>Mitigation_Industry!Y$248</f>
        <v>0</v>
      </c>
      <c r="Z13" s="140">
        <f>Mitigation_Industry!Z$248</f>
        <v>0</v>
      </c>
      <c r="AA13" s="140">
        <f>Mitigation_Industry!AA$248</f>
        <v>0</v>
      </c>
      <c r="AB13" s="140">
        <f>Mitigation_Industry!AB$248</f>
        <v>0</v>
      </c>
      <c r="AC13" s="140">
        <f>Mitigation_Industry!AC$248</f>
        <v>0</v>
      </c>
      <c r="AD13" s="140">
        <f>Mitigation_Industry!AD$248</f>
        <v>0</v>
      </c>
      <c r="AE13" s="140">
        <f>Mitigation_Industry!AE$248</f>
        <v>0</v>
      </c>
      <c r="AF13" s="141"/>
      <c r="AG13" s="141"/>
      <c r="AH13" s="141"/>
      <c r="AI13" s="141"/>
    </row>
    <row r="14" spans="1:35" customFormat="1" ht="14.25" x14ac:dyDescent="0.45">
      <c r="B14" s="14" t="s">
        <v>1775</v>
      </c>
      <c r="C14" s="14"/>
      <c r="D14" s="15" t="s">
        <v>2552</v>
      </c>
      <c r="E14" s="16" t="s">
        <v>1398</v>
      </c>
      <c r="F14" s="14" t="s">
        <v>1775</v>
      </c>
      <c r="G14" s="17"/>
      <c r="H14" s="17"/>
      <c r="I14" t="s">
        <v>2553</v>
      </c>
      <c r="K14" s="139"/>
      <c r="L14" s="140">
        <f>Mitigation_Industry!L$308</f>
        <v>0</v>
      </c>
      <c r="M14" s="140">
        <f>Mitigation_Industry!M$308</f>
        <v>0</v>
      </c>
      <c r="N14" s="140">
        <f>Mitigation_Industry!N$308</f>
        <v>0</v>
      </c>
      <c r="O14" s="140">
        <f>Mitigation_Industry!O$308</f>
        <v>0</v>
      </c>
      <c r="P14" s="140">
        <f>Mitigation_Industry!P$308</f>
        <v>0</v>
      </c>
      <c r="Q14" s="140">
        <f>Mitigation_Industry!Q$308</f>
        <v>0</v>
      </c>
      <c r="R14" s="140">
        <f>Mitigation_Industry!R$308</f>
        <v>0</v>
      </c>
      <c r="S14" s="140">
        <f>Mitigation_Industry!S$308</f>
        <v>0</v>
      </c>
      <c r="T14" s="140">
        <f>Mitigation_Industry!T$308</f>
        <v>0</v>
      </c>
      <c r="U14" s="140">
        <f>Mitigation_Industry!U$308</f>
        <v>0</v>
      </c>
      <c r="V14" s="140">
        <f>Mitigation_Industry!V$308</f>
        <v>0</v>
      </c>
      <c r="W14" s="140">
        <f>Mitigation_Industry!W$308</f>
        <v>0</v>
      </c>
      <c r="X14" s="140">
        <f>Mitigation_Industry!X$308</f>
        <v>0</v>
      </c>
      <c r="Y14" s="140">
        <f>Mitigation_Industry!Y$308</f>
        <v>0</v>
      </c>
      <c r="Z14" s="140">
        <f>Mitigation_Industry!Z$308</f>
        <v>0</v>
      </c>
      <c r="AA14" s="140">
        <f>Mitigation_Industry!AA$308</f>
        <v>0</v>
      </c>
      <c r="AB14" s="140">
        <f>Mitigation_Industry!AB$308</f>
        <v>0</v>
      </c>
      <c r="AC14" s="140">
        <f>Mitigation_Industry!AC$308</f>
        <v>0</v>
      </c>
      <c r="AD14" s="140">
        <f>Mitigation_Industry!AD$308</f>
        <v>0</v>
      </c>
      <c r="AE14" s="140">
        <f>Mitigation_Industry!AE$308</f>
        <v>0</v>
      </c>
      <c r="AF14" s="141"/>
      <c r="AG14" s="141"/>
      <c r="AH14" s="141"/>
      <c r="AI14" s="141"/>
    </row>
    <row r="15" spans="1:35" x14ac:dyDescent="0.35"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</row>
    <row r="16" spans="1:35" customFormat="1" ht="14.25" x14ac:dyDescent="0.45">
      <c r="A16" s="11"/>
      <c r="B16" s="6"/>
      <c r="C16" s="7" t="s">
        <v>2554</v>
      </c>
      <c r="D16" s="6" t="s">
        <v>1488</v>
      </c>
      <c r="E16" s="7" t="s">
        <v>35</v>
      </c>
      <c r="F16" s="7" t="s">
        <v>45</v>
      </c>
      <c r="G16" s="7" t="s">
        <v>37</v>
      </c>
      <c r="H16" s="12" t="s">
        <v>38</v>
      </c>
      <c r="I16" s="6" t="s">
        <v>39</v>
      </c>
      <c r="J16" s="48">
        <v>1</v>
      </c>
      <c r="K16" s="137">
        <v>2021</v>
      </c>
      <c r="L16" s="138">
        <v>2022</v>
      </c>
      <c r="M16" s="137">
        <v>2023</v>
      </c>
      <c r="N16" s="137">
        <v>2024</v>
      </c>
      <c r="O16" s="137">
        <v>2025</v>
      </c>
      <c r="P16" s="137">
        <v>2026</v>
      </c>
      <c r="Q16" s="137">
        <v>2027</v>
      </c>
      <c r="R16" s="137">
        <v>2028</v>
      </c>
      <c r="S16" s="137">
        <v>2029</v>
      </c>
      <c r="T16" s="137">
        <v>2030</v>
      </c>
      <c r="U16" s="137">
        <v>2031</v>
      </c>
      <c r="V16" s="137">
        <v>2032</v>
      </c>
      <c r="W16" s="137">
        <v>2033</v>
      </c>
      <c r="X16" s="137">
        <v>2034</v>
      </c>
      <c r="Y16" s="137">
        <v>2035</v>
      </c>
      <c r="Z16" s="137">
        <v>2036</v>
      </c>
      <c r="AA16" s="137">
        <v>2037</v>
      </c>
      <c r="AB16" s="137">
        <v>2038</v>
      </c>
      <c r="AC16" s="137">
        <v>2039</v>
      </c>
      <c r="AD16" s="137">
        <v>2040</v>
      </c>
      <c r="AE16" s="137">
        <v>2041</v>
      </c>
      <c r="AF16" s="137">
        <v>2042</v>
      </c>
      <c r="AG16" s="137">
        <v>2043</v>
      </c>
      <c r="AH16" s="137">
        <v>2044</v>
      </c>
      <c r="AI16" s="137">
        <v>2045</v>
      </c>
    </row>
    <row r="17" spans="1:35" customFormat="1" ht="14.25" x14ac:dyDescent="0.45">
      <c r="B17" s="14" t="s">
        <v>1435</v>
      </c>
      <c r="C17" s="14" t="s">
        <v>43</v>
      </c>
      <c r="D17" s="15" t="s">
        <v>2555</v>
      </c>
      <c r="E17" s="16" t="s">
        <v>1398</v>
      </c>
      <c r="F17" s="14" t="s">
        <v>2554</v>
      </c>
      <c r="G17" s="17"/>
      <c r="H17" s="128" t="str">
        <f>Settings!$B$3&amp;".mit.pf.stl.drg.1"</f>
        <v>egy.mit.pf.stl.drg.1</v>
      </c>
      <c r="I17" t="s">
        <v>2556</v>
      </c>
      <c r="K17" s="139"/>
      <c r="L17" s="140">
        <f>Mitigation_Industry!$F$299*L$12+Mitigation_Industry!$G$299*L$13</f>
        <v>0</v>
      </c>
      <c r="M17" s="140">
        <f>Mitigation_Industry!$F$299*M$12+Mitigation_Industry!$G$299*M$13</f>
        <v>0</v>
      </c>
      <c r="N17" s="140">
        <f>Mitigation_Industry!$F$299*N$12+Mitigation_Industry!$G$299*N$13</f>
        <v>0</v>
      </c>
      <c r="O17" s="140">
        <f>Mitigation_Industry!$F$299*O$12+Mitigation_Industry!$G$299*O$13</f>
        <v>0</v>
      </c>
      <c r="P17" s="140">
        <f>Mitigation_Industry!$F$299*P$12+Mitigation_Industry!$G$299*P$13</f>
        <v>0</v>
      </c>
      <c r="Q17" s="140">
        <f>Mitigation_Industry!$F$299*Q$12+Mitigation_Industry!$G$299*Q$13</f>
        <v>0</v>
      </c>
      <c r="R17" s="140">
        <f>Mitigation_Industry!$F$299*R$12+Mitigation_Industry!$G$299*R$13</f>
        <v>0</v>
      </c>
      <c r="S17" s="140">
        <f>Mitigation_Industry!$F$299*S$12+Mitigation_Industry!$G$299*S$13</f>
        <v>0</v>
      </c>
      <c r="T17" s="140">
        <f>Mitigation_Industry!$F$299*T$12+Mitigation_Industry!$G$299*T$13</f>
        <v>0</v>
      </c>
      <c r="U17" s="140">
        <f>Mitigation_Industry!$F$299*U$12+Mitigation_Industry!$G$299*U$13</f>
        <v>0</v>
      </c>
      <c r="V17" s="140">
        <f>Mitigation_Industry!$F$299*V$12+Mitigation_Industry!$G$299*V$13</f>
        <v>0</v>
      </c>
      <c r="W17" s="140">
        <f>Mitigation_Industry!$F$299*W$12+Mitigation_Industry!$G$299*W$13</f>
        <v>0</v>
      </c>
      <c r="X17" s="140">
        <f>Mitigation_Industry!$F$299*X$12+Mitigation_Industry!$G$299*X$13</f>
        <v>0</v>
      </c>
      <c r="Y17" s="140">
        <f>Mitigation_Industry!$F$299*Y$12+Mitigation_Industry!$G$299*Y$13</f>
        <v>0</v>
      </c>
      <c r="Z17" s="140">
        <f>Mitigation_Industry!$F$299*Z$12+Mitigation_Industry!$G$299*Z$13</f>
        <v>0</v>
      </c>
      <c r="AA17" s="140">
        <f>Mitigation_Industry!$F$299*AA$12+Mitigation_Industry!$G$299*AA$13</f>
        <v>0</v>
      </c>
      <c r="AB17" s="140">
        <f>Mitigation_Industry!$F$299*AB$12+Mitigation_Industry!$G$299*AB$13</f>
        <v>0</v>
      </c>
      <c r="AC17" s="140">
        <f>Mitigation_Industry!$F$299*AC$12+Mitigation_Industry!$G$299*AC$13</f>
        <v>0</v>
      </c>
      <c r="AD17" s="140">
        <f>Mitigation_Industry!$F$299*AD$12+Mitigation_Industry!$G$299*AD$13</f>
        <v>0</v>
      </c>
      <c r="AE17" s="140">
        <f>Mitigation_Industry!$F$299*AE$12+Mitigation_Industry!$G$299*AE$13</f>
        <v>0</v>
      </c>
      <c r="AF17" s="141"/>
      <c r="AG17" s="141"/>
      <c r="AH17" s="141"/>
      <c r="AI17" s="141"/>
    </row>
    <row r="18" spans="1:35" customFormat="1" ht="14.25" x14ac:dyDescent="0.45">
      <c r="B18" s="14" t="s">
        <v>1438</v>
      </c>
      <c r="C18" s="14" t="s">
        <v>43</v>
      </c>
      <c r="D18" s="15" t="s">
        <v>2557</v>
      </c>
      <c r="E18" s="16" t="s">
        <v>1398</v>
      </c>
      <c r="F18" s="14" t="s">
        <v>2554</v>
      </c>
      <c r="G18" s="17"/>
      <c r="H18" s="128" t="str">
        <f>Settings!$B$3&amp;".mit.pf.stl.scr.1"</f>
        <v>egy.mit.pf.stl.scr.1</v>
      </c>
      <c r="K18" s="139"/>
      <c r="L18" s="140">
        <f>Mitigation_Industry!$F$300*L$12+Mitigation_Industry!$G$300*L$13</f>
        <v>0</v>
      </c>
      <c r="M18" s="140">
        <f>Mitigation_Industry!$F$300*M$12+Mitigation_Industry!$G$300*M$13</f>
        <v>0</v>
      </c>
      <c r="N18" s="140">
        <f>Mitigation_Industry!$F$300*N$12+Mitigation_Industry!$G$300*N$13</f>
        <v>0</v>
      </c>
      <c r="O18" s="140">
        <f>Mitigation_Industry!$F$300*O$12+Mitigation_Industry!$G$300*O$13</f>
        <v>0</v>
      </c>
      <c r="P18" s="140">
        <f>Mitigation_Industry!$F$300*P$12+Mitigation_Industry!$G$300*P$13</f>
        <v>0</v>
      </c>
      <c r="Q18" s="140">
        <f>Mitigation_Industry!$F$300*Q$12+Mitigation_Industry!$G$300*Q$13</f>
        <v>0</v>
      </c>
      <c r="R18" s="140">
        <f>Mitigation_Industry!$F$300*R$12+Mitigation_Industry!$G$300*R$13</f>
        <v>0</v>
      </c>
      <c r="S18" s="140">
        <f>Mitigation_Industry!$F$300*S$12+Mitigation_Industry!$G$300*S$13</f>
        <v>0</v>
      </c>
      <c r="T18" s="140">
        <f>Mitigation_Industry!$F$300*T$12+Mitigation_Industry!$G$300*T$13</f>
        <v>0</v>
      </c>
      <c r="U18" s="140">
        <f>Mitigation_Industry!$F$300*U$12+Mitigation_Industry!$G$300*U$13</f>
        <v>0</v>
      </c>
      <c r="V18" s="140">
        <f>Mitigation_Industry!$F$300*V$12+Mitigation_Industry!$G$300*V$13</f>
        <v>0</v>
      </c>
      <c r="W18" s="140">
        <f>Mitigation_Industry!$F$300*W$12+Mitigation_Industry!$G$300*W$13</f>
        <v>0</v>
      </c>
      <c r="X18" s="140">
        <f>Mitigation_Industry!$F$300*X$12+Mitigation_Industry!$G$300*X$13</f>
        <v>0</v>
      </c>
      <c r="Y18" s="140">
        <f>Mitigation_Industry!$F$300*Y$12+Mitigation_Industry!$G$300*Y$13</f>
        <v>0</v>
      </c>
      <c r="Z18" s="140">
        <f>Mitigation_Industry!$F$300*Z$12+Mitigation_Industry!$G$300*Z$13</f>
        <v>0</v>
      </c>
      <c r="AA18" s="140">
        <f>Mitigation_Industry!$F$300*AA$12+Mitigation_Industry!$G$300*AA$13</f>
        <v>0</v>
      </c>
      <c r="AB18" s="140">
        <f>Mitigation_Industry!$F$300*AB$12+Mitigation_Industry!$G$300*AB$13</f>
        <v>0</v>
      </c>
      <c r="AC18" s="140">
        <f>Mitigation_Industry!$F$300*AC$12+Mitigation_Industry!$G$300*AC$13</f>
        <v>0</v>
      </c>
      <c r="AD18" s="140">
        <f>Mitigation_Industry!$F$300*AD$12+Mitigation_Industry!$G$300*AD$13</f>
        <v>0</v>
      </c>
      <c r="AE18" s="140">
        <f>Mitigation_Industry!$F$300*AE$12+Mitigation_Industry!$G$300*AE$13</f>
        <v>0</v>
      </c>
      <c r="AF18" s="141"/>
      <c r="AG18" s="141"/>
      <c r="AH18" s="141"/>
      <c r="AI18" s="141"/>
    </row>
    <row r="19" spans="1:35" customFormat="1" ht="14.25" x14ac:dyDescent="0.45">
      <c r="B19" s="14" t="s">
        <v>1441</v>
      </c>
      <c r="C19" s="14" t="s">
        <v>43</v>
      </c>
      <c r="D19" s="15" t="s">
        <v>2558</v>
      </c>
      <c r="E19" s="16" t="s">
        <v>1398</v>
      </c>
      <c r="F19" s="14" t="s">
        <v>2554</v>
      </c>
      <c r="G19" s="17"/>
      <c r="H19" s="128" t="str">
        <f>Settings!$B$3&amp;".mit.pf.stl.bof.1"</f>
        <v>egy.mit.pf.stl.bof.1</v>
      </c>
      <c r="K19" s="139"/>
      <c r="L19" s="140">
        <f>Mitigation_Industry!$F$301*L$12+Mitigation_Industry!$G$301*L$13</f>
        <v>0</v>
      </c>
      <c r="M19" s="140">
        <f>Mitigation_Industry!$F$301*M$12+Mitigation_Industry!$G$301*M$13</f>
        <v>0</v>
      </c>
      <c r="N19" s="140">
        <f>Mitigation_Industry!$F$301*N$12+Mitigation_Industry!$G$301*N$13</f>
        <v>0</v>
      </c>
      <c r="O19" s="140">
        <f>Mitigation_Industry!$F$301*O$12+Mitigation_Industry!$G$301*O$13</f>
        <v>0</v>
      </c>
      <c r="P19" s="140">
        <f>Mitigation_Industry!$F$301*P$12+Mitigation_Industry!$G$301*P$13</f>
        <v>0</v>
      </c>
      <c r="Q19" s="140">
        <f>Mitigation_Industry!$F$301*Q$12+Mitigation_Industry!$G$301*Q$13</f>
        <v>0</v>
      </c>
      <c r="R19" s="140">
        <f>Mitigation_Industry!$F$301*R$12+Mitigation_Industry!$G$301*R$13</f>
        <v>0</v>
      </c>
      <c r="S19" s="140">
        <f>Mitigation_Industry!$F$301*S$12+Mitigation_Industry!$G$301*S$13</f>
        <v>0</v>
      </c>
      <c r="T19" s="140">
        <f>Mitigation_Industry!$F$301*T$12+Mitigation_Industry!$G$301*T$13</f>
        <v>0</v>
      </c>
      <c r="U19" s="140">
        <f>Mitigation_Industry!$F$301*U$12+Mitigation_Industry!$G$301*U$13</f>
        <v>0</v>
      </c>
      <c r="V19" s="140">
        <f>Mitigation_Industry!$F$301*V$12+Mitigation_Industry!$G$301*V$13</f>
        <v>0</v>
      </c>
      <c r="W19" s="140">
        <f>Mitigation_Industry!$F$301*W$12+Mitigation_Industry!$G$301*W$13</f>
        <v>0</v>
      </c>
      <c r="X19" s="140">
        <f>Mitigation_Industry!$F$301*X$12+Mitigation_Industry!$G$301*X$13</f>
        <v>0</v>
      </c>
      <c r="Y19" s="140">
        <f>Mitigation_Industry!$F$301*Y$12+Mitigation_Industry!$G$301*Y$13</f>
        <v>0</v>
      </c>
      <c r="Z19" s="140">
        <f>Mitigation_Industry!$F$301*Z$12+Mitigation_Industry!$G$301*Z$13</f>
        <v>0</v>
      </c>
      <c r="AA19" s="140">
        <f>Mitigation_Industry!$F$301*AA$12+Mitigation_Industry!$G$301*AA$13</f>
        <v>0</v>
      </c>
      <c r="AB19" s="140">
        <f>Mitigation_Industry!$F$301*AB$12+Mitigation_Industry!$G$301*AB$13</f>
        <v>0</v>
      </c>
      <c r="AC19" s="140">
        <f>Mitigation_Industry!$F$301*AC$12+Mitigation_Industry!$G$301*AC$13</f>
        <v>0</v>
      </c>
      <c r="AD19" s="140">
        <f>Mitigation_Industry!$F$301*AD$12+Mitigation_Industry!$G$301*AD$13</f>
        <v>0</v>
      </c>
      <c r="AE19" s="140">
        <f>Mitigation_Industry!$F$301*AE$12+Mitigation_Industry!$G$301*AE$13</f>
        <v>0</v>
      </c>
      <c r="AF19" s="141"/>
      <c r="AG19" s="141"/>
      <c r="AH19" s="141"/>
      <c r="AI19" s="141"/>
    </row>
    <row r="20" spans="1:35" customFormat="1" ht="14.25" x14ac:dyDescent="0.45">
      <c r="B20" s="14" t="s">
        <v>1444</v>
      </c>
      <c r="C20" s="14" t="s">
        <v>113</v>
      </c>
      <c r="D20" s="15" t="s">
        <v>2559</v>
      </c>
      <c r="E20" s="16" t="s">
        <v>1398</v>
      </c>
      <c r="F20" s="14" t="s">
        <v>2554</v>
      </c>
      <c r="G20" s="17"/>
      <c r="H20" s="128" t="str">
        <f>Settings!$B$3&amp;".mit.pf.cmt.dry.1"</f>
        <v>egy.mit.pf.cmt.dry.1</v>
      </c>
      <c r="K20" s="139"/>
      <c r="L20" s="140">
        <f>Mitigation_Industry!$F$302*L$12+Mitigation_Industry!$G$302*L$13</f>
        <v>0</v>
      </c>
      <c r="M20" s="140">
        <f>Mitigation_Industry!$F$302*M$12+Mitigation_Industry!$G$302*M$13</f>
        <v>0</v>
      </c>
      <c r="N20" s="140">
        <f>Mitigation_Industry!$F$302*N$12+Mitigation_Industry!$G$302*N$13</f>
        <v>0</v>
      </c>
      <c r="O20" s="140">
        <f>Mitigation_Industry!$F$302*O$12+Mitigation_Industry!$G$302*O$13</f>
        <v>0</v>
      </c>
      <c r="P20" s="140">
        <f>Mitigation_Industry!$F$302*P$12+Mitigation_Industry!$G$302*P$13</f>
        <v>0</v>
      </c>
      <c r="Q20" s="140">
        <f>Mitigation_Industry!$F$302*Q$12+Mitigation_Industry!$G$302*Q$13</f>
        <v>0</v>
      </c>
      <c r="R20" s="140">
        <f>Mitigation_Industry!$F$302*R$12+Mitigation_Industry!$G$302*R$13</f>
        <v>0</v>
      </c>
      <c r="S20" s="140">
        <f>Mitigation_Industry!$F$302*S$12+Mitigation_Industry!$G$302*S$13</f>
        <v>0</v>
      </c>
      <c r="T20" s="140">
        <f>Mitigation_Industry!$F$302*T$12+Mitigation_Industry!$G$302*T$13</f>
        <v>0</v>
      </c>
      <c r="U20" s="140">
        <f>Mitigation_Industry!$F$302*U$12+Mitigation_Industry!$G$302*U$13</f>
        <v>0</v>
      </c>
      <c r="V20" s="140">
        <f>Mitigation_Industry!$F$302*V$12+Mitigation_Industry!$G$302*V$13</f>
        <v>0</v>
      </c>
      <c r="W20" s="140">
        <f>Mitigation_Industry!$F$302*W$12+Mitigation_Industry!$G$302*W$13</f>
        <v>0</v>
      </c>
      <c r="X20" s="140">
        <f>Mitigation_Industry!$F$302*X$12+Mitigation_Industry!$G$302*X$13</f>
        <v>0</v>
      </c>
      <c r="Y20" s="140">
        <f>Mitigation_Industry!$F$302*Y$12+Mitigation_Industry!$G$302*Y$13</f>
        <v>0</v>
      </c>
      <c r="Z20" s="140">
        <f>Mitigation_Industry!$F$302*Z$12+Mitigation_Industry!$G$302*Z$13</f>
        <v>0</v>
      </c>
      <c r="AA20" s="140">
        <f>Mitigation_Industry!$F$302*AA$12+Mitigation_Industry!$G$302*AA$13</f>
        <v>0</v>
      </c>
      <c r="AB20" s="140">
        <f>Mitigation_Industry!$F$302*AB$12+Mitigation_Industry!$G$302*AB$13</f>
        <v>0</v>
      </c>
      <c r="AC20" s="140">
        <f>Mitigation_Industry!$F$302*AC$12+Mitigation_Industry!$G$302*AC$13</f>
        <v>0</v>
      </c>
      <c r="AD20" s="140">
        <f>Mitigation_Industry!$F$302*AD$12+Mitigation_Industry!$G$302*AD$13</f>
        <v>0</v>
      </c>
      <c r="AE20" s="140">
        <f>Mitigation_Industry!$F$302*AE$12+Mitigation_Industry!$G$302*AE$13</f>
        <v>0</v>
      </c>
      <c r="AF20" s="141"/>
      <c r="AG20" s="141"/>
      <c r="AH20" s="141"/>
      <c r="AI20" s="141"/>
    </row>
    <row r="21" spans="1:35" customFormat="1" ht="14.25" x14ac:dyDescent="0.45">
      <c r="B21" s="14" t="s">
        <v>1447</v>
      </c>
      <c r="C21" s="14" t="s">
        <v>117</v>
      </c>
      <c r="D21" s="15" t="s">
        <v>2560</v>
      </c>
      <c r="E21" s="16" t="s">
        <v>1398</v>
      </c>
      <c r="F21" s="14" t="s">
        <v>2554</v>
      </c>
      <c r="G21" s="17"/>
      <c r="H21" s="128" t="str">
        <f>Settings!$B$3&amp;".mit.pf.frt.amc.1"</f>
        <v>egy.mit.pf.frt.amc.1</v>
      </c>
      <c r="K21" s="139"/>
      <c r="L21" s="140">
        <f>Mitigation_Industry!$F$303*L$12+Mitigation_Industry!$G$303*L$13</f>
        <v>0</v>
      </c>
      <c r="M21" s="140">
        <f>Mitigation_Industry!$F$303*M$12+Mitigation_Industry!$G$303*M$13</f>
        <v>0</v>
      </c>
      <c r="N21" s="140">
        <f>Mitigation_Industry!$F$303*N$12+Mitigation_Industry!$G$303*N$13</f>
        <v>0</v>
      </c>
      <c r="O21" s="140">
        <f>Mitigation_Industry!$F$303*O$12+Mitigation_Industry!$G$303*O$13</f>
        <v>0</v>
      </c>
      <c r="P21" s="140">
        <f>Mitigation_Industry!$F$303*P$12+Mitigation_Industry!$G$303*P$13</f>
        <v>0</v>
      </c>
      <c r="Q21" s="140">
        <f>Mitigation_Industry!$F$303*Q$12+Mitigation_Industry!$G$303*Q$13</f>
        <v>0</v>
      </c>
      <c r="R21" s="140">
        <f>Mitigation_Industry!$F$303*R$12+Mitigation_Industry!$G$303*R$13</f>
        <v>0</v>
      </c>
      <c r="S21" s="140">
        <f>Mitigation_Industry!$F$303*S$12+Mitigation_Industry!$G$303*S$13</f>
        <v>0</v>
      </c>
      <c r="T21" s="140">
        <f>Mitigation_Industry!$F$303*T$12+Mitigation_Industry!$G$303*T$13</f>
        <v>0</v>
      </c>
      <c r="U21" s="140">
        <f>Mitigation_Industry!$F$303*U$12+Mitigation_Industry!$G$303*U$13</f>
        <v>0</v>
      </c>
      <c r="V21" s="140">
        <f>Mitigation_Industry!$F$303*V$12+Mitigation_Industry!$G$303*V$13</f>
        <v>0</v>
      </c>
      <c r="W21" s="140">
        <f>Mitigation_Industry!$F$303*W$12+Mitigation_Industry!$G$303*W$13</f>
        <v>0</v>
      </c>
      <c r="X21" s="140">
        <f>Mitigation_Industry!$F$303*X$12+Mitigation_Industry!$G$303*X$13</f>
        <v>0</v>
      </c>
      <c r="Y21" s="140">
        <f>Mitigation_Industry!$F$303*Y$12+Mitigation_Industry!$G$303*Y$13</f>
        <v>0</v>
      </c>
      <c r="Z21" s="140">
        <f>Mitigation_Industry!$F$303*Z$12+Mitigation_Industry!$G$303*Z$13</f>
        <v>0</v>
      </c>
      <c r="AA21" s="140">
        <f>Mitigation_Industry!$F$303*AA$12+Mitigation_Industry!$G$303*AA$13</f>
        <v>0</v>
      </c>
      <c r="AB21" s="140">
        <f>Mitigation_Industry!$F$303*AB$12+Mitigation_Industry!$G$303*AB$13</f>
        <v>0</v>
      </c>
      <c r="AC21" s="140">
        <f>Mitigation_Industry!$F$303*AC$12+Mitigation_Industry!$G$303*AC$13</f>
        <v>0</v>
      </c>
      <c r="AD21" s="140">
        <f>Mitigation_Industry!$F$303*AD$12+Mitigation_Industry!$G$303*AD$13</f>
        <v>0</v>
      </c>
      <c r="AE21" s="140">
        <f>Mitigation_Industry!$F$303*AE$12+Mitigation_Industry!$G$303*AE$13</f>
        <v>0</v>
      </c>
      <c r="AF21" s="141"/>
      <c r="AG21" s="141"/>
      <c r="AH21" s="141"/>
      <c r="AI21" s="141"/>
    </row>
    <row r="22" spans="1:35" customFormat="1" ht="14.25" x14ac:dyDescent="0.45">
      <c r="B22" s="14" t="s">
        <v>1450</v>
      </c>
      <c r="C22" s="14" t="s">
        <v>117</v>
      </c>
      <c r="D22" s="15" t="s">
        <v>2561</v>
      </c>
      <c r="E22" s="16" t="s">
        <v>1398</v>
      </c>
      <c r="F22" s="14" t="s">
        <v>2554</v>
      </c>
      <c r="G22" s="17"/>
      <c r="H22" s="128" t="str">
        <f>Settings!$B$3&amp;".mit.pf.frt.ure.1"</f>
        <v>egy.mit.pf.frt.ure.1</v>
      </c>
      <c r="K22" s="139"/>
      <c r="L22" s="140">
        <f>Mitigation_Industry!$F$304*L$12+Mitigation_Industry!$G$304*L$13</f>
        <v>0</v>
      </c>
      <c r="M22" s="140">
        <f>Mitigation_Industry!$F$304*M$12+Mitigation_Industry!$G$304*M$13</f>
        <v>0</v>
      </c>
      <c r="N22" s="140">
        <f>Mitigation_Industry!$F$304*N$12+Mitigation_Industry!$G$304*N$13</f>
        <v>0</v>
      </c>
      <c r="O22" s="140">
        <f>Mitigation_Industry!$F$304*O$12+Mitigation_Industry!$G$304*O$13</f>
        <v>0</v>
      </c>
      <c r="P22" s="140">
        <f>Mitigation_Industry!$F$304*P$12+Mitigation_Industry!$G$304*P$13</f>
        <v>0</v>
      </c>
      <c r="Q22" s="140">
        <f>Mitigation_Industry!$F$304*Q$12+Mitigation_Industry!$G$304*Q$13</f>
        <v>0</v>
      </c>
      <c r="R22" s="140">
        <f>Mitigation_Industry!$F$304*R$12+Mitigation_Industry!$G$304*R$13</f>
        <v>0</v>
      </c>
      <c r="S22" s="140">
        <f>Mitigation_Industry!$F$304*S$12+Mitigation_Industry!$G$304*S$13</f>
        <v>0</v>
      </c>
      <c r="T22" s="140">
        <f>Mitigation_Industry!$F$304*T$12+Mitigation_Industry!$G$304*T$13</f>
        <v>0</v>
      </c>
      <c r="U22" s="140">
        <f>Mitigation_Industry!$F$304*U$12+Mitigation_Industry!$G$304*U$13</f>
        <v>0</v>
      </c>
      <c r="V22" s="140">
        <f>Mitigation_Industry!$F$304*V$12+Mitigation_Industry!$G$304*V$13</f>
        <v>0</v>
      </c>
      <c r="W22" s="140">
        <f>Mitigation_Industry!$F$304*W$12+Mitigation_Industry!$G$304*W$13</f>
        <v>0</v>
      </c>
      <c r="X22" s="140">
        <f>Mitigation_Industry!$F$304*X$12+Mitigation_Industry!$G$304*X$13</f>
        <v>0</v>
      </c>
      <c r="Y22" s="140">
        <f>Mitigation_Industry!$F$304*Y$12+Mitigation_Industry!$G$304*Y$13</f>
        <v>0</v>
      </c>
      <c r="Z22" s="140">
        <f>Mitigation_Industry!$F$304*Z$12+Mitigation_Industry!$G$304*Z$13</f>
        <v>0</v>
      </c>
      <c r="AA22" s="140">
        <f>Mitigation_Industry!$F$304*AA$12+Mitigation_Industry!$G$304*AA$13</f>
        <v>0</v>
      </c>
      <c r="AB22" s="140">
        <f>Mitigation_Industry!$F$304*AB$12+Mitigation_Industry!$G$304*AB$13</f>
        <v>0</v>
      </c>
      <c r="AC22" s="140">
        <f>Mitigation_Industry!$F$304*AC$12+Mitigation_Industry!$G$304*AC$13</f>
        <v>0</v>
      </c>
      <c r="AD22" s="140">
        <f>Mitigation_Industry!$F$304*AD$12+Mitigation_Industry!$G$304*AD$13</f>
        <v>0</v>
      </c>
      <c r="AE22" s="140">
        <f>Mitigation_Industry!$F$304*AE$12+Mitigation_Industry!$G$304*AE$13</f>
        <v>0</v>
      </c>
      <c r="AF22" s="141"/>
      <c r="AG22" s="141"/>
      <c r="AH22" s="141"/>
      <c r="AI22" s="141"/>
    </row>
    <row r="23" spans="1:35" customFormat="1" ht="14.25" x14ac:dyDescent="0.45">
      <c r="B23" s="14" t="s">
        <v>1453</v>
      </c>
      <c r="C23" s="14" t="s">
        <v>117</v>
      </c>
      <c r="D23" s="15" t="s">
        <v>2562</v>
      </c>
      <c r="E23" s="16" t="s">
        <v>1398</v>
      </c>
      <c r="F23" s="14" t="s">
        <v>2554</v>
      </c>
      <c r="G23" s="17"/>
      <c r="H23" s="128" t="str">
        <f>Settings!$B$3&amp;".mit.pf.frt.nit.1"</f>
        <v>egy.mit.pf.frt.nit.1</v>
      </c>
      <c r="K23" s="139"/>
      <c r="L23" s="140">
        <f>Mitigation_Industry!$F$305*L$12+Mitigation_Industry!$G$305*L$13</f>
        <v>0</v>
      </c>
      <c r="M23" s="140">
        <f>Mitigation_Industry!$F$305*M$12+Mitigation_Industry!$G$305*M$13</f>
        <v>0</v>
      </c>
      <c r="N23" s="140">
        <f>Mitigation_Industry!$F$305*N$12+Mitigation_Industry!$G$305*N$13</f>
        <v>0</v>
      </c>
      <c r="O23" s="140">
        <f>Mitigation_Industry!$F$305*O$12+Mitigation_Industry!$G$305*O$13</f>
        <v>0</v>
      </c>
      <c r="P23" s="140">
        <f>Mitigation_Industry!$F$305*P$12+Mitigation_Industry!$G$305*P$13</f>
        <v>0</v>
      </c>
      <c r="Q23" s="140">
        <f>Mitigation_Industry!$F$305*Q$12+Mitigation_Industry!$G$305*Q$13</f>
        <v>0</v>
      </c>
      <c r="R23" s="140">
        <f>Mitigation_Industry!$F$305*R$12+Mitigation_Industry!$G$305*R$13</f>
        <v>0</v>
      </c>
      <c r="S23" s="140">
        <f>Mitigation_Industry!$F$305*S$12+Mitigation_Industry!$G$305*S$13</f>
        <v>0</v>
      </c>
      <c r="T23" s="140">
        <f>Mitigation_Industry!$F$305*T$12+Mitigation_Industry!$G$305*T$13</f>
        <v>0</v>
      </c>
      <c r="U23" s="140">
        <f>Mitigation_Industry!$F$305*U$12+Mitigation_Industry!$G$305*U$13</f>
        <v>0</v>
      </c>
      <c r="V23" s="140">
        <f>Mitigation_Industry!$F$305*V$12+Mitigation_Industry!$G$305*V$13</f>
        <v>0</v>
      </c>
      <c r="W23" s="140">
        <f>Mitigation_Industry!$F$305*W$12+Mitigation_Industry!$G$305*W$13</f>
        <v>0</v>
      </c>
      <c r="X23" s="140">
        <f>Mitigation_Industry!$F$305*X$12+Mitigation_Industry!$G$305*X$13</f>
        <v>0</v>
      </c>
      <c r="Y23" s="140">
        <f>Mitigation_Industry!$F$305*Y$12+Mitigation_Industry!$G$305*Y$13</f>
        <v>0</v>
      </c>
      <c r="Z23" s="140">
        <f>Mitigation_Industry!$F$305*Z$12+Mitigation_Industry!$G$305*Z$13</f>
        <v>0</v>
      </c>
      <c r="AA23" s="140">
        <f>Mitigation_Industry!$F$305*AA$12+Mitigation_Industry!$G$305*AA$13</f>
        <v>0</v>
      </c>
      <c r="AB23" s="140">
        <f>Mitigation_Industry!$F$305*AB$12+Mitigation_Industry!$G$305*AB$13</f>
        <v>0</v>
      </c>
      <c r="AC23" s="140">
        <f>Mitigation_Industry!$F$305*AC$12+Mitigation_Industry!$G$305*AC$13</f>
        <v>0</v>
      </c>
      <c r="AD23" s="140">
        <f>Mitigation_Industry!$F$305*AD$12+Mitigation_Industry!$G$305*AD$13</f>
        <v>0</v>
      </c>
      <c r="AE23" s="140">
        <f>Mitigation_Industry!$F$305*AE$12+Mitigation_Industry!$G$305*AE$13</f>
        <v>0</v>
      </c>
      <c r="AF23" s="141"/>
      <c r="AG23" s="141"/>
      <c r="AH23" s="141"/>
      <c r="AI23" s="141"/>
    </row>
    <row r="24" spans="1:35" customFormat="1" ht="14.25" x14ac:dyDescent="0.45">
      <c r="B24" s="14" t="s">
        <v>1456</v>
      </c>
      <c r="C24" s="14" t="s">
        <v>115</v>
      </c>
      <c r="D24" s="15" t="s">
        <v>2563</v>
      </c>
      <c r="E24" s="16" t="s">
        <v>1398</v>
      </c>
      <c r="F24" s="14" t="s">
        <v>2554</v>
      </c>
      <c r="G24" s="17"/>
      <c r="H24" s="128" t="str">
        <f>Settings!$B$3&amp;".mit.pf.alu.prp.1"</f>
        <v>egy.mit.pf.alu.prp.1</v>
      </c>
      <c r="K24" s="139"/>
      <c r="L24" s="140">
        <f>Mitigation_Industry!$F$306*L$12+Mitigation_Industry!$G$306*L$13</f>
        <v>0</v>
      </c>
      <c r="M24" s="140">
        <f>Mitigation_Industry!$F$306*M$12+Mitigation_Industry!$G$306*M$13</f>
        <v>0</v>
      </c>
      <c r="N24" s="140">
        <f>Mitigation_Industry!$F$306*N$12+Mitigation_Industry!$G$306*N$13</f>
        <v>0</v>
      </c>
      <c r="O24" s="140">
        <f>Mitigation_Industry!$F$306*O$12+Mitigation_Industry!$G$306*O$13</f>
        <v>0</v>
      </c>
      <c r="P24" s="140">
        <f>Mitigation_Industry!$F$306*P$12+Mitigation_Industry!$G$306*P$13</f>
        <v>0</v>
      </c>
      <c r="Q24" s="140">
        <f>Mitigation_Industry!$F$306*Q$12+Mitigation_Industry!$G$306*Q$13</f>
        <v>0</v>
      </c>
      <c r="R24" s="140">
        <f>Mitigation_Industry!$F$306*R$12+Mitigation_Industry!$G$306*R$13</f>
        <v>0</v>
      </c>
      <c r="S24" s="140">
        <f>Mitigation_Industry!$F$306*S$12+Mitigation_Industry!$G$306*S$13</f>
        <v>0</v>
      </c>
      <c r="T24" s="140">
        <f>Mitigation_Industry!$F$306*T$12+Mitigation_Industry!$G$306*T$13</f>
        <v>0</v>
      </c>
      <c r="U24" s="140">
        <f>Mitigation_Industry!$F$306*U$12+Mitigation_Industry!$G$306*U$13</f>
        <v>0</v>
      </c>
      <c r="V24" s="140">
        <f>Mitigation_Industry!$F$306*V$12+Mitigation_Industry!$G$306*V$13</f>
        <v>0</v>
      </c>
      <c r="W24" s="140">
        <f>Mitigation_Industry!$F$306*W$12+Mitigation_Industry!$G$306*W$13</f>
        <v>0</v>
      </c>
      <c r="X24" s="140">
        <f>Mitigation_Industry!$F$306*X$12+Mitigation_Industry!$G$306*X$13</f>
        <v>0</v>
      </c>
      <c r="Y24" s="140">
        <f>Mitigation_Industry!$F$306*Y$12+Mitigation_Industry!$G$306*Y$13</f>
        <v>0</v>
      </c>
      <c r="Z24" s="140">
        <f>Mitigation_Industry!$F$306*Z$12+Mitigation_Industry!$G$306*Z$13</f>
        <v>0</v>
      </c>
      <c r="AA24" s="140">
        <f>Mitigation_Industry!$F$306*AA$12+Mitigation_Industry!$G$306*AA$13</f>
        <v>0</v>
      </c>
      <c r="AB24" s="140">
        <f>Mitigation_Industry!$F$306*AB$12+Mitigation_Industry!$G$306*AB$13</f>
        <v>0</v>
      </c>
      <c r="AC24" s="140">
        <f>Mitigation_Industry!$F$306*AC$12+Mitigation_Industry!$G$306*AC$13</f>
        <v>0</v>
      </c>
      <c r="AD24" s="140">
        <f>Mitigation_Industry!$F$306*AD$12+Mitigation_Industry!$G$306*AD$13</f>
        <v>0</v>
      </c>
      <c r="AE24" s="140">
        <f>Mitigation_Industry!$F$306*AE$12+Mitigation_Industry!$G$306*AE$13</f>
        <v>0</v>
      </c>
      <c r="AF24" s="141"/>
      <c r="AG24" s="141"/>
      <c r="AH24" s="141"/>
      <c r="AI24" s="141"/>
    </row>
    <row r="25" spans="1:35" x14ac:dyDescent="0.35"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</row>
    <row r="26" spans="1:35" customFormat="1" ht="14.25" x14ac:dyDescent="0.45">
      <c r="A26" s="11"/>
      <c r="B26" s="6"/>
      <c r="C26" s="7" t="s">
        <v>2564</v>
      </c>
      <c r="D26" s="6" t="s">
        <v>1488</v>
      </c>
      <c r="E26" s="7" t="s">
        <v>35</v>
      </c>
      <c r="F26" s="7" t="s">
        <v>45</v>
      </c>
      <c r="G26" s="7" t="s">
        <v>37</v>
      </c>
      <c r="H26" s="12" t="s">
        <v>38</v>
      </c>
      <c r="I26" s="6" t="s">
        <v>39</v>
      </c>
      <c r="J26" s="48">
        <v>1</v>
      </c>
      <c r="K26" s="137">
        <v>2021</v>
      </c>
      <c r="L26" s="138">
        <v>2022</v>
      </c>
      <c r="M26" s="137">
        <v>2023</v>
      </c>
      <c r="N26" s="137">
        <v>2024</v>
      </c>
      <c r="O26" s="137">
        <v>2025</v>
      </c>
      <c r="P26" s="137">
        <v>2026</v>
      </c>
      <c r="Q26" s="137">
        <v>2027</v>
      </c>
      <c r="R26" s="137">
        <v>2028</v>
      </c>
      <c r="S26" s="137">
        <v>2029</v>
      </c>
      <c r="T26" s="137">
        <v>2030</v>
      </c>
      <c r="U26" s="137">
        <v>2031</v>
      </c>
      <c r="V26" s="137">
        <v>2032</v>
      </c>
      <c r="W26" s="137">
        <v>2033</v>
      </c>
      <c r="X26" s="137">
        <v>2034</v>
      </c>
      <c r="Y26" s="137">
        <v>2035</v>
      </c>
      <c r="Z26" s="137">
        <v>2036</v>
      </c>
      <c r="AA26" s="137">
        <v>2037</v>
      </c>
      <c r="AB26" s="137">
        <v>2038</v>
      </c>
      <c r="AC26" s="137">
        <v>2039</v>
      </c>
      <c r="AD26" s="137">
        <v>2040</v>
      </c>
      <c r="AE26" s="137">
        <v>2041</v>
      </c>
      <c r="AF26" s="137">
        <v>2042</v>
      </c>
      <c r="AG26" s="137">
        <v>2043</v>
      </c>
      <c r="AH26" s="137">
        <v>2044</v>
      </c>
      <c r="AI26" s="137">
        <v>2045</v>
      </c>
    </row>
    <row r="27" spans="1:35" customFormat="1" ht="14.25" x14ac:dyDescent="0.45">
      <c r="B27" s="14" t="s">
        <v>2565</v>
      </c>
      <c r="C27" s="14" t="s">
        <v>43</v>
      </c>
      <c r="D27" s="15" t="s">
        <v>2566</v>
      </c>
      <c r="E27" s="16" t="s">
        <v>1398</v>
      </c>
      <c r="F27" s="14" t="s">
        <v>2564</v>
      </c>
      <c r="G27" s="17"/>
      <c r="H27" s="128" t="str">
        <f>Settings!$B$3&amp;".mit.pp.stl.drg.np.1"</f>
        <v>egy.mit.pp.stl.drg.np.1</v>
      </c>
      <c r="I27" t="s">
        <v>2567</v>
      </c>
      <c r="K27" s="139"/>
      <c r="L27" s="140">
        <f>Mitigation_Industry!$F$310*L$14+Mitigation_Industry!$G$310*L$13</f>
        <v>0</v>
      </c>
      <c r="M27" s="140">
        <f>Mitigation_Industry!$F$310*M$14+Mitigation_Industry!$G$310*M$13</f>
        <v>0</v>
      </c>
      <c r="N27" s="140">
        <f>Mitigation_Industry!$F$310*N$14+Mitigation_Industry!$G$310*N$13</f>
        <v>0</v>
      </c>
      <c r="O27" s="140">
        <f>Mitigation_Industry!$F$310*O$14+Mitigation_Industry!$G$310*O$13</f>
        <v>0</v>
      </c>
      <c r="P27" s="140">
        <f>Mitigation_Industry!$F$310*P$14+Mitigation_Industry!$G$310*P$13</f>
        <v>0</v>
      </c>
      <c r="Q27" s="140">
        <f>Mitigation_Industry!$F$310*Q$14+Mitigation_Industry!$G$310*Q$13</f>
        <v>0</v>
      </c>
      <c r="R27" s="140">
        <f>Mitigation_Industry!$F$310*R$14+Mitigation_Industry!$G$310*R$13</f>
        <v>0</v>
      </c>
      <c r="S27" s="140">
        <f>Mitigation_Industry!$F$310*S$14+Mitigation_Industry!$G$310*S$13</f>
        <v>0</v>
      </c>
      <c r="T27" s="140">
        <f>Mitigation_Industry!$F$310*T$14+Mitigation_Industry!$G$310*T$13</f>
        <v>0</v>
      </c>
      <c r="U27" s="140">
        <f>Mitigation_Industry!$F$310*U$14+Mitigation_Industry!$G$310*U$13</f>
        <v>0</v>
      </c>
      <c r="V27" s="140">
        <f>Mitigation_Industry!$F$310*V$14+Mitigation_Industry!$G$310*V$13</f>
        <v>0</v>
      </c>
      <c r="W27" s="140">
        <f>Mitigation_Industry!$F$310*W$14+Mitigation_Industry!$G$310*W$13</f>
        <v>0</v>
      </c>
      <c r="X27" s="140">
        <f>Mitigation_Industry!$F$310*X$14+Mitigation_Industry!$G$310*X$13</f>
        <v>0</v>
      </c>
      <c r="Y27" s="140">
        <f>Mitigation_Industry!$F$310*Y$14+Mitigation_Industry!$G$310*Y$13</f>
        <v>0</v>
      </c>
      <c r="Z27" s="140">
        <f>Mitigation_Industry!$F$310*Z$14+Mitigation_Industry!$G$310*Z$13</f>
        <v>0</v>
      </c>
      <c r="AA27" s="140">
        <f>Mitigation_Industry!$F$310*AA$14+Mitigation_Industry!$G$310*AA$13</f>
        <v>0</v>
      </c>
      <c r="AB27" s="140">
        <f>Mitigation_Industry!$F$310*AB$14+Mitigation_Industry!$G$310*AB$13</f>
        <v>0</v>
      </c>
      <c r="AC27" s="140">
        <f>Mitigation_Industry!$F$310*AC$14+Mitigation_Industry!$G$310*AC$13</f>
        <v>0</v>
      </c>
      <c r="AD27" s="140">
        <f>Mitigation_Industry!$F$310*AD$14+Mitigation_Industry!$G$310*AD$13</f>
        <v>0</v>
      </c>
      <c r="AE27" s="140">
        <f>Mitigation_Industry!$F$310*AE$14+Mitigation_Industry!$G$310*AE$13</f>
        <v>0</v>
      </c>
      <c r="AF27" s="141"/>
      <c r="AG27" s="141"/>
      <c r="AH27" s="141"/>
      <c r="AI27" s="141"/>
    </row>
    <row r="28" spans="1:35" customFormat="1" ht="14.25" x14ac:dyDescent="0.45">
      <c r="B28" s="14" t="s">
        <v>2568</v>
      </c>
      <c r="C28" s="14" t="s">
        <v>43</v>
      </c>
      <c r="D28" s="15" t="s">
        <v>2569</v>
      </c>
      <c r="E28" s="16" t="s">
        <v>1398</v>
      </c>
      <c r="F28" s="14" t="s">
        <v>2564</v>
      </c>
      <c r="G28" s="17"/>
      <c r="H28" s="128" t="str">
        <f>Settings!$B$3&amp;".mit.pp.stl.scr.np.1"</f>
        <v>egy.mit.pp.stl.scr.np.1</v>
      </c>
      <c r="K28" s="139"/>
      <c r="L28" s="140">
        <f>Mitigation_Industry!$F$311*L$14+Mitigation_Industry!$G$311*L$13</f>
        <v>0</v>
      </c>
      <c r="M28" s="140">
        <f>Mitigation_Industry!$F$311*M$14+Mitigation_Industry!$G$311*M$13</f>
        <v>0</v>
      </c>
      <c r="N28" s="140">
        <f>Mitigation_Industry!$F$311*N$14+Mitigation_Industry!$G$311*N$13</f>
        <v>0</v>
      </c>
      <c r="O28" s="140">
        <f>Mitigation_Industry!$F$311*O$14+Mitigation_Industry!$G$311*O$13</f>
        <v>0</v>
      </c>
      <c r="P28" s="140">
        <f>Mitigation_Industry!$F$311*P$14+Mitigation_Industry!$G$311*P$13</f>
        <v>0</v>
      </c>
      <c r="Q28" s="140">
        <f>Mitigation_Industry!$F$311*Q$14+Mitigation_Industry!$G$311*Q$13</f>
        <v>0</v>
      </c>
      <c r="R28" s="140">
        <f>Mitigation_Industry!$F$311*R$14+Mitigation_Industry!$G$311*R$13</f>
        <v>0</v>
      </c>
      <c r="S28" s="140">
        <f>Mitigation_Industry!$F$311*S$14+Mitigation_Industry!$G$311*S$13</f>
        <v>0</v>
      </c>
      <c r="T28" s="140">
        <f>Mitigation_Industry!$F$311*T$14+Mitigation_Industry!$G$311*T$13</f>
        <v>0</v>
      </c>
      <c r="U28" s="140">
        <f>Mitigation_Industry!$F$311*U$14+Mitigation_Industry!$G$311*U$13</f>
        <v>0</v>
      </c>
      <c r="V28" s="140">
        <f>Mitigation_Industry!$F$311*V$14+Mitigation_Industry!$G$311*V$13</f>
        <v>0</v>
      </c>
      <c r="W28" s="140">
        <f>Mitigation_Industry!$F$311*W$14+Mitigation_Industry!$G$311*W$13</f>
        <v>0</v>
      </c>
      <c r="X28" s="140">
        <f>Mitigation_Industry!$F$311*X$14+Mitigation_Industry!$G$311*X$13</f>
        <v>0</v>
      </c>
      <c r="Y28" s="140">
        <f>Mitigation_Industry!$F$311*Y$14+Mitigation_Industry!$G$311*Y$13</f>
        <v>0</v>
      </c>
      <c r="Z28" s="140">
        <f>Mitigation_Industry!$F$311*Z$14+Mitigation_Industry!$G$311*Z$13</f>
        <v>0</v>
      </c>
      <c r="AA28" s="140">
        <f>Mitigation_Industry!$F$311*AA$14+Mitigation_Industry!$G$311*AA$13</f>
        <v>0</v>
      </c>
      <c r="AB28" s="140">
        <f>Mitigation_Industry!$F$311*AB$14+Mitigation_Industry!$G$311*AB$13</f>
        <v>0</v>
      </c>
      <c r="AC28" s="140">
        <f>Mitigation_Industry!$F$311*AC$14+Mitigation_Industry!$G$311*AC$13</f>
        <v>0</v>
      </c>
      <c r="AD28" s="140">
        <f>Mitigation_Industry!$F$311*AD$14+Mitigation_Industry!$G$311*AD$13</f>
        <v>0</v>
      </c>
      <c r="AE28" s="140">
        <f>Mitigation_Industry!$F$311*AE$14+Mitigation_Industry!$G$311*AE$13</f>
        <v>0</v>
      </c>
      <c r="AF28" s="141"/>
      <c r="AG28" s="141"/>
      <c r="AH28" s="141"/>
      <c r="AI28" s="141"/>
    </row>
    <row r="29" spans="1:35" customFormat="1" ht="14.25" x14ac:dyDescent="0.45">
      <c r="B29" s="14" t="s">
        <v>2570</v>
      </c>
      <c r="C29" s="14" t="s">
        <v>43</v>
      </c>
      <c r="D29" s="15" t="s">
        <v>2571</v>
      </c>
      <c r="E29" s="16" t="s">
        <v>1398</v>
      </c>
      <c r="F29" s="14" t="s">
        <v>2564</v>
      </c>
      <c r="G29" s="17"/>
      <c r="H29" s="128" t="str">
        <f>Settings!$B$3&amp;".mit.pp.stl.bof.np.1"</f>
        <v>egy.mit.pp.stl.bof.np.1</v>
      </c>
      <c r="K29" s="139"/>
      <c r="L29" s="140">
        <f>Mitigation_Industry!$F$312*L$14+Mitigation_Industry!$G$312*L$13</f>
        <v>0</v>
      </c>
      <c r="M29" s="140">
        <f>Mitigation_Industry!$F$312*M$14+Mitigation_Industry!$G$312*M$13</f>
        <v>0</v>
      </c>
      <c r="N29" s="140">
        <f>Mitigation_Industry!$F$312*N$14+Mitigation_Industry!$G$312*N$13</f>
        <v>0</v>
      </c>
      <c r="O29" s="140">
        <f>Mitigation_Industry!$F$312*O$14+Mitigation_Industry!$G$312*O$13</f>
        <v>0</v>
      </c>
      <c r="P29" s="140">
        <f>Mitigation_Industry!$F$312*P$14+Mitigation_Industry!$G$312*P$13</f>
        <v>0</v>
      </c>
      <c r="Q29" s="140">
        <f>Mitigation_Industry!$F$312*Q$14+Mitigation_Industry!$G$312*Q$13</f>
        <v>0</v>
      </c>
      <c r="R29" s="140">
        <f>Mitigation_Industry!$F$312*R$14+Mitigation_Industry!$G$312*R$13</f>
        <v>0</v>
      </c>
      <c r="S29" s="140">
        <f>Mitigation_Industry!$F$312*S$14+Mitigation_Industry!$G$312*S$13</f>
        <v>0</v>
      </c>
      <c r="T29" s="140">
        <f>Mitigation_Industry!$F$312*T$14+Mitigation_Industry!$G$312*T$13</f>
        <v>0</v>
      </c>
      <c r="U29" s="140">
        <f>Mitigation_Industry!$F$312*U$14+Mitigation_Industry!$G$312*U$13</f>
        <v>0</v>
      </c>
      <c r="V29" s="140">
        <f>Mitigation_Industry!$F$312*V$14+Mitigation_Industry!$G$312*V$13</f>
        <v>0</v>
      </c>
      <c r="W29" s="140">
        <f>Mitigation_Industry!$F$312*W$14+Mitigation_Industry!$G$312*W$13</f>
        <v>0</v>
      </c>
      <c r="X29" s="140">
        <f>Mitigation_Industry!$F$312*X$14+Mitigation_Industry!$G$312*X$13</f>
        <v>0</v>
      </c>
      <c r="Y29" s="140">
        <f>Mitigation_Industry!$F$312*Y$14+Mitigation_Industry!$G$312*Y$13</f>
        <v>0</v>
      </c>
      <c r="Z29" s="140">
        <f>Mitigation_Industry!$F$312*Z$14+Mitigation_Industry!$G$312*Z$13</f>
        <v>0</v>
      </c>
      <c r="AA29" s="140">
        <f>Mitigation_Industry!$F$312*AA$14+Mitigation_Industry!$G$312*AA$13</f>
        <v>0</v>
      </c>
      <c r="AB29" s="140">
        <f>Mitigation_Industry!$F$312*AB$14+Mitigation_Industry!$G$312*AB$13</f>
        <v>0</v>
      </c>
      <c r="AC29" s="140">
        <f>Mitigation_Industry!$F$312*AC$14+Mitigation_Industry!$G$312*AC$13</f>
        <v>0</v>
      </c>
      <c r="AD29" s="140">
        <f>Mitigation_Industry!$F$312*AD$14+Mitigation_Industry!$G$312*AD$13</f>
        <v>0</v>
      </c>
      <c r="AE29" s="140">
        <f>Mitigation_Industry!$F$312*AE$14+Mitigation_Industry!$G$312*AE$13</f>
        <v>0</v>
      </c>
      <c r="AF29" s="141"/>
      <c r="AG29" s="141"/>
      <c r="AH29" s="141"/>
      <c r="AI29" s="141"/>
    </row>
    <row r="30" spans="1:35" customFormat="1" ht="14.25" x14ac:dyDescent="0.45">
      <c r="B30" s="14" t="s">
        <v>2572</v>
      </c>
      <c r="C30" s="14" t="s">
        <v>113</v>
      </c>
      <c r="D30" s="15" t="s">
        <v>2573</v>
      </c>
      <c r="E30" s="16" t="s">
        <v>1398</v>
      </c>
      <c r="F30" s="14" t="s">
        <v>2564</v>
      </c>
      <c r="G30" s="17"/>
      <c r="H30" s="128" t="str">
        <f>Settings!$B$3&amp;".mit.pp.cmt.dry.np.1"</f>
        <v>egy.mit.pp.cmt.dry.np.1</v>
      </c>
      <c r="K30" s="139"/>
      <c r="L30" s="140">
        <f>Mitigation_Industry!$F$313*L$14+Mitigation_Industry!$G$313*L$13</f>
        <v>0</v>
      </c>
      <c r="M30" s="140">
        <f>Mitigation_Industry!$F$313*M$14+Mitigation_Industry!$G$313*M$13</f>
        <v>0</v>
      </c>
      <c r="N30" s="140">
        <f>Mitigation_Industry!$F$313*N$14+Mitigation_Industry!$G$313*N$13</f>
        <v>0</v>
      </c>
      <c r="O30" s="140">
        <f>Mitigation_Industry!$F$313*O$14+Mitigation_Industry!$G$313*O$13</f>
        <v>0</v>
      </c>
      <c r="P30" s="140">
        <f>Mitigation_Industry!$F$313*P$14+Mitigation_Industry!$G$313*P$13</f>
        <v>0</v>
      </c>
      <c r="Q30" s="140">
        <f>Mitigation_Industry!$F$313*Q$14+Mitigation_Industry!$G$313*Q$13</f>
        <v>0</v>
      </c>
      <c r="R30" s="140">
        <f>Mitigation_Industry!$F$313*R$14+Mitigation_Industry!$G$313*R$13</f>
        <v>0</v>
      </c>
      <c r="S30" s="140">
        <f>Mitigation_Industry!$F$313*S$14+Mitigation_Industry!$G$313*S$13</f>
        <v>0</v>
      </c>
      <c r="T30" s="140">
        <f>Mitigation_Industry!$F$313*T$14+Mitigation_Industry!$G$313*T$13</f>
        <v>0</v>
      </c>
      <c r="U30" s="140">
        <f>Mitigation_Industry!$F$313*U$14+Mitigation_Industry!$G$313*U$13</f>
        <v>0</v>
      </c>
      <c r="V30" s="140">
        <f>Mitigation_Industry!$F$313*V$14+Mitigation_Industry!$G$313*V$13</f>
        <v>0</v>
      </c>
      <c r="W30" s="140">
        <f>Mitigation_Industry!$F$313*W$14+Mitigation_Industry!$G$313*W$13</f>
        <v>0</v>
      </c>
      <c r="X30" s="140">
        <f>Mitigation_Industry!$F$313*X$14+Mitigation_Industry!$G$313*X$13</f>
        <v>0</v>
      </c>
      <c r="Y30" s="140">
        <f>Mitigation_Industry!$F$313*Y$14+Mitigation_Industry!$G$313*Y$13</f>
        <v>0</v>
      </c>
      <c r="Z30" s="140">
        <f>Mitigation_Industry!$F$313*Z$14+Mitigation_Industry!$G$313*Z$13</f>
        <v>0</v>
      </c>
      <c r="AA30" s="140">
        <f>Mitigation_Industry!$F$313*AA$14+Mitigation_Industry!$G$313*AA$13</f>
        <v>0</v>
      </c>
      <c r="AB30" s="140">
        <f>Mitigation_Industry!$F$313*AB$14+Mitigation_Industry!$G$313*AB$13</f>
        <v>0</v>
      </c>
      <c r="AC30" s="140">
        <f>Mitigation_Industry!$F$313*AC$14+Mitigation_Industry!$G$313*AC$13</f>
        <v>0</v>
      </c>
      <c r="AD30" s="140">
        <f>Mitigation_Industry!$F$313*AD$14+Mitigation_Industry!$G$313*AD$13</f>
        <v>0</v>
      </c>
      <c r="AE30" s="140">
        <f>Mitigation_Industry!$F$313*AE$14+Mitigation_Industry!$G$313*AE$13</f>
        <v>0</v>
      </c>
      <c r="AF30" s="141"/>
      <c r="AG30" s="141"/>
      <c r="AH30" s="141"/>
      <c r="AI30" s="141"/>
    </row>
    <row r="31" spans="1:35" customFormat="1" ht="14.25" x14ac:dyDescent="0.45">
      <c r="B31" s="14" t="s">
        <v>2574</v>
      </c>
      <c r="C31" s="14" t="s">
        <v>117</v>
      </c>
      <c r="D31" s="15" t="s">
        <v>2575</v>
      </c>
      <c r="E31" s="16" t="s">
        <v>1398</v>
      </c>
      <c r="F31" s="14" t="s">
        <v>2564</v>
      </c>
      <c r="G31" s="17"/>
      <c r="H31" s="128" t="str">
        <f>Settings!$B$3&amp;".mit.pp.frt.amc.np.1"</f>
        <v>egy.mit.pp.frt.amc.np.1</v>
      </c>
      <c r="K31" s="139"/>
      <c r="L31" s="140">
        <f>Mitigation_Industry!$F$314*L$14+Mitigation_Industry!$G$314*L$13</f>
        <v>0</v>
      </c>
      <c r="M31" s="140">
        <f>Mitigation_Industry!$F$314*M$14+Mitigation_Industry!$G$314*M$13</f>
        <v>0</v>
      </c>
      <c r="N31" s="140">
        <f>Mitigation_Industry!$F$314*N$14+Mitigation_Industry!$G$314*N$13</f>
        <v>0</v>
      </c>
      <c r="O31" s="140">
        <f>Mitigation_Industry!$F$314*O$14+Mitigation_Industry!$G$314*O$13</f>
        <v>0</v>
      </c>
      <c r="P31" s="140">
        <f>Mitigation_Industry!$F$314*P$14+Mitigation_Industry!$G$314*P$13</f>
        <v>0</v>
      </c>
      <c r="Q31" s="140">
        <f>Mitigation_Industry!$F$314*Q$14+Mitigation_Industry!$G$314*Q$13</f>
        <v>0</v>
      </c>
      <c r="R31" s="140">
        <f>Mitigation_Industry!$F$314*R$14+Mitigation_Industry!$G$314*R$13</f>
        <v>0</v>
      </c>
      <c r="S31" s="140">
        <f>Mitigation_Industry!$F$314*S$14+Mitigation_Industry!$G$314*S$13</f>
        <v>0</v>
      </c>
      <c r="T31" s="140">
        <f>Mitigation_Industry!$F$314*T$14+Mitigation_Industry!$G$314*T$13</f>
        <v>0</v>
      </c>
      <c r="U31" s="140">
        <f>Mitigation_Industry!$F$314*U$14+Mitigation_Industry!$G$314*U$13</f>
        <v>0</v>
      </c>
      <c r="V31" s="140">
        <f>Mitigation_Industry!$F$314*V$14+Mitigation_Industry!$G$314*V$13</f>
        <v>0</v>
      </c>
      <c r="W31" s="140">
        <f>Mitigation_Industry!$F$314*W$14+Mitigation_Industry!$G$314*W$13</f>
        <v>0</v>
      </c>
      <c r="X31" s="140">
        <f>Mitigation_Industry!$F$314*X$14+Mitigation_Industry!$G$314*X$13</f>
        <v>0</v>
      </c>
      <c r="Y31" s="140">
        <f>Mitigation_Industry!$F$314*Y$14+Mitigation_Industry!$G$314*Y$13</f>
        <v>0</v>
      </c>
      <c r="Z31" s="140">
        <f>Mitigation_Industry!$F$314*Z$14+Mitigation_Industry!$G$314*Z$13</f>
        <v>0</v>
      </c>
      <c r="AA31" s="140">
        <f>Mitigation_Industry!$F$314*AA$14+Mitigation_Industry!$G$314*AA$13</f>
        <v>0</v>
      </c>
      <c r="AB31" s="140">
        <f>Mitigation_Industry!$F$314*AB$14+Mitigation_Industry!$G$314*AB$13</f>
        <v>0</v>
      </c>
      <c r="AC31" s="140">
        <f>Mitigation_Industry!$F$314*AC$14+Mitigation_Industry!$G$314*AC$13</f>
        <v>0</v>
      </c>
      <c r="AD31" s="140">
        <f>Mitigation_Industry!$F$314*AD$14+Mitigation_Industry!$G$314*AD$13</f>
        <v>0</v>
      </c>
      <c r="AE31" s="140">
        <f>Mitigation_Industry!$F$314*AE$14+Mitigation_Industry!$G$314*AE$13</f>
        <v>0</v>
      </c>
      <c r="AF31" s="141"/>
      <c r="AG31" s="141"/>
      <c r="AH31" s="141"/>
      <c r="AI31" s="141"/>
    </row>
    <row r="32" spans="1:35" customFormat="1" ht="14.25" x14ac:dyDescent="0.45">
      <c r="B32" s="14" t="s">
        <v>2576</v>
      </c>
      <c r="C32" s="14" t="s">
        <v>117</v>
      </c>
      <c r="D32" s="15" t="s">
        <v>2577</v>
      </c>
      <c r="E32" s="16" t="s">
        <v>1398</v>
      </c>
      <c r="F32" s="14" t="s">
        <v>2564</v>
      </c>
      <c r="G32" s="17"/>
      <c r="H32" s="128" t="str">
        <f>Settings!$B$3&amp;".mit.pp.frt.ure.np.1"</f>
        <v>egy.mit.pp.frt.ure.np.1</v>
      </c>
      <c r="K32" s="139"/>
      <c r="L32" s="140">
        <f>Mitigation_Industry!$F$315*L$14+Mitigation_Industry!$G$315*L$13</f>
        <v>0</v>
      </c>
      <c r="M32" s="140">
        <f>Mitigation_Industry!$F$315*M$14+Mitigation_Industry!$G$315*M$13</f>
        <v>0</v>
      </c>
      <c r="N32" s="140">
        <f>Mitigation_Industry!$F$315*N$14+Mitigation_Industry!$G$315*N$13</f>
        <v>0</v>
      </c>
      <c r="O32" s="140">
        <f>Mitigation_Industry!$F$315*O$14+Mitigation_Industry!$G$315*O$13</f>
        <v>0</v>
      </c>
      <c r="P32" s="140">
        <f>Mitigation_Industry!$F$315*P$14+Mitigation_Industry!$G$315*P$13</f>
        <v>0</v>
      </c>
      <c r="Q32" s="140">
        <f>Mitigation_Industry!$F$315*Q$14+Mitigation_Industry!$G$315*Q$13</f>
        <v>0</v>
      </c>
      <c r="R32" s="140">
        <f>Mitigation_Industry!$F$315*R$14+Mitigation_Industry!$G$315*R$13</f>
        <v>0</v>
      </c>
      <c r="S32" s="140">
        <f>Mitigation_Industry!$F$315*S$14+Mitigation_Industry!$G$315*S$13</f>
        <v>0</v>
      </c>
      <c r="T32" s="140">
        <f>Mitigation_Industry!$F$315*T$14+Mitigation_Industry!$G$315*T$13</f>
        <v>0</v>
      </c>
      <c r="U32" s="140">
        <f>Mitigation_Industry!$F$315*U$14+Mitigation_Industry!$G$315*U$13</f>
        <v>0</v>
      </c>
      <c r="V32" s="140">
        <f>Mitigation_Industry!$F$315*V$14+Mitigation_Industry!$G$315*V$13</f>
        <v>0</v>
      </c>
      <c r="W32" s="140">
        <f>Mitigation_Industry!$F$315*W$14+Mitigation_Industry!$G$315*W$13</f>
        <v>0</v>
      </c>
      <c r="X32" s="140">
        <f>Mitigation_Industry!$F$315*X$14+Mitigation_Industry!$G$315*X$13</f>
        <v>0</v>
      </c>
      <c r="Y32" s="140">
        <f>Mitigation_Industry!$F$315*Y$14+Mitigation_Industry!$G$315*Y$13</f>
        <v>0</v>
      </c>
      <c r="Z32" s="140">
        <f>Mitigation_Industry!$F$315*Z$14+Mitigation_Industry!$G$315*Z$13</f>
        <v>0</v>
      </c>
      <c r="AA32" s="140">
        <f>Mitigation_Industry!$F$315*AA$14+Mitigation_Industry!$G$315*AA$13</f>
        <v>0</v>
      </c>
      <c r="AB32" s="140">
        <f>Mitigation_Industry!$F$315*AB$14+Mitigation_Industry!$G$315*AB$13</f>
        <v>0</v>
      </c>
      <c r="AC32" s="140">
        <f>Mitigation_Industry!$F$315*AC$14+Mitigation_Industry!$G$315*AC$13</f>
        <v>0</v>
      </c>
      <c r="AD32" s="140">
        <f>Mitigation_Industry!$F$315*AD$14+Mitigation_Industry!$G$315*AD$13</f>
        <v>0</v>
      </c>
      <c r="AE32" s="140">
        <f>Mitigation_Industry!$F$315*AE$14+Mitigation_Industry!$G$315*AE$13</f>
        <v>0</v>
      </c>
      <c r="AF32" s="141"/>
      <c r="AG32" s="141"/>
      <c r="AH32" s="141"/>
      <c r="AI32" s="141"/>
    </row>
    <row r="33" spans="1:35" customFormat="1" ht="14.25" x14ac:dyDescent="0.45">
      <c r="B33" s="14" t="s">
        <v>2578</v>
      </c>
      <c r="C33" s="14" t="s">
        <v>117</v>
      </c>
      <c r="D33" s="15" t="s">
        <v>2579</v>
      </c>
      <c r="E33" s="16" t="s">
        <v>1398</v>
      </c>
      <c r="F33" s="14" t="s">
        <v>2564</v>
      </c>
      <c r="G33" s="17"/>
      <c r="H33" s="128" t="str">
        <f>Settings!$B$3&amp;".mit.pp.frt.nit.np.1"</f>
        <v>egy.mit.pp.frt.nit.np.1</v>
      </c>
      <c r="K33" s="139"/>
      <c r="L33" s="140">
        <f>Mitigation_Industry!$F$316*L$14+Mitigation_Industry!$G$316*L$13</f>
        <v>0</v>
      </c>
      <c r="M33" s="140">
        <f>Mitigation_Industry!$F$316*M$14+Mitigation_Industry!$G$316*M$13</f>
        <v>0</v>
      </c>
      <c r="N33" s="140">
        <f>Mitigation_Industry!$F$316*N$14+Mitigation_Industry!$G$316*N$13</f>
        <v>0</v>
      </c>
      <c r="O33" s="140">
        <f>Mitigation_Industry!$F$316*O$14+Mitigation_Industry!$G$316*O$13</f>
        <v>0</v>
      </c>
      <c r="P33" s="140">
        <f>Mitigation_Industry!$F$316*P$14+Mitigation_Industry!$G$316*P$13</f>
        <v>0</v>
      </c>
      <c r="Q33" s="140">
        <f>Mitigation_Industry!$F$316*Q$14+Mitigation_Industry!$G$316*Q$13</f>
        <v>0</v>
      </c>
      <c r="R33" s="140">
        <f>Mitigation_Industry!$F$316*R$14+Mitigation_Industry!$G$316*R$13</f>
        <v>0</v>
      </c>
      <c r="S33" s="140">
        <f>Mitigation_Industry!$F$316*S$14+Mitigation_Industry!$G$316*S$13</f>
        <v>0</v>
      </c>
      <c r="T33" s="140">
        <f>Mitigation_Industry!$F$316*T$14+Mitigation_Industry!$G$316*T$13</f>
        <v>0</v>
      </c>
      <c r="U33" s="140">
        <f>Mitigation_Industry!$F$316*U$14+Mitigation_Industry!$G$316*U$13</f>
        <v>0</v>
      </c>
      <c r="V33" s="140">
        <f>Mitigation_Industry!$F$316*V$14+Mitigation_Industry!$G$316*V$13</f>
        <v>0</v>
      </c>
      <c r="W33" s="140">
        <f>Mitigation_Industry!$F$316*W$14+Mitigation_Industry!$G$316*W$13</f>
        <v>0</v>
      </c>
      <c r="X33" s="140">
        <f>Mitigation_Industry!$F$316*X$14+Mitigation_Industry!$G$316*X$13</f>
        <v>0</v>
      </c>
      <c r="Y33" s="140">
        <f>Mitigation_Industry!$F$316*Y$14+Mitigation_Industry!$G$316*Y$13</f>
        <v>0</v>
      </c>
      <c r="Z33" s="140">
        <f>Mitigation_Industry!$F$316*Z$14+Mitigation_Industry!$G$316*Z$13</f>
        <v>0</v>
      </c>
      <c r="AA33" s="140">
        <f>Mitigation_Industry!$F$316*AA$14+Mitigation_Industry!$G$316*AA$13</f>
        <v>0</v>
      </c>
      <c r="AB33" s="140">
        <f>Mitigation_Industry!$F$316*AB$14+Mitigation_Industry!$G$316*AB$13</f>
        <v>0</v>
      </c>
      <c r="AC33" s="140">
        <f>Mitigation_Industry!$F$316*AC$14+Mitigation_Industry!$G$316*AC$13</f>
        <v>0</v>
      </c>
      <c r="AD33" s="140">
        <f>Mitigation_Industry!$F$316*AD$14+Mitigation_Industry!$G$316*AD$13</f>
        <v>0</v>
      </c>
      <c r="AE33" s="140">
        <f>Mitigation_Industry!$F$316*AE$14+Mitigation_Industry!$G$316*AE$13</f>
        <v>0</v>
      </c>
      <c r="AF33" s="141"/>
      <c r="AG33" s="141"/>
      <c r="AH33" s="141"/>
      <c r="AI33" s="141"/>
    </row>
    <row r="34" spans="1:35" customFormat="1" ht="14.25" x14ac:dyDescent="0.45">
      <c r="B34" s="14" t="s">
        <v>2580</v>
      </c>
      <c r="C34" s="14" t="s">
        <v>115</v>
      </c>
      <c r="D34" s="15" t="s">
        <v>2581</v>
      </c>
      <c r="E34" s="16" t="s">
        <v>1398</v>
      </c>
      <c r="F34" s="14" t="s">
        <v>2564</v>
      </c>
      <c r="G34" s="17"/>
      <c r="H34" s="128" t="str">
        <f>Settings!$B$3&amp;".mit.pp.alu.prp.np.1"</f>
        <v>egy.mit.pp.alu.prp.np.1</v>
      </c>
      <c r="K34" s="139"/>
      <c r="L34" s="140">
        <f>Mitigation_Industry!$F$317*L$14+Mitigation_Industry!$G$317*L$13</f>
        <v>0</v>
      </c>
      <c r="M34" s="140">
        <f>Mitigation_Industry!$F$317*M$14+Mitigation_Industry!$G$317*M$13</f>
        <v>0</v>
      </c>
      <c r="N34" s="140">
        <f>Mitigation_Industry!$F$317*N$14+Mitigation_Industry!$G$317*N$13</f>
        <v>0</v>
      </c>
      <c r="O34" s="140">
        <f>Mitigation_Industry!$F$317*O$14+Mitigation_Industry!$G$317*O$13</f>
        <v>0</v>
      </c>
      <c r="P34" s="140">
        <f>Mitigation_Industry!$F$317*P$14+Mitigation_Industry!$G$317*P$13</f>
        <v>0</v>
      </c>
      <c r="Q34" s="140">
        <f>Mitigation_Industry!$F$317*Q$14+Mitigation_Industry!$G$317*Q$13</f>
        <v>0</v>
      </c>
      <c r="R34" s="140">
        <f>Mitigation_Industry!$F$317*R$14+Mitigation_Industry!$G$317*R$13</f>
        <v>0</v>
      </c>
      <c r="S34" s="140">
        <f>Mitigation_Industry!$F$317*S$14+Mitigation_Industry!$G$317*S$13</f>
        <v>0</v>
      </c>
      <c r="T34" s="140">
        <f>Mitigation_Industry!$F$317*T$14+Mitigation_Industry!$G$317*T$13</f>
        <v>0</v>
      </c>
      <c r="U34" s="140">
        <f>Mitigation_Industry!$F$317*U$14+Mitigation_Industry!$G$317*U$13</f>
        <v>0</v>
      </c>
      <c r="V34" s="140">
        <f>Mitigation_Industry!$F$317*V$14+Mitigation_Industry!$G$317*V$13</f>
        <v>0</v>
      </c>
      <c r="W34" s="140">
        <f>Mitigation_Industry!$F$317*W$14+Mitigation_Industry!$G$317*W$13</f>
        <v>0</v>
      </c>
      <c r="X34" s="140">
        <f>Mitigation_Industry!$F$317*X$14+Mitigation_Industry!$G$317*X$13</f>
        <v>0</v>
      </c>
      <c r="Y34" s="140">
        <f>Mitigation_Industry!$F$317*Y$14+Mitigation_Industry!$G$317*Y$13</f>
        <v>0</v>
      </c>
      <c r="Z34" s="140">
        <f>Mitigation_Industry!$F$317*Z$14+Mitigation_Industry!$G$317*Z$13</f>
        <v>0</v>
      </c>
      <c r="AA34" s="140">
        <f>Mitigation_Industry!$F$317*AA$14+Mitigation_Industry!$G$317*AA$13</f>
        <v>0</v>
      </c>
      <c r="AB34" s="140">
        <f>Mitigation_Industry!$F$317*AB$14+Mitigation_Industry!$G$317*AB$13</f>
        <v>0</v>
      </c>
      <c r="AC34" s="140">
        <f>Mitigation_Industry!$F$317*AC$14+Mitigation_Industry!$G$317*AC$13</f>
        <v>0</v>
      </c>
      <c r="AD34" s="140">
        <f>Mitigation_Industry!$F$317*AD$14+Mitigation_Industry!$G$317*AD$13</f>
        <v>0</v>
      </c>
      <c r="AE34" s="140">
        <f>Mitigation_Industry!$F$317*AE$14+Mitigation_Industry!$G$317*AE$13</f>
        <v>0</v>
      </c>
      <c r="AF34" s="141"/>
      <c r="AG34" s="141"/>
      <c r="AH34" s="141"/>
      <c r="AI34" s="141"/>
    </row>
    <row r="35" spans="1:35" customFormat="1" ht="14.25" x14ac:dyDescent="0.45">
      <c r="B35" s="14" t="s">
        <v>2582</v>
      </c>
      <c r="C35" s="14" t="s">
        <v>43</v>
      </c>
      <c r="D35" s="15" t="s">
        <v>2583</v>
      </c>
      <c r="E35" s="16" t="s">
        <v>1398</v>
      </c>
      <c r="F35" s="14" t="s">
        <v>2564</v>
      </c>
      <c r="G35" s="17"/>
      <c r="H35" s="128" t="str">
        <f>Settings!$B$3&amp;".mit.pp.stl.drg.no.1"</f>
        <v>egy.mit.pp.stl.drg.no.1</v>
      </c>
      <c r="K35" s="139"/>
      <c r="L35" s="140">
        <f>Mitigation_Industry!$F$310*L$14+Mitigation_Industry!$G$310*L$13</f>
        <v>0</v>
      </c>
      <c r="M35" s="140">
        <f>Mitigation_Industry!$F$310*M$14+Mitigation_Industry!$G$310*M$13</f>
        <v>0</v>
      </c>
      <c r="N35" s="140">
        <f>Mitigation_Industry!$F$310*N$14+Mitigation_Industry!$G$310*N$13</f>
        <v>0</v>
      </c>
      <c r="O35" s="140">
        <f>Mitigation_Industry!$F$310*O$14+Mitigation_Industry!$G$310*O$13</f>
        <v>0</v>
      </c>
      <c r="P35" s="140">
        <f>Mitigation_Industry!$F$310*P$14+Mitigation_Industry!$G$310*P$13</f>
        <v>0</v>
      </c>
      <c r="Q35" s="140">
        <f>Mitigation_Industry!$F$310*Q$14+Mitigation_Industry!$G$310*Q$13</f>
        <v>0</v>
      </c>
      <c r="R35" s="140">
        <f>Mitigation_Industry!$F$310*R$14+Mitigation_Industry!$G$310*R$13</f>
        <v>0</v>
      </c>
      <c r="S35" s="140">
        <f>Mitigation_Industry!$F$310*S$14+Mitigation_Industry!$G$310*S$13</f>
        <v>0</v>
      </c>
      <c r="T35" s="140">
        <f>Mitigation_Industry!$F$310*T$14+Mitigation_Industry!$G$310*T$13</f>
        <v>0</v>
      </c>
      <c r="U35" s="140">
        <f>Mitigation_Industry!$F$310*U$14+Mitigation_Industry!$G$310*U$13</f>
        <v>0</v>
      </c>
      <c r="V35" s="140">
        <f>Mitigation_Industry!$F$310*V$14+Mitigation_Industry!$G$310*V$13</f>
        <v>0</v>
      </c>
      <c r="W35" s="140">
        <f>Mitigation_Industry!$F$310*W$14+Mitigation_Industry!$G$310*W$13</f>
        <v>0</v>
      </c>
      <c r="X35" s="140">
        <f>Mitigation_Industry!$F$310*X$14+Mitigation_Industry!$G$310*X$13</f>
        <v>0</v>
      </c>
      <c r="Y35" s="140">
        <f>Mitigation_Industry!$F$310*Y$14+Mitigation_Industry!$G$310*Y$13</f>
        <v>0</v>
      </c>
      <c r="Z35" s="140">
        <f>Mitigation_Industry!$F$310*Z$14+Mitigation_Industry!$G$310*Z$13</f>
        <v>0</v>
      </c>
      <c r="AA35" s="140">
        <f>Mitigation_Industry!$F$310*AA$14+Mitigation_Industry!$G$310*AA$13</f>
        <v>0</v>
      </c>
      <c r="AB35" s="140">
        <f>Mitigation_Industry!$F$310*AB$14+Mitigation_Industry!$G$310*AB$13</f>
        <v>0</v>
      </c>
      <c r="AC35" s="140">
        <f>Mitigation_Industry!$F$310*AC$14+Mitigation_Industry!$G$310*AC$13</f>
        <v>0</v>
      </c>
      <c r="AD35" s="140">
        <f>Mitigation_Industry!$F$310*AD$14+Mitigation_Industry!$G$310*AD$13</f>
        <v>0</v>
      </c>
      <c r="AE35" s="140">
        <f>Mitigation_Industry!$F$310*AE$14+Mitigation_Industry!$G$310*AE$13</f>
        <v>0</v>
      </c>
      <c r="AF35" s="141"/>
      <c r="AG35" s="141"/>
      <c r="AH35" s="141"/>
      <c r="AI35" s="141"/>
    </row>
    <row r="36" spans="1:35" customFormat="1" ht="14.25" x14ac:dyDescent="0.45">
      <c r="B36" s="14" t="s">
        <v>2584</v>
      </c>
      <c r="C36" s="14" t="s">
        <v>43</v>
      </c>
      <c r="D36" s="15" t="s">
        <v>2585</v>
      </c>
      <c r="E36" s="16" t="s">
        <v>1398</v>
      </c>
      <c r="F36" s="14" t="s">
        <v>2564</v>
      </c>
      <c r="G36" s="17"/>
      <c r="H36" s="128" t="str">
        <f>Settings!$B$3&amp;".mit.pp.stl.scr.no.1"</f>
        <v>egy.mit.pp.stl.scr.no.1</v>
      </c>
      <c r="K36" s="139"/>
      <c r="L36" s="140">
        <f>Mitigation_Industry!$F$311*L$14+Mitigation_Industry!$G$311*L$13</f>
        <v>0</v>
      </c>
      <c r="M36" s="140">
        <f>Mitigation_Industry!$F$311*M$14+Mitigation_Industry!$G$311*M$13</f>
        <v>0</v>
      </c>
      <c r="N36" s="140">
        <f>Mitigation_Industry!$F$311*N$14+Mitigation_Industry!$G$311*N$13</f>
        <v>0</v>
      </c>
      <c r="O36" s="140">
        <f>Mitigation_Industry!$F$311*O$14+Mitigation_Industry!$G$311*O$13</f>
        <v>0</v>
      </c>
      <c r="P36" s="140">
        <f>Mitigation_Industry!$F$311*P$14+Mitigation_Industry!$G$311*P$13</f>
        <v>0</v>
      </c>
      <c r="Q36" s="140">
        <f>Mitigation_Industry!$F$311*Q$14+Mitigation_Industry!$G$311*Q$13</f>
        <v>0</v>
      </c>
      <c r="R36" s="140">
        <f>Mitigation_Industry!$F$311*R$14+Mitigation_Industry!$G$311*R$13</f>
        <v>0</v>
      </c>
      <c r="S36" s="140">
        <f>Mitigation_Industry!$F$311*S$14+Mitigation_Industry!$G$311*S$13</f>
        <v>0</v>
      </c>
      <c r="T36" s="140">
        <f>Mitigation_Industry!$F$311*T$14+Mitigation_Industry!$G$311*T$13</f>
        <v>0</v>
      </c>
      <c r="U36" s="140">
        <f>Mitigation_Industry!$F$311*U$14+Mitigation_Industry!$G$311*U$13</f>
        <v>0</v>
      </c>
      <c r="V36" s="140">
        <f>Mitigation_Industry!$F$311*V$14+Mitigation_Industry!$G$311*V$13</f>
        <v>0</v>
      </c>
      <c r="W36" s="140">
        <f>Mitigation_Industry!$F$311*W$14+Mitigation_Industry!$G$311*W$13</f>
        <v>0</v>
      </c>
      <c r="X36" s="140">
        <f>Mitigation_Industry!$F$311*X$14+Mitigation_Industry!$G$311*X$13</f>
        <v>0</v>
      </c>
      <c r="Y36" s="140">
        <f>Mitigation_Industry!$F$311*Y$14+Mitigation_Industry!$G$311*Y$13</f>
        <v>0</v>
      </c>
      <c r="Z36" s="140">
        <f>Mitigation_Industry!$F$311*Z$14+Mitigation_Industry!$G$311*Z$13</f>
        <v>0</v>
      </c>
      <c r="AA36" s="140">
        <f>Mitigation_Industry!$F$311*AA$14+Mitigation_Industry!$G$311*AA$13</f>
        <v>0</v>
      </c>
      <c r="AB36" s="140">
        <f>Mitigation_Industry!$F$311*AB$14+Mitigation_Industry!$G$311*AB$13</f>
        <v>0</v>
      </c>
      <c r="AC36" s="140">
        <f>Mitigation_Industry!$F$311*AC$14+Mitigation_Industry!$G$311*AC$13</f>
        <v>0</v>
      </c>
      <c r="AD36" s="140">
        <f>Mitigation_Industry!$F$311*AD$14+Mitigation_Industry!$G$311*AD$13</f>
        <v>0</v>
      </c>
      <c r="AE36" s="140">
        <f>Mitigation_Industry!$F$311*AE$14+Mitigation_Industry!$G$311*AE$13</f>
        <v>0</v>
      </c>
      <c r="AF36" s="141"/>
      <c r="AG36" s="141"/>
      <c r="AH36" s="141"/>
      <c r="AI36" s="141"/>
    </row>
    <row r="37" spans="1:35" customFormat="1" ht="14.25" x14ac:dyDescent="0.45">
      <c r="B37" s="14" t="s">
        <v>2586</v>
      </c>
      <c r="C37" s="14" t="s">
        <v>43</v>
      </c>
      <c r="D37" s="15" t="s">
        <v>2587</v>
      </c>
      <c r="E37" s="16" t="s">
        <v>1398</v>
      </c>
      <c r="F37" s="14" t="s">
        <v>2564</v>
      </c>
      <c r="G37" s="17"/>
      <c r="H37" s="128" t="str">
        <f>Settings!$B$3&amp;".mit.pp.stl.bof.no.1"</f>
        <v>egy.mit.pp.stl.bof.no.1</v>
      </c>
      <c r="K37" s="139"/>
      <c r="L37" s="140">
        <f>Mitigation_Industry!$F$312*L$14+Mitigation_Industry!$G$312*L$13</f>
        <v>0</v>
      </c>
      <c r="M37" s="140">
        <f>Mitigation_Industry!$F$312*M$14+Mitigation_Industry!$G$312*M$13</f>
        <v>0</v>
      </c>
      <c r="N37" s="140">
        <f>Mitigation_Industry!$F$312*N$14+Mitigation_Industry!$G$312*N$13</f>
        <v>0</v>
      </c>
      <c r="O37" s="140">
        <f>Mitigation_Industry!$F$312*O$14+Mitigation_Industry!$G$312*O$13</f>
        <v>0</v>
      </c>
      <c r="P37" s="140">
        <f>Mitigation_Industry!$F$312*P$14+Mitigation_Industry!$G$312*P$13</f>
        <v>0</v>
      </c>
      <c r="Q37" s="140">
        <f>Mitigation_Industry!$F$312*Q$14+Mitigation_Industry!$G$312*Q$13</f>
        <v>0</v>
      </c>
      <c r="R37" s="140">
        <f>Mitigation_Industry!$F$312*R$14+Mitigation_Industry!$G$312*R$13</f>
        <v>0</v>
      </c>
      <c r="S37" s="140">
        <f>Mitigation_Industry!$F$312*S$14+Mitigation_Industry!$G$312*S$13</f>
        <v>0</v>
      </c>
      <c r="T37" s="140">
        <f>Mitigation_Industry!$F$312*T$14+Mitigation_Industry!$G$312*T$13</f>
        <v>0</v>
      </c>
      <c r="U37" s="140">
        <f>Mitigation_Industry!$F$312*U$14+Mitigation_Industry!$G$312*U$13</f>
        <v>0</v>
      </c>
      <c r="V37" s="140">
        <f>Mitigation_Industry!$F$312*V$14+Mitigation_Industry!$G$312*V$13</f>
        <v>0</v>
      </c>
      <c r="W37" s="140">
        <f>Mitigation_Industry!$F$312*W$14+Mitigation_Industry!$G$312*W$13</f>
        <v>0</v>
      </c>
      <c r="X37" s="140">
        <f>Mitigation_Industry!$F$312*X$14+Mitigation_Industry!$G$312*X$13</f>
        <v>0</v>
      </c>
      <c r="Y37" s="140">
        <f>Mitigation_Industry!$F$312*Y$14+Mitigation_Industry!$G$312*Y$13</f>
        <v>0</v>
      </c>
      <c r="Z37" s="140">
        <f>Mitigation_Industry!$F$312*Z$14+Mitigation_Industry!$G$312*Z$13</f>
        <v>0</v>
      </c>
      <c r="AA37" s="140">
        <f>Mitigation_Industry!$F$312*AA$14+Mitigation_Industry!$G$312*AA$13</f>
        <v>0</v>
      </c>
      <c r="AB37" s="140">
        <f>Mitigation_Industry!$F$312*AB$14+Mitigation_Industry!$G$312*AB$13</f>
        <v>0</v>
      </c>
      <c r="AC37" s="140">
        <f>Mitigation_Industry!$F$312*AC$14+Mitigation_Industry!$G$312*AC$13</f>
        <v>0</v>
      </c>
      <c r="AD37" s="140">
        <f>Mitigation_Industry!$F$312*AD$14+Mitigation_Industry!$G$312*AD$13</f>
        <v>0</v>
      </c>
      <c r="AE37" s="140">
        <f>Mitigation_Industry!$F$312*AE$14+Mitigation_Industry!$G$312*AE$13</f>
        <v>0</v>
      </c>
      <c r="AF37" s="141"/>
      <c r="AG37" s="141"/>
      <c r="AH37" s="141"/>
      <c r="AI37" s="141"/>
    </row>
    <row r="38" spans="1:35" customFormat="1" ht="14.25" x14ac:dyDescent="0.45">
      <c r="B38" s="14" t="s">
        <v>2588</v>
      </c>
      <c r="C38" s="14" t="s">
        <v>113</v>
      </c>
      <c r="D38" s="15" t="s">
        <v>2589</v>
      </c>
      <c r="E38" s="16" t="s">
        <v>1398</v>
      </c>
      <c r="F38" s="14" t="s">
        <v>2564</v>
      </c>
      <c r="G38" s="17"/>
      <c r="H38" s="128" t="str">
        <f>Settings!$B$3&amp;".mit.pp.cmt.dry.no.1"</f>
        <v>egy.mit.pp.cmt.dry.no.1</v>
      </c>
      <c r="K38" s="139"/>
      <c r="L38" s="140">
        <f>Mitigation_Industry!$F$313*L$14+Mitigation_Industry!$G$313*L$13</f>
        <v>0</v>
      </c>
      <c r="M38" s="140">
        <f>Mitigation_Industry!$F$313*M$14+Mitigation_Industry!$G$313*M$13</f>
        <v>0</v>
      </c>
      <c r="N38" s="140">
        <f>Mitigation_Industry!$F$313*N$14+Mitigation_Industry!$G$313*N$13</f>
        <v>0</v>
      </c>
      <c r="O38" s="140">
        <f>Mitigation_Industry!$F$313*O$14+Mitigation_Industry!$G$313*O$13</f>
        <v>0</v>
      </c>
      <c r="P38" s="140">
        <f>Mitigation_Industry!$F$313*P$14+Mitigation_Industry!$G$313*P$13</f>
        <v>0</v>
      </c>
      <c r="Q38" s="140">
        <f>Mitigation_Industry!$F$313*Q$14+Mitigation_Industry!$G$313*Q$13</f>
        <v>0</v>
      </c>
      <c r="R38" s="140">
        <f>Mitigation_Industry!$F$313*R$14+Mitigation_Industry!$G$313*R$13</f>
        <v>0</v>
      </c>
      <c r="S38" s="140">
        <f>Mitigation_Industry!$F$313*S$14+Mitigation_Industry!$G$313*S$13</f>
        <v>0</v>
      </c>
      <c r="T38" s="140">
        <f>Mitigation_Industry!$F$313*T$14+Mitigation_Industry!$G$313*T$13</f>
        <v>0</v>
      </c>
      <c r="U38" s="140">
        <f>Mitigation_Industry!$F$313*U$14+Mitigation_Industry!$G$313*U$13</f>
        <v>0</v>
      </c>
      <c r="V38" s="140">
        <f>Mitigation_Industry!$F$313*V$14+Mitigation_Industry!$G$313*V$13</f>
        <v>0</v>
      </c>
      <c r="W38" s="140">
        <f>Mitigation_Industry!$F$313*W$14+Mitigation_Industry!$G$313*W$13</f>
        <v>0</v>
      </c>
      <c r="X38" s="140">
        <f>Mitigation_Industry!$F$313*X$14+Mitigation_Industry!$G$313*X$13</f>
        <v>0</v>
      </c>
      <c r="Y38" s="140">
        <f>Mitigation_Industry!$F$313*Y$14+Mitigation_Industry!$G$313*Y$13</f>
        <v>0</v>
      </c>
      <c r="Z38" s="140">
        <f>Mitigation_Industry!$F$313*Z$14+Mitigation_Industry!$G$313*Z$13</f>
        <v>0</v>
      </c>
      <c r="AA38" s="140">
        <f>Mitigation_Industry!$F$313*AA$14+Mitigation_Industry!$G$313*AA$13</f>
        <v>0</v>
      </c>
      <c r="AB38" s="140">
        <f>Mitigation_Industry!$F$313*AB$14+Mitigation_Industry!$G$313*AB$13</f>
        <v>0</v>
      </c>
      <c r="AC38" s="140">
        <f>Mitigation_Industry!$F$313*AC$14+Mitigation_Industry!$G$313*AC$13</f>
        <v>0</v>
      </c>
      <c r="AD38" s="140">
        <f>Mitigation_Industry!$F$313*AD$14+Mitigation_Industry!$G$313*AD$13</f>
        <v>0</v>
      </c>
      <c r="AE38" s="140">
        <f>Mitigation_Industry!$F$313*AE$14+Mitigation_Industry!$G$313*AE$13</f>
        <v>0</v>
      </c>
      <c r="AF38" s="141"/>
      <c r="AG38" s="141"/>
      <c r="AH38" s="141"/>
      <c r="AI38" s="141"/>
    </row>
    <row r="39" spans="1:35" customFormat="1" ht="14.25" x14ac:dyDescent="0.45">
      <c r="B39" s="14" t="s">
        <v>2590</v>
      </c>
      <c r="C39" s="14" t="s">
        <v>117</v>
      </c>
      <c r="D39" s="15" t="s">
        <v>2591</v>
      </c>
      <c r="E39" s="16" t="s">
        <v>1398</v>
      </c>
      <c r="F39" s="14" t="s">
        <v>2564</v>
      </c>
      <c r="G39" s="17"/>
      <c r="H39" s="128" t="str">
        <f>Settings!$B$3&amp;".mit.pp.frt.amc.no.1"</f>
        <v>egy.mit.pp.frt.amc.no.1</v>
      </c>
      <c r="K39" s="139"/>
      <c r="L39" s="140">
        <f>Mitigation_Industry!$F$314*L$14+Mitigation_Industry!$G$314*L$13</f>
        <v>0</v>
      </c>
      <c r="M39" s="140">
        <f>Mitigation_Industry!$F$314*M$14+Mitigation_Industry!$G$314*M$13</f>
        <v>0</v>
      </c>
      <c r="N39" s="140">
        <f>Mitigation_Industry!$F$314*N$14+Mitigation_Industry!$G$314*N$13</f>
        <v>0</v>
      </c>
      <c r="O39" s="140">
        <f>Mitigation_Industry!$F$314*O$14+Mitigation_Industry!$G$314*O$13</f>
        <v>0</v>
      </c>
      <c r="P39" s="140">
        <f>Mitigation_Industry!$F$314*P$14+Mitigation_Industry!$G$314*P$13</f>
        <v>0</v>
      </c>
      <c r="Q39" s="140">
        <f>Mitigation_Industry!$F$314*Q$14+Mitigation_Industry!$G$314*Q$13</f>
        <v>0</v>
      </c>
      <c r="R39" s="140">
        <f>Mitigation_Industry!$F$314*R$14+Mitigation_Industry!$G$314*R$13</f>
        <v>0</v>
      </c>
      <c r="S39" s="140">
        <f>Mitigation_Industry!$F$314*S$14+Mitigation_Industry!$G$314*S$13</f>
        <v>0</v>
      </c>
      <c r="T39" s="140">
        <f>Mitigation_Industry!$F$314*T$14+Mitigation_Industry!$G$314*T$13</f>
        <v>0</v>
      </c>
      <c r="U39" s="140">
        <f>Mitigation_Industry!$F$314*U$14+Mitigation_Industry!$G$314*U$13</f>
        <v>0</v>
      </c>
      <c r="V39" s="140">
        <f>Mitigation_Industry!$F$314*V$14+Mitigation_Industry!$G$314*V$13</f>
        <v>0</v>
      </c>
      <c r="W39" s="140">
        <f>Mitigation_Industry!$F$314*W$14+Mitigation_Industry!$G$314*W$13</f>
        <v>0</v>
      </c>
      <c r="X39" s="140">
        <f>Mitigation_Industry!$F$314*X$14+Mitigation_Industry!$G$314*X$13</f>
        <v>0</v>
      </c>
      <c r="Y39" s="140">
        <f>Mitigation_Industry!$F$314*Y$14+Mitigation_Industry!$G$314*Y$13</f>
        <v>0</v>
      </c>
      <c r="Z39" s="140">
        <f>Mitigation_Industry!$F$314*Z$14+Mitigation_Industry!$G$314*Z$13</f>
        <v>0</v>
      </c>
      <c r="AA39" s="140">
        <f>Mitigation_Industry!$F$314*AA$14+Mitigation_Industry!$G$314*AA$13</f>
        <v>0</v>
      </c>
      <c r="AB39" s="140">
        <f>Mitigation_Industry!$F$314*AB$14+Mitigation_Industry!$G$314*AB$13</f>
        <v>0</v>
      </c>
      <c r="AC39" s="140">
        <f>Mitigation_Industry!$F$314*AC$14+Mitigation_Industry!$G$314*AC$13</f>
        <v>0</v>
      </c>
      <c r="AD39" s="140">
        <f>Mitigation_Industry!$F$314*AD$14+Mitigation_Industry!$G$314*AD$13</f>
        <v>0</v>
      </c>
      <c r="AE39" s="140">
        <f>Mitigation_Industry!$F$314*AE$14+Mitigation_Industry!$G$314*AE$13</f>
        <v>0</v>
      </c>
      <c r="AF39" s="141"/>
      <c r="AG39" s="141"/>
      <c r="AH39" s="141"/>
      <c r="AI39" s="141"/>
    </row>
    <row r="40" spans="1:35" customFormat="1" ht="14.25" x14ac:dyDescent="0.45">
      <c r="B40" s="14" t="s">
        <v>2592</v>
      </c>
      <c r="C40" s="14" t="s">
        <v>117</v>
      </c>
      <c r="D40" s="15" t="s">
        <v>2593</v>
      </c>
      <c r="E40" s="16" t="s">
        <v>1398</v>
      </c>
      <c r="F40" s="14" t="s">
        <v>2564</v>
      </c>
      <c r="G40" s="17"/>
      <c r="H40" s="128" t="str">
        <f>Settings!$B$3&amp;".mit.pp.frt.ure.no.1"</f>
        <v>egy.mit.pp.frt.ure.no.1</v>
      </c>
      <c r="K40" s="139"/>
      <c r="L40" s="140">
        <f>Mitigation_Industry!$F$315*L$14+Mitigation_Industry!$G$315*L$13</f>
        <v>0</v>
      </c>
      <c r="M40" s="140">
        <f>Mitigation_Industry!$F$315*M$14+Mitigation_Industry!$G$315*M$13</f>
        <v>0</v>
      </c>
      <c r="N40" s="140">
        <f>Mitigation_Industry!$F$315*N$14+Mitigation_Industry!$G$315*N$13</f>
        <v>0</v>
      </c>
      <c r="O40" s="140">
        <f>Mitigation_Industry!$F$315*O$14+Mitigation_Industry!$G$315*O$13</f>
        <v>0</v>
      </c>
      <c r="P40" s="140">
        <f>Mitigation_Industry!$F$315*P$14+Mitigation_Industry!$G$315*P$13</f>
        <v>0</v>
      </c>
      <c r="Q40" s="140">
        <f>Mitigation_Industry!$F$315*Q$14+Mitigation_Industry!$G$315*Q$13</f>
        <v>0</v>
      </c>
      <c r="R40" s="140">
        <f>Mitigation_Industry!$F$315*R$14+Mitigation_Industry!$G$315*R$13</f>
        <v>0</v>
      </c>
      <c r="S40" s="140">
        <f>Mitigation_Industry!$F$315*S$14+Mitigation_Industry!$G$315*S$13</f>
        <v>0</v>
      </c>
      <c r="T40" s="140">
        <f>Mitigation_Industry!$F$315*T$14+Mitigation_Industry!$G$315*T$13</f>
        <v>0</v>
      </c>
      <c r="U40" s="140">
        <f>Mitigation_Industry!$F$315*U$14+Mitigation_Industry!$G$315*U$13</f>
        <v>0</v>
      </c>
      <c r="V40" s="140">
        <f>Mitigation_Industry!$F$315*V$14+Mitigation_Industry!$G$315*V$13</f>
        <v>0</v>
      </c>
      <c r="W40" s="140">
        <f>Mitigation_Industry!$F$315*W$14+Mitigation_Industry!$G$315*W$13</f>
        <v>0</v>
      </c>
      <c r="X40" s="140">
        <f>Mitigation_Industry!$F$315*X$14+Mitigation_Industry!$G$315*X$13</f>
        <v>0</v>
      </c>
      <c r="Y40" s="140">
        <f>Mitigation_Industry!$F$315*Y$14+Mitigation_Industry!$G$315*Y$13</f>
        <v>0</v>
      </c>
      <c r="Z40" s="140">
        <f>Mitigation_Industry!$F$315*Z$14+Mitigation_Industry!$G$315*Z$13</f>
        <v>0</v>
      </c>
      <c r="AA40" s="140">
        <f>Mitigation_Industry!$F$315*AA$14+Mitigation_Industry!$G$315*AA$13</f>
        <v>0</v>
      </c>
      <c r="AB40" s="140">
        <f>Mitigation_Industry!$F$315*AB$14+Mitigation_Industry!$G$315*AB$13</f>
        <v>0</v>
      </c>
      <c r="AC40" s="140">
        <f>Mitigation_Industry!$F$315*AC$14+Mitigation_Industry!$G$315*AC$13</f>
        <v>0</v>
      </c>
      <c r="AD40" s="140">
        <f>Mitigation_Industry!$F$315*AD$14+Mitigation_Industry!$G$315*AD$13</f>
        <v>0</v>
      </c>
      <c r="AE40" s="140">
        <f>Mitigation_Industry!$F$315*AE$14+Mitigation_Industry!$G$315*AE$13</f>
        <v>0</v>
      </c>
      <c r="AF40" s="141"/>
      <c r="AG40" s="141"/>
      <c r="AH40" s="141"/>
      <c r="AI40" s="141"/>
    </row>
    <row r="41" spans="1:35" customFormat="1" ht="14.25" x14ac:dyDescent="0.45">
      <c r="B41" s="14" t="s">
        <v>2594</v>
      </c>
      <c r="C41" s="14" t="s">
        <v>117</v>
      </c>
      <c r="D41" s="15" t="s">
        <v>2595</v>
      </c>
      <c r="E41" s="16" t="s">
        <v>1398</v>
      </c>
      <c r="F41" s="14" t="s">
        <v>2564</v>
      </c>
      <c r="G41" s="17"/>
      <c r="H41" s="128" t="str">
        <f>Settings!$B$3&amp;".mit.pp.frt.nit.no.1"</f>
        <v>egy.mit.pp.frt.nit.no.1</v>
      </c>
      <c r="K41" s="139"/>
      <c r="L41" s="140">
        <f>Mitigation_Industry!$F$316*L$14+Mitigation_Industry!$G$316*L$13</f>
        <v>0</v>
      </c>
      <c r="M41" s="140">
        <f>Mitigation_Industry!$F$316*M$14+Mitigation_Industry!$G$316*M$13</f>
        <v>0</v>
      </c>
      <c r="N41" s="140">
        <f>Mitigation_Industry!$F$316*N$14+Mitigation_Industry!$G$316*N$13</f>
        <v>0</v>
      </c>
      <c r="O41" s="140">
        <f>Mitigation_Industry!$F$316*O$14+Mitigation_Industry!$G$316*O$13</f>
        <v>0</v>
      </c>
      <c r="P41" s="140">
        <f>Mitigation_Industry!$F$316*P$14+Mitigation_Industry!$G$316*P$13</f>
        <v>0</v>
      </c>
      <c r="Q41" s="140">
        <f>Mitigation_Industry!$F$316*Q$14+Mitigation_Industry!$G$316*Q$13</f>
        <v>0</v>
      </c>
      <c r="R41" s="140">
        <f>Mitigation_Industry!$F$316*R$14+Mitigation_Industry!$G$316*R$13</f>
        <v>0</v>
      </c>
      <c r="S41" s="140">
        <f>Mitigation_Industry!$F$316*S$14+Mitigation_Industry!$G$316*S$13</f>
        <v>0</v>
      </c>
      <c r="T41" s="140">
        <f>Mitigation_Industry!$F$316*T$14+Mitigation_Industry!$G$316*T$13</f>
        <v>0</v>
      </c>
      <c r="U41" s="140">
        <f>Mitigation_Industry!$F$316*U$14+Mitigation_Industry!$G$316*U$13</f>
        <v>0</v>
      </c>
      <c r="V41" s="140">
        <f>Mitigation_Industry!$F$316*V$14+Mitigation_Industry!$G$316*V$13</f>
        <v>0</v>
      </c>
      <c r="W41" s="140">
        <f>Mitigation_Industry!$F$316*W$14+Mitigation_Industry!$G$316*W$13</f>
        <v>0</v>
      </c>
      <c r="X41" s="140">
        <f>Mitigation_Industry!$F$316*X$14+Mitigation_Industry!$G$316*X$13</f>
        <v>0</v>
      </c>
      <c r="Y41" s="140">
        <f>Mitigation_Industry!$F$316*Y$14+Mitigation_Industry!$G$316*Y$13</f>
        <v>0</v>
      </c>
      <c r="Z41" s="140">
        <f>Mitigation_Industry!$F$316*Z$14+Mitigation_Industry!$G$316*Z$13</f>
        <v>0</v>
      </c>
      <c r="AA41" s="140">
        <f>Mitigation_Industry!$F$316*AA$14+Mitigation_Industry!$G$316*AA$13</f>
        <v>0</v>
      </c>
      <c r="AB41" s="140">
        <f>Mitigation_Industry!$F$316*AB$14+Mitigation_Industry!$G$316*AB$13</f>
        <v>0</v>
      </c>
      <c r="AC41" s="140">
        <f>Mitigation_Industry!$F$316*AC$14+Mitigation_Industry!$G$316*AC$13</f>
        <v>0</v>
      </c>
      <c r="AD41" s="140">
        <f>Mitigation_Industry!$F$316*AD$14+Mitigation_Industry!$G$316*AD$13</f>
        <v>0</v>
      </c>
      <c r="AE41" s="140">
        <f>Mitigation_Industry!$F$316*AE$14+Mitigation_Industry!$G$316*AE$13</f>
        <v>0</v>
      </c>
      <c r="AF41" s="141"/>
      <c r="AG41" s="141"/>
      <c r="AH41" s="141"/>
      <c r="AI41" s="141"/>
    </row>
    <row r="42" spans="1:35" customFormat="1" ht="14.25" x14ac:dyDescent="0.45">
      <c r="B42" s="14" t="s">
        <v>2596</v>
      </c>
      <c r="C42" s="14" t="s">
        <v>115</v>
      </c>
      <c r="D42" s="15" t="s">
        <v>2597</v>
      </c>
      <c r="E42" s="16" t="s">
        <v>1398</v>
      </c>
      <c r="F42" s="14" t="s">
        <v>2564</v>
      </c>
      <c r="G42" s="17"/>
      <c r="H42" s="128" t="str">
        <f>Settings!$B$3&amp;".mit.pp.alu.prp.no.1"</f>
        <v>egy.mit.pp.alu.prp.no.1</v>
      </c>
      <c r="K42" s="139"/>
      <c r="L42" s="140">
        <f>Mitigation_Industry!$F$317*L$14+Mitigation_Industry!$G$317*L$13</f>
        <v>0</v>
      </c>
      <c r="M42" s="140">
        <f>Mitigation_Industry!$F$317*M$14+Mitigation_Industry!$G$317*M$13</f>
        <v>0</v>
      </c>
      <c r="N42" s="140">
        <f>Mitigation_Industry!$F$317*N$14+Mitigation_Industry!$G$317*N$13</f>
        <v>0</v>
      </c>
      <c r="O42" s="140">
        <f>Mitigation_Industry!$F$317*O$14+Mitigation_Industry!$G$317*O$13</f>
        <v>0</v>
      </c>
      <c r="P42" s="140">
        <f>Mitigation_Industry!$F$317*P$14+Mitigation_Industry!$G$317*P$13</f>
        <v>0</v>
      </c>
      <c r="Q42" s="140">
        <f>Mitigation_Industry!$F$317*Q$14+Mitigation_Industry!$G$317*Q$13</f>
        <v>0</v>
      </c>
      <c r="R42" s="140">
        <f>Mitigation_Industry!$F$317*R$14+Mitigation_Industry!$G$317*R$13</f>
        <v>0</v>
      </c>
      <c r="S42" s="140">
        <f>Mitigation_Industry!$F$317*S$14+Mitigation_Industry!$G$317*S$13</f>
        <v>0</v>
      </c>
      <c r="T42" s="140">
        <f>Mitigation_Industry!$F$317*T$14+Mitigation_Industry!$G$317*T$13</f>
        <v>0</v>
      </c>
      <c r="U42" s="140">
        <f>Mitigation_Industry!$F$317*U$14+Mitigation_Industry!$G$317*U$13</f>
        <v>0</v>
      </c>
      <c r="V42" s="140">
        <f>Mitigation_Industry!$F$317*V$14+Mitigation_Industry!$G$317*V$13</f>
        <v>0</v>
      </c>
      <c r="W42" s="140">
        <f>Mitigation_Industry!$F$317*W$14+Mitigation_Industry!$G$317*W$13</f>
        <v>0</v>
      </c>
      <c r="X42" s="140">
        <f>Mitigation_Industry!$F$317*X$14+Mitigation_Industry!$G$317*X$13</f>
        <v>0</v>
      </c>
      <c r="Y42" s="140">
        <f>Mitigation_Industry!$F$317*Y$14+Mitigation_Industry!$G$317*Y$13</f>
        <v>0</v>
      </c>
      <c r="Z42" s="140">
        <f>Mitigation_Industry!$F$317*Z$14+Mitigation_Industry!$G$317*Z$13</f>
        <v>0</v>
      </c>
      <c r="AA42" s="140">
        <f>Mitigation_Industry!$F$317*AA$14+Mitigation_Industry!$G$317*AA$13</f>
        <v>0</v>
      </c>
      <c r="AB42" s="140">
        <f>Mitigation_Industry!$F$317*AB$14+Mitigation_Industry!$G$317*AB$13</f>
        <v>0</v>
      </c>
      <c r="AC42" s="140">
        <f>Mitigation_Industry!$F$317*AC$14+Mitigation_Industry!$G$317*AC$13</f>
        <v>0</v>
      </c>
      <c r="AD42" s="140">
        <f>Mitigation_Industry!$F$317*AD$14+Mitigation_Industry!$G$317*AD$13</f>
        <v>0</v>
      </c>
      <c r="AE42" s="140">
        <f>Mitigation_Industry!$F$317*AE$14+Mitigation_Industry!$G$317*AE$13</f>
        <v>0</v>
      </c>
      <c r="AF42" s="141"/>
      <c r="AG42" s="141"/>
      <c r="AH42" s="141"/>
      <c r="AI42" s="141"/>
    </row>
    <row r="43" spans="1:35" x14ac:dyDescent="0.35"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</row>
    <row r="44" spans="1:35" customFormat="1" ht="14.25" x14ac:dyDescent="0.45">
      <c r="A44" s="11"/>
      <c r="B44" s="6"/>
      <c r="C44" s="7" t="s">
        <v>2598</v>
      </c>
      <c r="D44" s="6" t="s">
        <v>1488</v>
      </c>
      <c r="E44" s="7" t="s">
        <v>35</v>
      </c>
      <c r="F44" s="7" t="s">
        <v>45</v>
      </c>
      <c r="G44" s="7" t="s">
        <v>37</v>
      </c>
      <c r="H44" s="12" t="s">
        <v>38</v>
      </c>
      <c r="I44" s="6" t="s">
        <v>39</v>
      </c>
      <c r="J44" s="48">
        <v>1</v>
      </c>
      <c r="K44" s="137">
        <v>2021</v>
      </c>
      <c r="L44" s="138">
        <v>2022</v>
      </c>
      <c r="M44" s="137">
        <v>2023</v>
      </c>
      <c r="N44" s="137">
        <v>2024</v>
      </c>
      <c r="O44" s="137">
        <v>2025</v>
      </c>
      <c r="P44" s="137">
        <v>2026</v>
      </c>
      <c r="Q44" s="137">
        <v>2027</v>
      </c>
      <c r="R44" s="137">
        <v>2028</v>
      </c>
      <c r="S44" s="137">
        <v>2029</v>
      </c>
      <c r="T44" s="137">
        <v>2030</v>
      </c>
      <c r="U44" s="137">
        <v>2031</v>
      </c>
      <c r="V44" s="137">
        <v>2032</v>
      </c>
      <c r="W44" s="137">
        <v>2033</v>
      </c>
      <c r="X44" s="137">
        <v>2034</v>
      </c>
      <c r="Y44" s="137">
        <v>2035</v>
      </c>
      <c r="Z44" s="137">
        <v>2036</v>
      </c>
      <c r="AA44" s="137">
        <v>2037</v>
      </c>
      <c r="AB44" s="137">
        <v>2038</v>
      </c>
      <c r="AC44" s="137">
        <v>2039</v>
      </c>
      <c r="AD44" s="137">
        <v>2040</v>
      </c>
      <c r="AE44" s="137">
        <v>2041</v>
      </c>
      <c r="AF44" s="137">
        <v>2042</v>
      </c>
      <c r="AG44" s="137">
        <v>2043</v>
      </c>
      <c r="AH44" s="137">
        <v>2044</v>
      </c>
      <c r="AI44" s="137">
        <v>2045</v>
      </c>
    </row>
    <row r="45" spans="1:35" customFormat="1" ht="14.25" x14ac:dyDescent="0.45">
      <c r="B45" s="14" t="s">
        <v>1435</v>
      </c>
      <c r="C45" s="14" t="s">
        <v>43</v>
      </c>
      <c r="D45" s="15" t="s">
        <v>2599</v>
      </c>
      <c r="E45" s="16" t="s">
        <v>2068</v>
      </c>
      <c r="F45" s="14" t="s">
        <v>2598</v>
      </c>
      <c r="G45" s="17"/>
      <c r="H45" s="128" t="str">
        <f>Settings!$B$3&amp;".mit.wf.stl.drg.1"</f>
        <v>egy.mit.wf.stl.drg.1</v>
      </c>
      <c r="I45" t="s">
        <v>2600</v>
      </c>
      <c r="K45" s="139"/>
      <c r="L45" s="140">
        <f>Mitigation_Industry!L$330</f>
        <v>2.6717650641872548</v>
      </c>
      <c r="M45" s="140">
        <f>Mitigation_Industry!M$330</f>
        <v>2.789322727011494</v>
      </c>
      <c r="N45" s="140">
        <f>Mitigation_Industry!N$330</f>
        <v>2.9120529269999995</v>
      </c>
      <c r="O45" s="140">
        <f>Mitigation_Industry!O$330</f>
        <v>3.0401832557880004</v>
      </c>
      <c r="P45" s="140">
        <f>Mitigation_Industry!P$330</f>
        <v>3.173951319042672</v>
      </c>
      <c r="Q45" s="140">
        <f>Mitigation_Industry!Q$330</f>
        <v>3.3136051770805501</v>
      </c>
      <c r="R45" s="140">
        <f>Mitigation_Industry!R$330</f>
        <v>3.4594038048720939</v>
      </c>
      <c r="S45" s="140">
        <f>Mitigation_Industry!S$330</f>
        <v>3.6116175722864661</v>
      </c>
      <c r="T45" s="140">
        <f>Mitigation_Industry!T$330</f>
        <v>3.7705287454670713</v>
      </c>
      <c r="U45" s="140">
        <f>Mitigation_Industry!U$330</f>
        <v>3.9364320102676222</v>
      </c>
      <c r="V45" s="140">
        <f>Mitigation_Industry!V$330</f>
        <v>4.1096350187193975</v>
      </c>
      <c r="W45" s="140">
        <f>Mitigation_Industry!W$330</f>
        <v>4.2904589595430505</v>
      </c>
      <c r="X45" s="140">
        <f>Mitigation_Industry!X$330</f>
        <v>4.4792391537629452</v>
      </c>
      <c r="Y45" s="140">
        <f>Mitigation_Industry!Y$330</f>
        <v>4.6763256765285162</v>
      </c>
      <c r="Z45" s="140">
        <f>Mitigation_Industry!Z$330</f>
        <v>4.8820840062957691</v>
      </c>
      <c r="AA45" s="140">
        <f>Mitigation_Industry!AA$330</f>
        <v>5.096895702572783</v>
      </c>
      <c r="AB45" s="140">
        <f>Mitigation_Industry!AB$330</f>
        <v>5.3211591134859875</v>
      </c>
      <c r="AC45" s="140">
        <f>Mitigation_Industry!AC$330</f>
        <v>5.5552901144793703</v>
      </c>
      <c r="AD45" s="140">
        <f>Mitigation_Industry!AD$330</f>
        <v>5.7997228795164624</v>
      </c>
      <c r="AE45" s="140">
        <f>Mitigation_Industry!AE$330</f>
        <v>6.0549106862151856</v>
      </c>
      <c r="AF45" s="141"/>
      <c r="AG45" s="141"/>
      <c r="AH45" s="141"/>
      <c r="AI45" s="141"/>
    </row>
    <row r="46" spans="1:35" customFormat="1" ht="14.25" x14ac:dyDescent="0.45">
      <c r="B46" s="14" t="s">
        <v>1438</v>
      </c>
      <c r="C46" s="14" t="s">
        <v>43</v>
      </c>
      <c r="D46" s="15" t="s">
        <v>2601</v>
      </c>
      <c r="E46" s="16" t="s">
        <v>2068</v>
      </c>
      <c r="F46" s="14" t="s">
        <v>2598</v>
      </c>
      <c r="G46" s="17"/>
      <c r="H46" s="128" t="str">
        <f>Settings!$B$3&amp;".mit.wf.stl.scr.1"</f>
        <v>egy.mit.wf.stl.scr.1</v>
      </c>
      <c r="K46" s="139"/>
      <c r="L46" s="140">
        <f>Mitigation_Industry!L$331</f>
        <v>0.19764830228563882</v>
      </c>
      <c r="M46" s="140">
        <f>Mitigation_Industry!M$331</f>
        <v>0.20634482758620692</v>
      </c>
      <c r="N46" s="140">
        <f>Mitigation_Industry!N$331</f>
        <v>0.215424</v>
      </c>
      <c r="O46" s="140">
        <f>Mitigation_Industry!O$331</f>
        <v>0.22490265600000001</v>
      </c>
      <c r="P46" s="140">
        <f>Mitigation_Industry!P$331</f>
        <v>0.23479837286400002</v>
      </c>
      <c r="Q46" s="140">
        <f>Mitigation_Industry!Q$331</f>
        <v>0.24512950127001604</v>
      </c>
      <c r="R46" s="140">
        <f>Mitigation_Industry!R$331</f>
        <v>0.25591519932589668</v>
      </c>
      <c r="S46" s="140">
        <f>Mitigation_Industry!S$331</f>
        <v>0.26717546809623621</v>
      </c>
      <c r="T46" s="140">
        <f>Mitigation_Industry!T$331</f>
        <v>0.27893118869247063</v>
      </c>
      <c r="U46" s="140">
        <f>Mitigation_Industry!U$331</f>
        <v>0.29120416099493934</v>
      </c>
      <c r="V46" s="140">
        <f>Mitigation_Industry!V$331</f>
        <v>0.30401714407871661</v>
      </c>
      <c r="W46" s="140">
        <f>Mitigation_Industry!W$331</f>
        <v>0.31739389841818022</v>
      </c>
      <c r="X46" s="140">
        <f>Mitigation_Industry!X$331</f>
        <v>0.33135922994858014</v>
      </c>
      <c r="Y46" s="140">
        <f>Mitigation_Industry!Y$331</f>
        <v>0.34593903606631771</v>
      </c>
      <c r="Z46" s="140">
        <f>Mitigation_Industry!Z$331</f>
        <v>0.36116035365323562</v>
      </c>
      <c r="AA46" s="140">
        <f>Mitigation_Industry!AA$331</f>
        <v>0.37705140921397801</v>
      </c>
      <c r="AB46" s="140">
        <f>Mitigation_Industry!AB$331</f>
        <v>0.39364167121939314</v>
      </c>
      <c r="AC46" s="140">
        <f>Mitigation_Industry!AC$331</f>
        <v>0.41096190475304639</v>
      </c>
      <c r="AD46" s="140">
        <f>Mitigation_Industry!AD$331</f>
        <v>0.42904422856218044</v>
      </c>
      <c r="AE46" s="140">
        <f>Mitigation_Industry!AE$331</f>
        <v>0.44792217461891631</v>
      </c>
      <c r="AF46" s="141"/>
      <c r="AG46" s="141"/>
      <c r="AH46" s="141"/>
      <c r="AI46" s="141"/>
    </row>
    <row r="47" spans="1:35" customFormat="1" ht="14.25" x14ac:dyDescent="0.45">
      <c r="B47" s="14" t="s">
        <v>1441</v>
      </c>
      <c r="C47" s="14" t="s">
        <v>43</v>
      </c>
      <c r="D47" s="15" t="s">
        <v>2602</v>
      </c>
      <c r="E47" s="16" t="s">
        <v>2068</v>
      </c>
      <c r="F47" s="14" t="s">
        <v>2598</v>
      </c>
      <c r="G47" s="17"/>
      <c r="H47" s="128" t="str">
        <f>Settings!$B$3&amp;".mit.wf.stl.bof.1"</f>
        <v>egy.mit.wf.stl.bof.1</v>
      </c>
      <c r="K47" s="139"/>
      <c r="L47" s="140">
        <f>Mitigation_Industry!L$332</f>
        <v>0</v>
      </c>
      <c r="M47" s="140">
        <f>Mitigation_Industry!M$332</f>
        <v>0</v>
      </c>
      <c r="N47" s="140">
        <f>Mitigation_Industry!N$332</f>
        <v>0</v>
      </c>
      <c r="O47" s="140">
        <f>Mitigation_Industry!O$332</f>
        <v>0</v>
      </c>
      <c r="P47" s="140">
        <f>Mitigation_Industry!P$332</f>
        <v>0</v>
      </c>
      <c r="Q47" s="140">
        <f>Mitigation_Industry!Q$332</f>
        <v>0</v>
      </c>
      <c r="R47" s="140">
        <f>Mitigation_Industry!R$332</f>
        <v>0</v>
      </c>
      <c r="S47" s="140">
        <f>Mitigation_Industry!S$332</f>
        <v>0</v>
      </c>
      <c r="T47" s="140">
        <f>Mitigation_Industry!T$332</f>
        <v>0</v>
      </c>
      <c r="U47" s="140">
        <f>Mitigation_Industry!U$332</f>
        <v>0</v>
      </c>
      <c r="V47" s="140">
        <f>Mitigation_Industry!V$332</f>
        <v>0</v>
      </c>
      <c r="W47" s="140">
        <f>Mitigation_Industry!W$332</f>
        <v>0</v>
      </c>
      <c r="X47" s="140">
        <f>Mitigation_Industry!X$332</f>
        <v>0</v>
      </c>
      <c r="Y47" s="140">
        <f>Mitigation_Industry!Y$332</f>
        <v>0</v>
      </c>
      <c r="Z47" s="140">
        <f>Mitigation_Industry!Z$332</f>
        <v>0</v>
      </c>
      <c r="AA47" s="140">
        <f>Mitigation_Industry!AA$332</f>
        <v>0</v>
      </c>
      <c r="AB47" s="140">
        <f>Mitigation_Industry!AB$332</f>
        <v>0</v>
      </c>
      <c r="AC47" s="140">
        <f>Mitigation_Industry!AC$332</f>
        <v>0</v>
      </c>
      <c r="AD47" s="140">
        <f>Mitigation_Industry!AD$332</f>
        <v>0</v>
      </c>
      <c r="AE47" s="140">
        <f>Mitigation_Industry!AE$332</f>
        <v>0</v>
      </c>
      <c r="AF47" s="141"/>
      <c r="AG47" s="141"/>
      <c r="AH47" s="141"/>
      <c r="AI47" s="141"/>
    </row>
    <row r="48" spans="1:35" customFormat="1" ht="14.25" x14ac:dyDescent="0.45">
      <c r="B48" s="14" t="s">
        <v>1444</v>
      </c>
      <c r="C48" s="14" t="s">
        <v>113</v>
      </c>
      <c r="D48" s="15" t="s">
        <v>2603</v>
      </c>
      <c r="E48" s="16" t="s">
        <v>2068</v>
      </c>
      <c r="F48" s="14" t="s">
        <v>2598</v>
      </c>
      <c r="G48" s="17"/>
      <c r="H48" s="128" t="str">
        <f>Settings!$B$3&amp;".mit.wf.cmt.dry.1"</f>
        <v>egy.mit.wf.cmt.dry.1</v>
      </c>
      <c r="K48" s="139"/>
      <c r="L48" s="140">
        <f>Mitigation_Industry!L$333</f>
        <v>14.692706044200628</v>
      </c>
      <c r="M48" s="140">
        <f>Mitigation_Industry!M$333</f>
        <v>15.177565343659246</v>
      </c>
      <c r="N48" s="140">
        <f>Mitigation_Industry!N$333</f>
        <v>15.678424999999999</v>
      </c>
      <c r="O48" s="140">
        <f>Mitigation_Industry!O$333</f>
        <v>16.195813024999996</v>
      </c>
      <c r="P48" s="140">
        <f>Mitigation_Industry!P$333</f>
        <v>16.730274854824994</v>
      </c>
      <c r="Q48" s="140">
        <f>Mitigation_Industry!Q$333</f>
        <v>17.282373925034218</v>
      </c>
      <c r="R48" s="140">
        <f>Mitigation_Industry!R$333</f>
        <v>17.852692264560343</v>
      </c>
      <c r="S48" s="140">
        <f>Mitigation_Industry!S$333</f>
        <v>18.441831109290838</v>
      </c>
      <c r="T48" s="140">
        <f>Mitigation_Industry!T$333</f>
        <v>19.050411535897432</v>
      </c>
      <c r="U48" s="140">
        <f>Mitigation_Industry!U$333</f>
        <v>19.679075116582045</v>
      </c>
      <c r="V48" s="140">
        <f>Mitigation_Industry!V$333</f>
        <v>20.328484595429249</v>
      </c>
      <c r="W48" s="140">
        <f>Mitigation_Industry!W$333</f>
        <v>20.999324587078412</v>
      </c>
      <c r="X48" s="140">
        <f>Mitigation_Industry!X$333</f>
        <v>21.692302298451992</v>
      </c>
      <c r="Y48" s="140">
        <f>Mitigation_Industry!Y$333</f>
        <v>22.40814827430091</v>
      </c>
      <c r="Z48" s="140">
        <f>Mitigation_Industry!Z$333</f>
        <v>23.147617167352838</v>
      </c>
      <c r="AA48" s="140">
        <f>Mitigation_Industry!AA$333</f>
        <v>23.911488533875481</v>
      </c>
      <c r="AB48" s="140">
        <f>Mitigation_Industry!AB$333</f>
        <v>24.700567655493362</v>
      </c>
      <c r="AC48" s="140">
        <f>Mitigation_Industry!AC$333</f>
        <v>25.515686388124642</v>
      </c>
      <c r="AD48" s="140">
        <f>Mitigation_Industry!AD$333</f>
        <v>26.357704038932756</v>
      </c>
      <c r="AE48" s="140">
        <f>Mitigation_Industry!AE$333</f>
        <v>27.227508272217527</v>
      </c>
      <c r="AF48" s="141"/>
      <c r="AG48" s="141"/>
      <c r="AH48" s="141"/>
      <c r="AI48" s="141"/>
    </row>
    <row r="49" spans="1:35" customFormat="1" ht="14.25" x14ac:dyDescent="0.45">
      <c r="B49" s="14" t="s">
        <v>1447</v>
      </c>
      <c r="C49" s="14" t="s">
        <v>117</v>
      </c>
      <c r="D49" s="15" t="s">
        <v>2604</v>
      </c>
      <c r="E49" s="16" t="s">
        <v>2068</v>
      </c>
      <c r="F49" s="14" t="s">
        <v>2598</v>
      </c>
      <c r="G49" s="17"/>
      <c r="H49" s="128" t="str">
        <f>Settings!$B$3&amp;".mit.wf.frt.amc.1"</f>
        <v>egy.mit.wf.frt.amc.1</v>
      </c>
      <c r="K49" s="139"/>
      <c r="L49" s="140">
        <f>Mitigation_Industry!L$334</f>
        <v>3.3747527008551588</v>
      </c>
      <c r="M49" s="140">
        <f>Mitigation_Industry!M$334</f>
        <v>3.4489972602739725</v>
      </c>
      <c r="N49" s="140">
        <f>Mitigation_Industry!N$334</f>
        <v>3.5248751999999999</v>
      </c>
      <c r="O49" s="140">
        <f>Mitigation_Industry!O$334</f>
        <v>3.6024224544000001</v>
      </c>
      <c r="P49" s="140">
        <f>Mitigation_Industry!P$334</f>
        <v>3.6816757483967999</v>
      </c>
      <c r="Q49" s="140">
        <f>Mitigation_Industry!Q$334</f>
        <v>3.7626726148615299</v>
      </c>
      <c r="R49" s="140">
        <f>Mitigation_Industry!R$334</f>
        <v>3.8454514123884831</v>
      </c>
      <c r="S49" s="140">
        <f>Mitigation_Industry!S$334</f>
        <v>3.9300513434610296</v>
      </c>
      <c r="T49" s="140">
        <f>Mitigation_Industry!T$334</f>
        <v>4.0165124730171726</v>
      </c>
      <c r="U49" s="140">
        <f>Mitigation_Industry!U$334</f>
        <v>4.1048757474235504</v>
      </c>
      <c r="V49" s="140">
        <f>Mitigation_Industry!V$334</f>
        <v>4.1951830138668695</v>
      </c>
      <c r="W49" s="140">
        <f>Mitigation_Industry!W$334</f>
        <v>4.2874770401719395</v>
      </c>
      <c r="X49" s="140">
        <f>Mitigation_Industry!X$334</f>
        <v>4.3818015350557227</v>
      </c>
      <c r="Y49" s="140">
        <f>Mitigation_Industry!Y$334</f>
        <v>4.4782011688269483</v>
      </c>
      <c r="Z49" s="140">
        <f>Mitigation_Industry!Z$334</f>
        <v>4.5767215945411417</v>
      </c>
      <c r="AA49" s="140">
        <f>Mitigation_Industry!AA$334</f>
        <v>4.6774094696210469</v>
      </c>
      <c r="AB49" s="140">
        <f>Mitigation_Industry!AB$334</f>
        <v>4.7803124779527089</v>
      </c>
      <c r="AC49" s="140">
        <f>Mitigation_Industry!AC$334</f>
        <v>4.8854793524676694</v>
      </c>
      <c r="AD49" s="140">
        <f>Mitigation_Industry!AD$334</f>
        <v>4.9929598982219581</v>
      </c>
      <c r="AE49" s="140">
        <f>Mitigation_Industry!AE$334</f>
        <v>5.1028050159828409</v>
      </c>
      <c r="AF49" s="141"/>
      <c r="AG49" s="141"/>
      <c r="AH49" s="141"/>
      <c r="AI49" s="141"/>
    </row>
    <row r="50" spans="1:35" customFormat="1" ht="14.25" x14ac:dyDescent="0.45">
      <c r="B50" s="14" t="s">
        <v>1450</v>
      </c>
      <c r="C50" s="14" t="s">
        <v>117</v>
      </c>
      <c r="D50" s="15" t="s">
        <v>2605</v>
      </c>
      <c r="E50" s="16" t="s">
        <v>2068</v>
      </c>
      <c r="F50" s="14" t="s">
        <v>2598</v>
      </c>
      <c r="G50" s="17"/>
      <c r="H50" s="128" t="str">
        <f>Settings!$B$3&amp;".mit.wf.frt.ure.1"</f>
        <v>egy.mit.wf.frt.ure.1</v>
      </c>
      <c r="K50" s="139"/>
      <c r="L50" s="140">
        <f>Mitigation_Industry!L$335</f>
        <v>0.30078009811543305</v>
      </c>
      <c r="M50" s="140">
        <f>Mitigation_Industry!M$335</f>
        <v>0.30739726027397257</v>
      </c>
      <c r="N50" s="140">
        <f>Mitigation_Industry!N$335</f>
        <v>0.31415999999999999</v>
      </c>
      <c r="O50" s="140">
        <f>Mitigation_Industry!O$335</f>
        <v>0.32107151999999994</v>
      </c>
      <c r="P50" s="140">
        <f>Mitigation_Industry!P$335</f>
        <v>0.32813509343999991</v>
      </c>
      <c r="Q50" s="140">
        <f>Mitigation_Industry!Q$335</f>
        <v>0.33535406549567992</v>
      </c>
      <c r="R50" s="140">
        <f>Mitigation_Industry!R$335</f>
        <v>0.34273185493658498</v>
      </c>
      <c r="S50" s="140">
        <f>Mitigation_Industry!S$335</f>
        <v>0.35027195574518982</v>
      </c>
      <c r="T50" s="140">
        <f>Mitigation_Industry!T$335</f>
        <v>0.3579779387715839</v>
      </c>
      <c r="U50" s="140">
        <f>Mitigation_Industry!U$335</f>
        <v>0.36585345342455883</v>
      </c>
      <c r="V50" s="140">
        <f>Mitigation_Industry!V$335</f>
        <v>0.37390222939989914</v>
      </c>
      <c r="W50" s="140">
        <f>Mitigation_Industry!W$335</f>
        <v>0.38212807844669694</v>
      </c>
      <c r="X50" s="140">
        <f>Mitigation_Industry!X$335</f>
        <v>0.39053489617252429</v>
      </c>
      <c r="Y50" s="140">
        <f>Mitigation_Industry!Y$335</f>
        <v>0.39912666388831985</v>
      </c>
      <c r="Z50" s="140">
        <f>Mitigation_Industry!Z$335</f>
        <v>0.4079074504938629</v>
      </c>
      <c r="AA50" s="140">
        <f>Mitigation_Industry!AA$335</f>
        <v>0.41688141440472787</v>
      </c>
      <c r="AB50" s="140">
        <f>Mitigation_Industry!AB$335</f>
        <v>0.42605280552163183</v>
      </c>
      <c r="AC50" s="140">
        <f>Mitigation_Industry!AC$335</f>
        <v>0.43542596724310778</v>
      </c>
      <c r="AD50" s="140">
        <f>Mitigation_Industry!AD$335</f>
        <v>0.44500533852245616</v>
      </c>
      <c r="AE50" s="140">
        <f>Mitigation_Industry!AE$335</f>
        <v>0.45479545596995019</v>
      </c>
      <c r="AF50" s="141"/>
      <c r="AG50" s="141"/>
      <c r="AH50" s="141"/>
      <c r="AI50" s="141"/>
    </row>
    <row r="51" spans="1:35" customFormat="1" ht="14.25" x14ac:dyDescent="0.45">
      <c r="B51" s="14" t="s">
        <v>1453</v>
      </c>
      <c r="C51" s="14" t="s">
        <v>117</v>
      </c>
      <c r="D51" s="15" t="s">
        <v>2606</v>
      </c>
      <c r="E51" s="16" t="s">
        <v>2068</v>
      </c>
      <c r="F51" s="14" t="s">
        <v>2598</v>
      </c>
      <c r="G51" s="17"/>
      <c r="H51" s="128" t="str">
        <f>Settings!$B$3&amp;".mit.wf.frt.nit.1"</f>
        <v>egy.mit.wf.frt.nit.1</v>
      </c>
      <c r="K51" s="139"/>
      <c r="L51" s="140">
        <f>Mitigation_Industry!L$336</f>
        <v>6.4452878167592806E-2</v>
      </c>
      <c r="M51" s="140">
        <f>Mitigation_Industry!M$336</f>
        <v>6.5870841487279841E-2</v>
      </c>
      <c r="N51" s="140">
        <f>Mitigation_Industry!N$336</f>
        <v>6.7319999999999991E-2</v>
      </c>
      <c r="O51" s="140">
        <f>Mitigation_Industry!O$336</f>
        <v>6.8801039999999994E-2</v>
      </c>
      <c r="P51" s="140">
        <f>Mitigation_Industry!P$336</f>
        <v>7.031466287999999E-2</v>
      </c>
      <c r="Q51" s="140">
        <f>Mitigation_Industry!Q$336</f>
        <v>7.1861585463359995E-2</v>
      </c>
      <c r="R51" s="140">
        <f>Mitigation_Industry!R$336</f>
        <v>7.3442540343553922E-2</v>
      </c>
      <c r="S51" s="140">
        <f>Mitigation_Industry!S$336</f>
        <v>7.5058276231112109E-2</v>
      </c>
      <c r="T51" s="140">
        <f>Mitigation_Industry!T$336</f>
        <v>7.6709558308196563E-2</v>
      </c>
      <c r="U51" s="140">
        <f>Mitigation_Industry!U$336</f>
        <v>7.8397168590976896E-2</v>
      </c>
      <c r="V51" s="140">
        <f>Mitigation_Industry!V$336</f>
        <v>8.012190629997841E-2</v>
      </c>
      <c r="W51" s="140">
        <f>Mitigation_Industry!W$336</f>
        <v>8.1884588238577902E-2</v>
      </c>
      <c r="X51" s="140">
        <f>Mitigation_Industry!X$336</f>
        <v>8.3686049179826624E-2</v>
      </c>
      <c r="Y51" s="140">
        <f>Mitigation_Industry!Y$336</f>
        <v>8.5527142261782832E-2</v>
      </c>
      <c r="Z51" s="140">
        <f>Mitigation_Industry!Z$336</f>
        <v>8.7408739391542062E-2</v>
      </c>
      <c r="AA51" s="140">
        <f>Mitigation_Industry!AA$336</f>
        <v>8.9331731658155972E-2</v>
      </c>
      <c r="AB51" s="140">
        <f>Mitigation_Industry!AB$336</f>
        <v>9.1297029754635384E-2</v>
      </c>
      <c r="AC51" s="140">
        <f>Mitigation_Industry!AC$336</f>
        <v>9.3305564409237374E-2</v>
      </c>
      <c r="AD51" s="140">
        <f>Mitigation_Industry!AD$336</f>
        <v>9.5358286826240604E-2</v>
      </c>
      <c r="AE51" s="140">
        <f>Mitigation_Industry!AE$336</f>
        <v>9.74561691364179E-2</v>
      </c>
      <c r="AF51" s="141"/>
      <c r="AG51" s="141"/>
      <c r="AH51" s="141"/>
      <c r="AI51" s="141"/>
    </row>
    <row r="52" spans="1:35" customFormat="1" ht="14.25" x14ac:dyDescent="0.45">
      <c r="B52" s="14" t="s">
        <v>1456</v>
      </c>
      <c r="C52" s="14" t="s">
        <v>115</v>
      </c>
      <c r="D52" s="15" t="s">
        <v>2607</v>
      </c>
      <c r="E52" s="16" t="s">
        <v>2068</v>
      </c>
      <c r="F52" s="14" t="s">
        <v>2598</v>
      </c>
      <c r="G52" s="17"/>
      <c r="H52" s="128" t="str">
        <f>Settings!$B$3&amp;".mit.wf.alu.prp.1"</f>
        <v>egy.mit.wf.alu.prp.1</v>
      </c>
      <c r="K52" s="139"/>
      <c r="L52" s="140">
        <f>Mitigation_Industry!L$337</f>
        <v>3.3266099144224071E-2</v>
      </c>
      <c r="M52" s="140">
        <f>Mitigation_Industry!M$337</f>
        <v>3.5095734597156404E-2</v>
      </c>
      <c r="N52" s="140">
        <f>Mitigation_Industry!N$337</f>
        <v>3.7026000000000003E-2</v>
      </c>
      <c r="O52" s="140">
        <f>Mitigation_Industry!O$337</f>
        <v>3.9062430000000002E-2</v>
      </c>
      <c r="P52" s="140">
        <f>Mitigation_Industry!P$337</f>
        <v>4.1210863649999999E-2</v>
      </c>
      <c r="Q52" s="140">
        <f>Mitigation_Industry!Q$337</f>
        <v>4.3477461150749991E-2</v>
      </c>
      <c r="R52" s="140">
        <f>Mitigation_Industry!R$337</f>
        <v>4.5868721514041248E-2</v>
      </c>
      <c r="S52" s="140">
        <f>Mitigation_Industry!S$337</f>
        <v>4.8391501197313509E-2</v>
      </c>
      <c r="T52" s="140">
        <f>Mitigation_Industry!T$337</f>
        <v>5.105303376316575E-2</v>
      </c>
      <c r="U52" s="140">
        <f>Mitigation_Industry!U$337</f>
        <v>5.3860950620139861E-2</v>
      </c>
      <c r="V52" s="140">
        <f>Mitigation_Industry!V$337</f>
        <v>5.6823302904247558E-2</v>
      </c>
      <c r="W52" s="140">
        <f>Mitigation_Industry!W$337</f>
        <v>5.9948584563981173E-2</v>
      </c>
      <c r="X52" s="140">
        <f>Mitigation_Industry!X$337</f>
        <v>6.3245756715000129E-2</v>
      </c>
      <c r="Y52" s="140">
        <f>Mitigation_Industry!Y$337</f>
        <v>6.6724273334325138E-2</v>
      </c>
      <c r="Z52" s="140">
        <f>Mitigation_Industry!Z$337</f>
        <v>7.039410836771301E-2</v>
      </c>
      <c r="AA52" s="140">
        <f>Mitigation_Industry!AA$337</f>
        <v>7.426578432793722E-2</v>
      </c>
      <c r="AB52" s="140">
        <f>Mitigation_Industry!AB$337</f>
        <v>7.8350402465973787E-2</v>
      </c>
      <c r="AC52" s="140">
        <f>Mitigation_Industry!AC$337</f>
        <v>8.2659674601602312E-2</v>
      </c>
      <c r="AD52" s="140">
        <f>Mitigation_Industry!AD$337</f>
        <v>8.7205956704690446E-2</v>
      </c>
      <c r="AE52" s="140">
        <f>Mitigation_Industry!AE$337</f>
        <v>9.2002284323448424E-2</v>
      </c>
      <c r="AF52" s="141"/>
      <c r="AG52" s="141"/>
      <c r="AH52" s="141"/>
      <c r="AI52" s="141"/>
    </row>
    <row r="53" spans="1:35" x14ac:dyDescent="0.35"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</row>
    <row r="54" spans="1:35" customFormat="1" ht="14.25" x14ac:dyDescent="0.45">
      <c r="A54" s="11"/>
      <c r="B54" s="6"/>
      <c r="C54" s="7" t="s">
        <v>2608</v>
      </c>
      <c r="D54" s="6" t="s">
        <v>1488</v>
      </c>
      <c r="E54" s="7" t="s">
        <v>35</v>
      </c>
      <c r="F54" s="7" t="s">
        <v>45</v>
      </c>
      <c r="G54" s="7" t="s">
        <v>37</v>
      </c>
      <c r="H54" s="12" t="s">
        <v>38</v>
      </c>
      <c r="I54" s="6" t="s">
        <v>39</v>
      </c>
      <c r="J54" s="48">
        <v>1</v>
      </c>
      <c r="K54" s="137">
        <v>2021</v>
      </c>
      <c r="L54" s="138">
        <v>2022</v>
      </c>
      <c r="M54" s="137">
        <v>2023</v>
      </c>
      <c r="N54" s="137">
        <v>2024</v>
      </c>
      <c r="O54" s="137">
        <v>2025</v>
      </c>
      <c r="P54" s="137">
        <v>2026</v>
      </c>
      <c r="Q54" s="137">
        <v>2027</v>
      </c>
      <c r="R54" s="137">
        <v>2028</v>
      </c>
      <c r="S54" s="137">
        <v>2029</v>
      </c>
      <c r="T54" s="137">
        <v>2030</v>
      </c>
      <c r="U54" s="137">
        <v>2031</v>
      </c>
      <c r="V54" s="137">
        <v>2032</v>
      </c>
      <c r="W54" s="137">
        <v>2033</v>
      </c>
      <c r="X54" s="137">
        <v>2034</v>
      </c>
      <c r="Y54" s="137">
        <v>2035</v>
      </c>
      <c r="Z54" s="137">
        <v>2036</v>
      </c>
      <c r="AA54" s="137">
        <v>2037</v>
      </c>
      <c r="AB54" s="137">
        <v>2038</v>
      </c>
      <c r="AC54" s="137">
        <v>2039</v>
      </c>
      <c r="AD54" s="137">
        <v>2040</v>
      </c>
      <c r="AE54" s="137">
        <v>2041</v>
      </c>
      <c r="AF54" s="137">
        <v>2042</v>
      </c>
      <c r="AG54" s="137">
        <v>2043</v>
      </c>
      <c r="AH54" s="137">
        <v>2044</v>
      </c>
      <c r="AI54" s="137">
        <v>2045</v>
      </c>
    </row>
    <row r="55" spans="1:35" customFormat="1" ht="14.25" x14ac:dyDescent="0.45">
      <c r="B55" s="14" t="s">
        <v>1435</v>
      </c>
      <c r="C55" s="14" t="s">
        <v>43</v>
      </c>
      <c r="D55" s="15" t="s">
        <v>2609</v>
      </c>
      <c r="E55" s="16" t="s">
        <v>2610</v>
      </c>
      <c r="F55" s="14" t="s">
        <v>2608</v>
      </c>
      <c r="G55" s="17"/>
      <c r="H55" s="128" t="str">
        <f>Settings!$B$3&amp;".mit.bf.stl.drg.1"</f>
        <v>egy.mit.bf.stl.drg.1</v>
      </c>
      <c r="I55" t="s">
        <v>2611</v>
      </c>
      <c r="K55" s="139"/>
      <c r="L55" s="142">
        <f>Mitigation_Industry!$E$352</f>
        <v>1.0536051565782599E-3</v>
      </c>
      <c r="M55" s="142">
        <f>Mitigation_Industry!$E$352</f>
        <v>1.0536051565782599E-3</v>
      </c>
      <c r="N55" s="142">
        <f>Mitigation_Industry!$E$352</f>
        <v>1.0536051565782599E-3</v>
      </c>
      <c r="O55" s="142">
        <f>Mitigation_Industry!$E$352</f>
        <v>1.0536051565782599E-3</v>
      </c>
      <c r="P55" s="142">
        <f>Mitigation_Industry!$E$352</f>
        <v>1.0536051565782599E-3</v>
      </c>
      <c r="Q55" s="142">
        <f>Mitigation_Industry!$E$352</f>
        <v>1.0536051565782599E-3</v>
      </c>
      <c r="R55" s="142">
        <f>Mitigation_Industry!$E$352</f>
        <v>1.0536051565782599E-3</v>
      </c>
      <c r="S55" s="142">
        <f>Mitigation_Industry!$E$352</f>
        <v>1.0536051565782599E-3</v>
      </c>
      <c r="T55" s="142">
        <f>Mitigation_Industry!$E$352</f>
        <v>1.0536051565782599E-3</v>
      </c>
      <c r="U55" s="142">
        <f>Mitigation_Industry!$E$352</f>
        <v>1.0536051565782599E-3</v>
      </c>
      <c r="V55" s="142">
        <f>Mitigation_Industry!$E$352</f>
        <v>1.0536051565782599E-3</v>
      </c>
      <c r="W55" s="142">
        <f>Mitigation_Industry!$E$352</f>
        <v>1.0536051565782599E-3</v>
      </c>
      <c r="X55" s="142">
        <f>Mitigation_Industry!$E$352</f>
        <v>1.0536051565782599E-3</v>
      </c>
      <c r="Y55" s="142">
        <f>Mitigation_Industry!$E$352</f>
        <v>1.0536051565782599E-3</v>
      </c>
      <c r="Z55" s="142">
        <f>Mitigation_Industry!$E$352</f>
        <v>1.0536051565782599E-3</v>
      </c>
      <c r="AA55" s="142">
        <f>Mitigation_Industry!$E$352</f>
        <v>1.0536051565782599E-3</v>
      </c>
      <c r="AB55" s="142">
        <f>Mitigation_Industry!$E$352</f>
        <v>1.0536051565782599E-3</v>
      </c>
      <c r="AC55" s="142">
        <f>Mitigation_Industry!$E$352</f>
        <v>1.0536051565782599E-3</v>
      </c>
      <c r="AD55" s="142">
        <f>Mitigation_Industry!$E$352</f>
        <v>1.0536051565782599E-3</v>
      </c>
      <c r="AE55" s="142">
        <f>Mitigation_Industry!$E$352</f>
        <v>1.0536051565782599E-3</v>
      </c>
      <c r="AF55" s="141"/>
      <c r="AG55" s="141"/>
      <c r="AH55" s="141"/>
      <c r="AI55" s="141"/>
    </row>
    <row r="56" spans="1:35" customFormat="1" ht="14.25" x14ac:dyDescent="0.45">
      <c r="B56" s="14" t="s">
        <v>1438</v>
      </c>
      <c r="C56" s="14" t="s">
        <v>43</v>
      </c>
      <c r="D56" s="15" t="s">
        <v>2612</v>
      </c>
      <c r="E56" s="16" t="s">
        <v>2610</v>
      </c>
      <c r="F56" s="14" t="s">
        <v>2608</v>
      </c>
      <c r="G56" s="17"/>
      <c r="H56" s="128" t="str">
        <f>Settings!$B$3&amp;".mit.bf.stl.scr.1"</f>
        <v>egy.mit.bf.stl.scr.1</v>
      </c>
      <c r="K56" s="139"/>
      <c r="L56" s="142">
        <f>Mitigation_Industry!$E$353</f>
        <v>2.0202707317519501E-4</v>
      </c>
      <c r="M56" s="142">
        <f>Mitigation_Industry!$E$353</f>
        <v>2.0202707317519501E-4</v>
      </c>
      <c r="N56" s="142">
        <f>Mitigation_Industry!$E$353</f>
        <v>2.0202707317519501E-4</v>
      </c>
      <c r="O56" s="142">
        <f>Mitigation_Industry!$E$353</f>
        <v>2.0202707317519501E-4</v>
      </c>
      <c r="P56" s="142">
        <f>Mitigation_Industry!$E$353</f>
        <v>2.0202707317519501E-4</v>
      </c>
      <c r="Q56" s="142">
        <f>Mitigation_Industry!$E$353</f>
        <v>2.0202707317519501E-4</v>
      </c>
      <c r="R56" s="142">
        <f>Mitigation_Industry!$E$353</f>
        <v>2.0202707317519501E-4</v>
      </c>
      <c r="S56" s="142">
        <f>Mitigation_Industry!$E$353</f>
        <v>2.0202707317519501E-4</v>
      </c>
      <c r="T56" s="142">
        <f>Mitigation_Industry!$E$353</f>
        <v>2.0202707317519501E-4</v>
      </c>
      <c r="U56" s="142">
        <f>Mitigation_Industry!$E$353</f>
        <v>2.0202707317519501E-4</v>
      </c>
      <c r="V56" s="142">
        <f>Mitigation_Industry!$E$353</f>
        <v>2.0202707317519501E-4</v>
      </c>
      <c r="W56" s="142">
        <f>Mitigation_Industry!$E$353</f>
        <v>2.0202707317519501E-4</v>
      </c>
      <c r="X56" s="142">
        <f>Mitigation_Industry!$E$353</f>
        <v>2.0202707317519501E-4</v>
      </c>
      <c r="Y56" s="142">
        <f>Mitigation_Industry!$E$353</f>
        <v>2.0202707317519501E-4</v>
      </c>
      <c r="Z56" s="142">
        <f>Mitigation_Industry!$E$353</f>
        <v>2.0202707317519501E-4</v>
      </c>
      <c r="AA56" s="142">
        <f>Mitigation_Industry!$E$353</f>
        <v>2.0202707317519501E-4</v>
      </c>
      <c r="AB56" s="142">
        <f>Mitigation_Industry!$E$353</f>
        <v>2.0202707317519501E-4</v>
      </c>
      <c r="AC56" s="142">
        <f>Mitigation_Industry!$E$353</f>
        <v>2.0202707317519501E-4</v>
      </c>
      <c r="AD56" s="142">
        <f>Mitigation_Industry!$E$353</f>
        <v>2.0202707317519501E-4</v>
      </c>
      <c r="AE56" s="142">
        <f>Mitigation_Industry!$E$353</f>
        <v>2.0202707317519501E-4</v>
      </c>
      <c r="AF56" s="141"/>
      <c r="AG56" s="141"/>
      <c r="AH56" s="141"/>
      <c r="AI56" s="141"/>
    </row>
    <row r="57" spans="1:35" customFormat="1" ht="14.25" x14ac:dyDescent="0.45">
      <c r="B57" s="14" t="s">
        <v>1441</v>
      </c>
      <c r="C57" s="14" t="s">
        <v>43</v>
      </c>
      <c r="D57" s="15" t="s">
        <v>2613</v>
      </c>
      <c r="E57" s="16" t="s">
        <v>2610</v>
      </c>
      <c r="F57" s="14" t="s">
        <v>2608</v>
      </c>
      <c r="G57" s="17"/>
      <c r="H57" s="128" t="str">
        <f>Settings!$B$3&amp;".mit.bf.stl.bof.1"</f>
        <v>egy.mit.bf.stl.bof.1</v>
      </c>
      <c r="K57" s="139"/>
      <c r="L57" s="142">
        <f>Mitigation_Industry!$E$354</f>
        <v>5.1293294387550598E-4</v>
      </c>
      <c r="M57" s="142">
        <f>Mitigation_Industry!$E$354</f>
        <v>5.1293294387550598E-4</v>
      </c>
      <c r="N57" s="142">
        <f>Mitigation_Industry!$E$354</f>
        <v>5.1293294387550598E-4</v>
      </c>
      <c r="O57" s="142">
        <f>Mitigation_Industry!$E$354</f>
        <v>5.1293294387550598E-4</v>
      </c>
      <c r="P57" s="142">
        <f>Mitigation_Industry!$E$354</f>
        <v>5.1293294387550598E-4</v>
      </c>
      <c r="Q57" s="142">
        <f>Mitigation_Industry!$E$354</f>
        <v>5.1293294387550598E-4</v>
      </c>
      <c r="R57" s="142">
        <f>Mitigation_Industry!$E$354</f>
        <v>5.1293294387550598E-4</v>
      </c>
      <c r="S57" s="142">
        <f>Mitigation_Industry!$E$354</f>
        <v>5.1293294387550598E-4</v>
      </c>
      <c r="T57" s="142">
        <f>Mitigation_Industry!$E$354</f>
        <v>5.1293294387550598E-4</v>
      </c>
      <c r="U57" s="142">
        <f>Mitigation_Industry!$E$354</f>
        <v>5.1293294387550598E-4</v>
      </c>
      <c r="V57" s="142">
        <f>Mitigation_Industry!$E$354</f>
        <v>5.1293294387550598E-4</v>
      </c>
      <c r="W57" s="142">
        <f>Mitigation_Industry!$E$354</f>
        <v>5.1293294387550598E-4</v>
      </c>
      <c r="X57" s="142">
        <f>Mitigation_Industry!$E$354</f>
        <v>5.1293294387550598E-4</v>
      </c>
      <c r="Y57" s="142">
        <f>Mitigation_Industry!$E$354</f>
        <v>5.1293294387550598E-4</v>
      </c>
      <c r="Z57" s="142">
        <f>Mitigation_Industry!$E$354</f>
        <v>5.1293294387550598E-4</v>
      </c>
      <c r="AA57" s="142">
        <f>Mitigation_Industry!$E$354</f>
        <v>5.1293294387550598E-4</v>
      </c>
      <c r="AB57" s="142">
        <f>Mitigation_Industry!$E$354</f>
        <v>5.1293294387550598E-4</v>
      </c>
      <c r="AC57" s="142">
        <f>Mitigation_Industry!$E$354</f>
        <v>5.1293294387550598E-4</v>
      </c>
      <c r="AD57" s="142">
        <f>Mitigation_Industry!$E$354</f>
        <v>5.1293294387550598E-4</v>
      </c>
      <c r="AE57" s="142">
        <f>Mitigation_Industry!$E$354</f>
        <v>5.1293294387550598E-4</v>
      </c>
      <c r="AF57" s="141"/>
      <c r="AG57" s="141"/>
      <c r="AH57" s="141"/>
      <c r="AI57" s="141"/>
    </row>
    <row r="58" spans="1:35" customFormat="1" ht="14.25" x14ac:dyDescent="0.45">
      <c r="B58" s="14" t="s">
        <v>1444</v>
      </c>
      <c r="C58" s="14" t="s">
        <v>113</v>
      </c>
      <c r="D58" s="15" t="s">
        <v>2614</v>
      </c>
      <c r="E58" s="16" t="s">
        <v>2610</v>
      </c>
      <c r="F58" s="14" t="s">
        <v>2608</v>
      </c>
      <c r="G58" s="17"/>
      <c r="H58" s="128" t="str">
        <f>Settings!$B$3&amp;".mit.bf.cmt.dry.1"</f>
        <v>egy.mit.bf.cmt.dry.1</v>
      </c>
      <c r="K58" s="139"/>
      <c r="L58" s="142">
        <f>Mitigation_Industry!$E$355</f>
        <v>8.3381608939051E-4</v>
      </c>
      <c r="M58" s="142">
        <f>Mitigation_Industry!$E$355</f>
        <v>8.3381608939051E-4</v>
      </c>
      <c r="N58" s="142">
        <f>Mitigation_Industry!$E$355</f>
        <v>8.3381608939051E-4</v>
      </c>
      <c r="O58" s="142">
        <f>Mitigation_Industry!$E$355</f>
        <v>8.3381608939051E-4</v>
      </c>
      <c r="P58" s="142">
        <f>Mitigation_Industry!$E$355</f>
        <v>8.3381608939051E-4</v>
      </c>
      <c r="Q58" s="142">
        <f>Mitigation_Industry!$E$355</f>
        <v>8.3381608939051E-4</v>
      </c>
      <c r="R58" s="142">
        <f>Mitigation_Industry!$E$355</f>
        <v>8.3381608939051E-4</v>
      </c>
      <c r="S58" s="142">
        <f>Mitigation_Industry!$E$355</f>
        <v>8.3381608939051E-4</v>
      </c>
      <c r="T58" s="142">
        <f>Mitigation_Industry!$E$355</f>
        <v>8.3381608939051E-4</v>
      </c>
      <c r="U58" s="142">
        <f>Mitigation_Industry!$E$355</f>
        <v>8.3381608939051E-4</v>
      </c>
      <c r="V58" s="142">
        <f>Mitigation_Industry!$E$355</f>
        <v>8.3381608939051E-4</v>
      </c>
      <c r="W58" s="142">
        <f>Mitigation_Industry!$E$355</f>
        <v>8.3381608939051E-4</v>
      </c>
      <c r="X58" s="142">
        <f>Mitigation_Industry!$E$355</f>
        <v>8.3381608939051E-4</v>
      </c>
      <c r="Y58" s="142">
        <f>Mitigation_Industry!$E$355</f>
        <v>8.3381608939051E-4</v>
      </c>
      <c r="Z58" s="142">
        <f>Mitigation_Industry!$E$355</f>
        <v>8.3381608939051E-4</v>
      </c>
      <c r="AA58" s="142">
        <f>Mitigation_Industry!$E$355</f>
        <v>8.3381608939051E-4</v>
      </c>
      <c r="AB58" s="142">
        <f>Mitigation_Industry!$E$355</f>
        <v>8.3381608939051E-4</v>
      </c>
      <c r="AC58" s="142">
        <f>Mitigation_Industry!$E$355</f>
        <v>8.3381608939051E-4</v>
      </c>
      <c r="AD58" s="142">
        <f>Mitigation_Industry!$E$355</f>
        <v>8.3381608939051E-4</v>
      </c>
      <c r="AE58" s="142">
        <f>Mitigation_Industry!$E$355</f>
        <v>8.3381608939051E-4</v>
      </c>
      <c r="AF58" s="141"/>
      <c r="AG58" s="141"/>
      <c r="AH58" s="141"/>
      <c r="AI58" s="141"/>
    </row>
    <row r="59" spans="1:35" customFormat="1" ht="14.25" x14ac:dyDescent="0.45">
      <c r="B59" s="14" t="s">
        <v>1447</v>
      </c>
      <c r="C59" s="14" t="s">
        <v>117</v>
      </c>
      <c r="D59" s="15" t="s">
        <v>2615</v>
      </c>
      <c r="E59" s="16" t="s">
        <v>2610</v>
      </c>
      <c r="F59" s="14" t="s">
        <v>2608</v>
      </c>
      <c r="G59" s="17"/>
      <c r="H59" s="128" t="str">
        <f>Settings!$B$3&amp;".mit.bf.frt.amc.1"</f>
        <v>egy.mit.bf.frt.amc.1</v>
      </c>
      <c r="K59" s="139"/>
      <c r="L59" s="142">
        <f>Mitigation_Industry!$E$356</f>
        <v>1.98450938723838E-3</v>
      </c>
      <c r="M59" s="142">
        <f>Mitigation_Industry!$E$356</f>
        <v>1.98450938723838E-3</v>
      </c>
      <c r="N59" s="142">
        <f>Mitigation_Industry!$E$356</f>
        <v>1.98450938723838E-3</v>
      </c>
      <c r="O59" s="142">
        <f>Mitigation_Industry!$E$356</f>
        <v>1.98450938723838E-3</v>
      </c>
      <c r="P59" s="142">
        <f>Mitigation_Industry!$E$356</f>
        <v>1.98450938723838E-3</v>
      </c>
      <c r="Q59" s="142">
        <f>Mitigation_Industry!$E$356</f>
        <v>1.98450938723838E-3</v>
      </c>
      <c r="R59" s="142">
        <f>Mitigation_Industry!$E$356</f>
        <v>1.98450938723838E-3</v>
      </c>
      <c r="S59" s="142">
        <f>Mitigation_Industry!$E$356</f>
        <v>1.98450938723838E-3</v>
      </c>
      <c r="T59" s="142">
        <f>Mitigation_Industry!$E$356</f>
        <v>1.98450938723838E-3</v>
      </c>
      <c r="U59" s="142">
        <f>Mitigation_Industry!$E$356</f>
        <v>1.98450938723838E-3</v>
      </c>
      <c r="V59" s="142">
        <f>Mitigation_Industry!$E$356</f>
        <v>1.98450938723838E-3</v>
      </c>
      <c r="W59" s="142">
        <f>Mitigation_Industry!$E$356</f>
        <v>1.98450938723838E-3</v>
      </c>
      <c r="X59" s="142">
        <f>Mitigation_Industry!$E$356</f>
        <v>1.98450938723838E-3</v>
      </c>
      <c r="Y59" s="142">
        <f>Mitigation_Industry!$E$356</f>
        <v>1.98450938723838E-3</v>
      </c>
      <c r="Z59" s="142">
        <f>Mitigation_Industry!$E$356</f>
        <v>1.98450938723838E-3</v>
      </c>
      <c r="AA59" s="142">
        <f>Mitigation_Industry!$E$356</f>
        <v>1.98450938723838E-3</v>
      </c>
      <c r="AB59" s="142">
        <f>Mitigation_Industry!$E$356</f>
        <v>1.98450938723838E-3</v>
      </c>
      <c r="AC59" s="142">
        <f>Mitigation_Industry!$E$356</f>
        <v>1.98450938723838E-3</v>
      </c>
      <c r="AD59" s="142">
        <f>Mitigation_Industry!$E$356</f>
        <v>1.98450938723838E-3</v>
      </c>
      <c r="AE59" s="142">
        <f>Mitigation_Industry!$E$356</f>
        <v>1.98450938723838E-3</v>
      </c>
      <c r="AF59" s="141"/>
      <c r="AG59" s="141"/>
      <c r="AH59" s="141"/>
      <c r="AI59" s="141"/>
    </row>
    <row r="60" spans="1:35" customFormat="1" ht="14.25" x14ac:dyDescent="0.45">
      <c r="B60" s="14" t="s">
        <v>1450</v>
      </c>
      <c r="C60" s="14" t="s">
        <v>117</v>
      </c>
      <c r="D60" s="15" t="s">
        <v>2616</v>
      </c>
      <c r="E60" s="16" t="s">
        <v>2610</v>
      </c>
      <c r="F60" s="14" t="s">
        <v>2608</v>
      </c>
      <c r="G60" s="17"/>
      <c r="H60" s="128" t="str">
        <f>Settings!$B$3&amp;".mit.bf.frt.ure.1"</f>
        <v>egy.mit.bf.frt.ure.1</v>
      </c>
      <c r="K60" s="139"/>
      <c r="L60" s="142">
        <f>Mitigation_Industry!$E$357</f>
        <v>0</v>
      </c>
      <c r="M60" s="142">
        <f>Mitigation_Industry!$E$357</f>
        <v>0</v>
      </c>
      <c r="N60" s="142">
        <f>Mitigation_Industry!$E$357</f>
        <v>0</v>
      </c>
      <c r="O60" s="142">
        <f>Mitigation_Industry!$E$357</f>
        <v>0</v>
      </c>
      <c r="P60" s="142">
        <f>Mitigation_Industry!$E$357</f>
        <v>0</v>
      </c>
      <c r="Q60" s="142">
        <f>Mitigation_Industry!$E$357</f>
        <v>0</v>
      </c>
      <c r="R60" s="142">
        <f>Mitigation_Industry!$E$357</f>
        <v>0</v>
      </c>
      <c r="S60" s="142">
        <f>Mitigation_Industry!$E$357</f>
        <v>0</v>
      </c>
      <c r="T60" s="142">
        <f>Mitigation_Industry!$E$357</f>
        <v>0</v>
      </c>
      <c r="U60" s="142">
        <f>Mitigation_Industry!$E$357</f>
        <v>0</v>
      </c>
      <c r="V60" s="142">
        <f>Mitigation_Industry!$E$357</f>
        <v>0</v>
      </c>
      <c r="W60" s="142">
        <f>Mitigation_Industry!$E$357</f>
        <v>0</v>
      </c>
      <c r="X60" s="142">
        <f>Mitigation_Industry!$E$357</f>
        <v>0</v>
      </c>
      <c r="Y60" s="142">
        <f>Mitigation_Industry!$E$357</f>
        <v>0</v>
      </c>
      <c r="Z60" s="142">
        <f>Mitigation_Industry!$E$357</f>
        <v>0</v>
      </c>
      <c r="AA60" s="142">
        <f>Mitigation_Industry!$E$357</f>
        <v>0</v>
      </c>
      <c r="AB60" s="142">
        <f>Mitigation_Industry!$E$357</f>
        <v>0</v>
      </c>
      <c r="AC60" s="142">
        <f>Mitigation_Industry!$E$357</f>
        <v>0</v>
      </c>
      <c r="AD60" s="142">
        <f>Mitigation_Industry!$E$357</f>
        <v>0</v>
      </c>
      <c r="AE60" s="142">
        <f>Mitigation_Industry!$E$357</f>
        <v>0</v>
      </c>
      <c r="AF60" s="141"/>
      <c r="AG60" s="141"/>
      <c r="AH60" s="141"/>
      <c r="AI60" s="141"/>
    </row>
    <row r="61" spans="1:35" customFormat="1" ht="14.25" x14ac:dyDescent="0.45">
      <c r="B61" s="14" t="s">
        <v>1453</v>
      </c>
      <c r="C61" s="14" t="s">
        <v>117</v>
      </c>
      <c r="D61" s="15" t="s">
        <v>2617</v>
      </c>
      <c r="E61" s="16" t="s">
        <v>2610</v>
      </c>
      <c r="F61" s="14" t="s">
        <v>2608</v>
      </c>
      <c r="G61" s="17"/>
      <c r="H61" s="128" t="str">
        <f>Settings!$B$3&amp;".mit.bf.frt.nit.1"</f>
        <v>egy.mit.bf.frt.nit.1</v>
      </c>
      <c r="K61" s="139"/>
      <c r="L61" s="142">
        <f>Mitigation_Industry!$E$358</f>
        <v>1.04982212449868E-2</v>
      </c>
      <c r="M61" s="142">
        <f>Mitigation_Industry!$E$358</f>
        <v>1.04982212449868E-2</v>
      </c>
      <c r="N61" s="142">
        <f>Mitigation_Industry!$E$358</f>
        <v>1.04982212449868E-2</v>
      </c>
      <c r="O61" s="142">
        <f>Mitigation_Industry!$E$358</f>
        <v>1.04982212449868E-2</v>
      </c>
      <c r="P61" s="142">
        <f>Mitigation_Industry!$E$358</f>
        <v>1.04982212449868E-2</v>
      </c>
      <c r="Q61" s="142">
        <f>Mitigation_Industry!$E$358</f>
        <v>1.04982212449868E-2</v>
      </c>
      <c r="R61" s="142">
        <f>Mitigation_Industry!$E$358</f>
        <v>1.04982212449868E-2</v>
      </c>
      <c r="S61" s="142">
        <f>Mitigation_Industry!$E$358</f>
        <v>1.04982212449868E-2</v>
      </c>
      <c r="T61" s="142">
        <f>Mitigation_Industry!$E$358</f>
        <v>1.04982212449868E-2</v>
      </c>
      <c r="U61" s="142">
        <f>Mitigation_Industry!$E$358</f>
        <v>1.04982212449868E-2</v>
      </c>
      <c r="V61" s="142">
        <f>Mitigation_Industry!$E$358</f>
        <v>1.04982212449868E-2</v>
      </c>
      <c r="W61" s="142">
        <f>Mitigation_Industry!$E$358</f>
        <v>1.04982212449868E-2</v>
      </c>
      <c r="X61" s="142">
        <f>Mitigation_Industry!$E$358</f>
        <v>1.04982212449868E-2</v>
      </c>
      <c r="Y61" s="142">
        <f>Mitigation_Industry!$E$358</f>
        <v>1.04982212449868E-2</v>
      </c>
      <c r="Z61" s="142">
        <f>Mitigation_Industry!$E$358</f>
        <v>1.04982212449868E-2</v>
      </c>
      <c r="AA61" s="142">
        <f>Mitigation_Industry!$E$358</f>
        <v>1.04982212449868E-2</v>
      </c>
      <c r="AB61" s="142">
        <f>Mitigation_Industry!$E$358</f>
        <v>1.04982212449868E-2</v>
      </c>
      <c r="AC61" s="142">
        <f>Mitigation_Industry!$E$358</f>
        <v>1.04982212449868E-2</v>
      </c>
      <c r="AD61" s="142">
        <f>Mitigation_Industry!$E$358</f>
        <v>1.04982212449868E-2</v>
      </c>
      <c r="AE61" s="142">
        <f>Mitigation_Industry!$E$358</f>
        <v>1.04982212449868E-2</v>
      </c>
      <c r="AF61" s="141"/>
      <c r="AG61" s="141"/>
      <c r="AH61" s="141"/>
      <c r="AI61" s="141"/>
    </row>
    <row r="62" spans="1:35" customFormat="1" ht="14.25" x14ac:dyDescent="0.45">
      <c r="B62" s="14" t="s">
        <v>1456</v>
      </c>
      <c r="C62" s="14" t="s">
        <v>115</v>
      </c>
      <c r="D62" s="15" t="s">
        <v>2618</v>
      </c>
      <c r="E62" s="16" t="s">
        <v>2610</v>
      </c>
      <c r="F62" s="14" t="s">
        <v>2608</v>
      </c>
      <c r="G62" s="17"/>
      <c r="H62" s="128" t="str">
        <f>Settings!$B$3&amp;".mit.bf.alu.prp.1"</f>
        <v>egy.mit.bf.alu.prp.1</v>
      </c>
      <c r="K62" s="139"/>
      <c r="L62" s="142">
        <f>Mitigation_Industry!$E$359</f>
        <v>8.3381608939051E-4</v>
      </c>
      <c r="M62" s="142">
        <f>Mitigation_Industry!$E$359</f>
        <v>8.3381608939051E-4</v>
      </c>
      <c r="N62" s="142">
        <f>Mitigation_Industry!$E$359</f>
        <v>8.3381608939051E-4</v>
      </c>
      <c r="O62" s="142">
        <f>Mitigation_Industry!$E$359</f>
        <v>8.3381608939051E-4</v>
      </c>
      <c r="P62" s="142">
        <f>Mitigation_Industry!$E$359</f>
        <v>8.3381608939051E-4</v>
      </c>
      <c r="Q62" s="142">
        <f>Mitigation_Industry!$E$359</f>
        <v>8.3381608939051E-4</v>
      </c>
      <c r="R62" s="142">
        <f>Mitigation_Industry!$E$359</f>
        <v>8.3381608939051E-4</v>
      </c>
      <c r="S62" s="142">
        <f>Mitigation_Industry!$E$359</f>
        <v>8.3381608939051E-4</v>
      </c>
      <c r="T62" s="142">
        <f>Mitigation_Industry!$E$359</f>
        <v>8.3381608939051E-4</v>
      </c>
      <c r="U62" s="142">
        <f>Mitigation_Industry!$E$359</f>
        <v>8.3381608939051E-4</v>
      </c>
      <c r="V62" s="142">
        <f>Mitigation_Industry!$E$359</f>
        <v>8.3381608939051E-4</v>
      </c>
      <c r="W62" s="142">
        <f>Mitigation_Industry!$E$359</f>
        <v>8.3381608939051E-4</v>
      </c>
      <c r="X62" s="142">
        <f>Mitigation_Industry!$E$359</f>
        <v>8.3381608939051E-4</v>
      </c>
      <c r="Y62" s="142">
        <f>Mitigation_Industry!$E$359</f>
        <v>8.3381608939051E-4</v>
      </c>
      <c r="Z62" s="142">
        <f>Mitigation_Industry!$E$359</f>
        <v>8.3381608939051E-4</v>
      </c>
      <c r="AA62" s="142">
        <f>Mitigation_Industry!$E$359</f>
        <v>8.3381608939051E-4</v>
      </c>
      <c r="AB62" s="142">
        <f>Mitigation_Industry!$E$359</f>
        <v>8.3381608939051E-4</v>
      </c>
      <c r="AC62" s="142">
        <f>Mitigation_Industry!$E$359</f>
        <v>8.3381608939051E-4</v>
      </c>
      <c r="AD62" s="142">
        <f>Mitigation_Industry!$E$359</f>
        <v>8.3381608939051E-4</v>
      </c>
      <c r="AE62" s="142">
        <f>Mitigation_Industry!$E$359</f>
        <v>8.3381608939051E-4</v>
      </c>
      <c r="AF62" s="141"/>
      <c r="AG62" s="141"/>
      <c r="AH62" s="141"/>
      <c r="AI62" s="141"/>
    </row>
    <row r="63" spans="1:35" x14ac:dyDescent="0.35"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</row>
    <row r="64" spans="1:35" customFormat="1" ht="14.25" x14ac:dyDescent="0.45">
      <c r="A64" s="11"/>
      <c r="B64" s="6"/>
      <c r="C64" s="7" t="s">
        <v>2619</v>
      </c>
      <c r="D64" s="6" t="s">
        <v>1488</v>
      </c>
      <c r="E64" s="7" t="s">
        <v>35</v>
      </c>
      <c r="F64" s="7" t="s">
        <v>45</v>
      </c>
      <c r="G64" s="7" t="s">
        <v>37</v>
      </c>
      <c r="H64" s="12" t="s">
        <v>38</v>
      </c>
      <c r="I64" s="6" t="s">
        <v>39</v>
      </c>
      <c r="J64" s="48">
        <v>1</v>
      </c>
      <c r="K64" s="137">
        <v>2021</v>
      </c>
      <c r="L64" s="138">
        <v>2022</v>
      </c>
      <c r="M64" s="137">
        <v>2023</v>
      </c>
      <c r="N64" s="137">
        <v>2024</v>
      </c>
      <c r="O64" s="137">
        <v>2025</v>
      </c>
      <c r="P64" s="137">
        <v>2026</v>
      </c>
      <c r="Q64" s="137">
        <v>2027</v>
      </c>
      <c r="R64" s="137">
        <v>2028</v>
      </c>
      <c r="S64" s="137">
        <v>2029</v>
      </c>
      <c r="T64" s="137">
        <v>2030</v>
      </c>
      <c r="U64" s="137">
        <v>2031</v>
      </c>
      <c r="V64" s="137">
        <v>2032</v>
      </c>
      <c r="W64" s="137">
        <v>2033</v>
      </c>
      <c r="X64" s="137">
        <v>2034</v>
      </c>
      <c r="Y64" s="137">
        <v>2035</v>
      </c>
      <c r="Z64" s="137">
        <v>2036</v>
      </c>
      <c r="AA64" s="137">
        <v>2037</v>
      </c>
      <c r="AB64" s="137">
        <v>2038</v>
      </c>
      <c r="AC64" s="137">
        <v>2039</v>
      </c>
      <c r="AD64" s="137">
        <v>2040</v>
      </c>
      <c r="AE64" s="137">
        <v>2041</v>
      </c>
      <c r="AF64" s="137">
        <v>2042</v>
      </c>
      <c r="AG64" s="137">
        <v>2043</v>
      </c>
      <c r="AH64" s="137">
        <v>2044</v>
      </c>
      <c r="AI64" s="137">
        <v>2045</v>
      </c>
    </row>
    <row r="65" spans="2:35" customFormat="1" ht="14.25" x14ac:dyDescent="0.45">
      <c r="B65" s="14" t="s">
        <v>2565</v>
      </c>
      <c r="C65" s="14" t="s">
        <v>43</v>
      </c>
      <c r="D65" s="15" t="s">
        <v>2620</v>
      </c>
      <c r="E65" s="16" t="s">
        <v>2610</v>
      </c>
      <c r="F65" s="14" t="s">
        <v>2619</v>
      </c>
      <c r="G65" s="17"/>
      <c r="H65" s="128" t="str">
        <f>Settings!$B$3&amp;".mit.bp.stl.drg.np.1"</f>
        <v>egy.mit.bp.stl.drg.np.1</v>
      </c>
      <c r="I65" t="s">
        <v>2621</v>
      </c>
      <c r="K65" s="139"/>
      <c r="L65" s="142">
        <f>Mitigation_Industry!$E$363</f>
        <v>3.4469507031574592E-3</v>
      </c>
      <c r="M65" s="142">
        <f>Mitigation_Industry!$E$363</f>
        <v>3.4469507031574592E-3</v>
      </c>
      <c r="N65" s="142">
        <f>Mitigation_Industry!$E$363</f>
        <v>3.4469507031574592E-3</v>
      </c>
      <c r="O65" s="142">
        <f>Mitigation_Industry!$E$363</f>
        <v>3.4469507031574592E-3</v>
      </c>
      <c r="P65" s="142">
        <f>Mitigation_Industry!$E$363</f>
        <v>3.4469507031574592E-3</v>
      </c>
      <c r="Q65" s="142">
        <f>Mitigation_Industry!$E$363</f>
        <v>3.4469507031574592E-3</v>
      </c>
      <c r="R65" s="142">
        <f>Mitigation_Industry!$E$363</f>
        <v>3.4469507031574592E-3</v>
      </c>
      <c r="S65" s="142">
        <f>Mitigation_Industry!$E$363</f>
        <v>3.4469507031574592E-3</v>
      </c>
      <c r="T65" s="142">
        <f>Mitigation_Industry!$E$363</f>
        <v>3.4469507031574592E-3</v>
      </c>
      <c r="U65" s="142">
        <f>Mitigation_Industry!$E$363</f>
        <v>3.4469507031574592E-3</v>
      </c>
      <c r="V65" s="142">
        <f>Mitigation_Industry!$E$363</f>
        <v>3.4469507031574592E-3</v>
      </c>
      <c r="W65" s="142">
        <f>Mitigation_Industry!$E$363</f>
        <v>3.4469507031574592E-3</v>
      </c>
      <c r="X65" s="142">
        <f>Mitigation_Industry!$E$363</f>
        <v>3.4469507031574592E-3</v>
      </c>
      <c r="Y65" s="142">
        <f>Mitigation_Industry!$E$363</f>
        <v>3.4469507031574592E-3</v>
      </c>
      <c r="Z65" s="142">
        <f>Mitigation_Industry!$E$363</f>
        <v>3.4469507031574592E-3</v>
      </c>
      <c r="AA65" s="142">
        <f>Mitigation_Industry!$E$363</f>
        <v>3.4469507031574592E-3</v>
      </c>
      <c r="AB65" s="142">
        <f>Mitigation_Industry!$E$363</f>
        <v>3.4469507031574592E-3</v>
      </c>
      <c r="AC65" s="142">
        <f>Mitigation_Industry!$E$363</f>
        <v>3.4469507031574592E-3</v>
      </c>
      <c r="AD65" s="142">
        <f>Mitigation_Industry!$E$363</f>
        <v>3.4469507031574592E-3</v>
      </c>
      <c r="AE65" s="142">
        <f>Mitigation_Industry!$E$363</f>
        <v>3.4469507031574592E-3</v>
      </c>
      <c r="AF65" s="141"/>
      <c r="AG65" s="141"/>
      <c r="AH65" s="141"/>
      <c r="AI65" s="141"/>
    </row>
    <row r="66" spans="2:35" customFormat="1" ht="14.25" x14ac:dyDescent="0.45">
      <c r="B66" s="14" t="s">
        <v>2568</v>
      </c>
      <c r="C66" s="14" t="s">
        <v>43</v>
      </c>
      <c r="D66" s="15" t="s">
        <v>2622</v>
      </c>
      <c r="E66" s="16" t="s">
        <v>2610</v>
      </c>
      <c r="F66" s="14" t="s">
        <v>2619</v>
      </c>
      <c r="G66" s="17"/>
      <c r="H66" s="128" t="str">
        <f>Settings!$B$3&amp;".mit.bp.stl.scr.np.1"</f>
        <v>egy.mit.bp.stl.scr.np.1</v>
      </c>
      <c r="K66" s="139"/>
      <c r="L66" s="142">
        <f>Mitigation_Industry!$E$364</f>
        <v>1.6366491404021942E-3</v>
      </c>
      <c r="M66" s="142">
        <f>Mitigation_Industry!$E$364</f>
        <v>1.6366491404021942E-3</v>
      </c>
      <c r="N66" s="142">
        <f>Mitigation_Industry!$E$364</f>
        <v>1.6366491404021942E-3</v>
      </c>
      <c r="O66" s="142">
        <f>Mitigation_Industry!$E$364</f>
        <v>1.6366491404021942E-3</v>
      </c>
      <c r="P66" s="142">
        <f>Mitigation_Industry!$E$364</f>
        <v>1.6366491404021942E-3</v>
      </c>
      <c r="Q66" s="142">
        <f>Mitigation_Industry!$E$364</f>
        <v>1.6366491404021942E-3</v>
      </c>
      <c r="R66" s="142">
        <f>Mitigation_Industry!$E$364</f>
        <v>1.6366491404021942E-3</v>
      </c>
      <c r="S66" s="142">
        <f>Mitigation_Industry!$E$364</f>
        <v>1.6366491404021942E-3</v>
      </c>
      <c r="T66" s="142">
        <f>Mitigation_Industry!$E$364</f>
        <v>1.6366491404021942E-3</v>
      </c>
      <c r="U66" s="142">
        <f>Mitigation_Industry!$E$364</f>
        <v>1.6366491404021942E-3</v>
      </c>
      <c r="V66" s="142">
        <f>Mitigation_Industry!$E$364</f>
        <v>1.6366491404021942E-3</v>
      </c>
      <c r="W66" s="142">
        <f>Mitigation_Industry!$E$364</f>
        <v>1.6366491404021942E-3</v>
      </c>
      <c r="X66" s="142">
        <f>Mitigation_Industry!$E$364</f>
        <v>1.6366491404021942E-3</v>
      </c>
      <c r="Y66" s="142">
        <f>Mitigation_Industry!$E$364</f>
        <v>1.6366491404021942E-3</v>
      </c>
      <c r="Z66" s="142">
        <f>Mitigation_Industry!$E$364</f>
        <v>1.6366491404021942E-3</v>
      </c>
      <c r="AA66" s="142">
        <f>Mitigation_Industry!$E$364</f>
        <v>1.6366491404021942E-3</v>
      </c>
      <c r="AB66" s="142">
        <f>Mitigation_Industry!$E$364</f>
        <v>1.6366491404021942E-3</v>
      </c>
      <c r="AC66" s="142">
        <f>Mitigation_Industry!$E$364</f>
        <v>1.6366491404021942E-3</v>
      </c>
      <c r="AD66" s="142">
        <f>Mitigation_Industry!$E$364</f>
        <v>1.6366491404021942E-3</v>
      </c>
      <c r="AE66" s="142">
        <f>Mitigation_Industry!$E$364</f>
        <v>1.6366491404021942E-3</v>
      </c>
      <c r="AF66" s="141"/>
      <c r="AG66" s="141"/>
      <c r="AH66" s="141"/>
      <c r="AI66" s="141"/>
    </row>
    <row r="67" spans="2:35" customFormat="1" ht="14.25" x14ac:dyDescent="0.45">
      <c r="B67" s="14" t="s">
        <v>2570</v>
      </c>
      <c r="C67" s="14" t="s">
        <v>43</v>
      </c>
      <c r="D67" s="15" t="s">
        <v>2623</v>
      </c>
      <c r="E67" s="16" t="s">
        <v>2610</v>
      </c>
      <c r="F67" s="14" t="s">
        <v>2619</v>
      </c>
      <c r="G67" s="17"/>
      <c r="H67" s="128" t="str">
        <f>Settings!$B$3&amp;".mit.bp.stl.bof.np.1"</f>
        <v>egy.mit.bp.stl.bof.np.1</v>
      </c>
      <c r="K67" s="139"/>
      <c r="L67" s="142">
        <f>Mitigation_Industry!$E$365</f>
        <v>2.6960722989211347E-3</v>
      </c>
      <c r="M67" s="142">
        <f>Mitigation_Industry!$E$365</f>
        <v>2.6960722989211347E-3</v>
      </c>
      <c r="N67" s="142">
        <f>Mitigation_Industry!$E$365</f>
        <v>2.6960722989211347E-3</v>
      </c>
      <c r="O67" s="142">
        <f>Mitigation_Industry!$E$365</f>
        <v>2.6960722989211347E-3</v>
      </c>
      <c r="P67" s="142">
        <f>Mitigation_Industry!$E$365</f>
        <v>2.6960722989211347E-3</v>
      </c>
      <c r="Q67" s="142">
        <f>Mitigation_Industry!$E$365</f>
        <v>2.6960722989211347E-3</v>
      </c>
      <c r="R67" s="142">
        <f>Mitigation_Industry!$E$365</f>
        <v>2.6960722989211347E-3</v>
      </c>
      <c r="S67" s="142">
        <f>Mitigation_Industry!$E$365</f>
        <v>2.6960722989211347E-3</v>
      </c>
      <c r="T67" s="142">
        <f>Mitigation_Industry!$E$365</f>
        <v>2.6960722989211347E-3</v>
      </c>
      <c r="U67" s="142">
        <f>Mitigation_Industry!$E$365</f>
        <v>2.6960722989211347E-3</v>
      </c>
      <c r="V67" s="142">
        <f>Mitigation_Industry!$E$365</f>
        <v>2.6960722989211347E-3</v>
      </c>
      <c r="W67" s="142">
        <f>Mitigation_Industry!$E$365</f>
        <v>2.6960722989211347E-3</v>
      </c>
      <c r="X67" s="142">
        <f>Mitigation_Industry!$E$365</f>
        <v>2.6960722989211347E-3</v>
      </c>
      <c r="Y67" s="142">
        <f>Mitigation_Industry!$E$365</f>
        <v>2.6960722989211347E-3</v>
      </c>
      <c r="Z67" s="142">
        <f>Mitigation_Industry!$E$365</f>
        <v>2.6960722989211347E-3</v>
      </c>
      <c r="AA67" s="142">
        <f>Mitigation_Industry!$E$365</f>
        <v>2.6960722989211347E-3</v>
      </c>
      <c r="AB67" s="142">
        <f>Mitigation_Industry!$E$365</f>
        <v>2.6960722989211347E-3</v>
      </c>
      <c r="AC67" s="142">
        <f>Mitigation_Industry!$E$365</f>
        <v>2.6960722989211347E-3</v>
      </c>
      <c r="AD67" s="142">
        <f>Mitigation_Industry!$E$365</f>
        <v>2.6960722989211347E-3</v>
      </c>
      <c r="AE67" s="142">
        <f>Mitigation_Industry!$E$365</f>
        <v>2.6960722989211347E-3</v>
      </c>
      <c r="AF67" s="141"/>
      <c r="AG67" s="141"/>
      <c r="AH67" s="141"/>
      <c r="AI67" s="141"/>
    </row>
    <row r="68" spans="2:35" customFormat="1" ht="14.25" x14ac:dyDescent="0.45">
      <c r="B68" s="14" t="s">
        <v>2572</v>
      </c>
      <c r="C68" s="14" t="s">
        <v>113</v>
      </c>
      <c r="D68" s="15" t="s">
        <v>2624</v>
      </c>
      <c r="E68" s="16" t="s">
        <v>2610</v>
      </c>
      <c r="F68" s="14" t="s">
        <v>2619</v>
      </c>
      <c r="G68" s="17"/>
      <c r="H68" s="128" t="str">
        <f>Settings!$B$3&amp;".mit.bp.cmt.dry.np.1"</f>
        <v>egy.mit.bp.cmt.dry.np.1</v>
      </c>
      <c r="K68" s="139"/>
      <c r="L68" s="142">
        <f>Mitigation_Industry!$E$366</f>
        <v>3.3464675036139224E-3</v>
      </c>
      <c r="M68" s="142">
        <f>Mitigation_Industry!$E$366</f>
        <v>3.3464675036139224E-3</v>
      </c>
      <c r="N68" s="142">
        <f>Mitigation_Industry!$E$366</f>
        <v>3.3464675036139224E-3</v>
      </c>
      <c r="O68" s="142">
        <f>Mitigation_Industry!$E$366</f>
        <v>3.3464675036139224E-3</v>
      </c>
      <c r="P68" s="142">
        <f>Mitigation_Industry!$E$366</f>
        <v>3.3464675036139224E-3</v>
      </c>
      <c r="Q68" s="142">
        <f>Mitigation_Industry!$E$366</f>
        <v>3.3464675036139224E-3</v>
      </c>
      <c r="R68" s="142">
        <f>Mitigation_Industry!$E$366</f>
        <v>3.3464675036139224E-3</v>
      </c>
      <c r="S68" s="142">
        <f>Mitigation_Industry!$E$366</f>
        <v>3.3464675036139224E-3</v>
      </c>
      <c r="T68" s="142">
        <f>Mitigation_Industry!$E$366</f>
        <v>3.3464675036139224E-3</v>
      </c>
      <c r="U68" s="142">
        <f>Mitigation_Industry!$E$366</f>
        <v>3.3464675036139224E-3</v>
      </c>
      <c r="V68" s="142">
        <f>Mitigation_Industry!$E$366</f>
        <v>3.3464675036139224E-3</v>
      </c>
      <c r="W68" s="142">
        <f>Mitigation_Industry!$E$366</f>
        <v>3.3464675036139224E-3</v>
      </c>
      <c r="X68" s="142">
        <f>Mitigation_Industry!$E$366</f>
        <v>3.3464675036139224E-3</v>
      </c>
      <c r="Y68" s="142">
        <f>Mitigation_Industry!$E$366</f>
        <v>3.3464675036139224E-3</v>
      </c>
      <c r="Z68" s="142">
        <f>Mitigation_Industry!$E$366</f>
        <v>3.3464675036139224E-3</v>
      </c>
      <c r="AA68" s="142">
        <f>Mitigation_Industry!$E$366</f>
        <v>3.3464675036139224E-3</v>
      </c>
      <c r="AB68" s="142">
        <f>Mitigation_Industry!$E$366</f>
        <v>3.3464675036139224E-3</v>
      </c>
      <c r="AC68" s="142">
        <f>Mitigation_Industry!$E$366</f>
        <v>3.3464675036139224E-3</v>
      </c>
      <c r="AD68" s="142">
        <f>Mitigation_Industry!$E$366</f>
        <v>3.3464675036139224E-3</v>
      </c>
      <c r="AE68" s="142">
        <f>Mitigation_Industry!$E$366</f>
        <v>3.3464675036139224E-3</v>
      </c>
      <c r="AF68" s="141"/>
      <c r="AG68" s="141"/>
      <c r="AH68" s="141"/>
      <c r="AI68" s="141"/>
    </row>
    <row r="69" spans="2:35" customFormat="1" ht="14.25" x14ac:dyDescent="0.45">
      <c r="B69" s="14" t="s">
        <v>2574</v>
      </c>
      <c r="C69" s="14" t="s">
        <v>117</v>
      </c>
      <c r="D69" s="15" t="s">
        <v>2625</v>
      </c>
      <c r="E69" s="16" t="s">
        <v>2610</v>
      </c>
      <c r="F69" s="14" t="s">
        <v>2619</v>
      </c>
      <c r="G69" s="17"/>
      <c r="H69" s="128" t="str">
        <f>Settings!$B$3&amp;".mit.bp.frt.amc.np.1"</f>
        <v>egy.mit.bp.frt.amc.np.1</v>
      </c>
      <c r="K69" s="139"/>
      <c r="L69" s="142">
        <f>Mitigation_Industry!$E$367</f>
        <v>0</v>
      </c>
      <c r="M69" s="142">
        <f>Mitigation_Industry!$E$367</f>
        <v>0</v>
      </c>
      <c r="N69" s="142">
        <f>Mitigation_Industry!$E$367</f>
        <v>0</v>
      </c>
      <c r="O69" s="142">
        <f>Mitigation_Industry!$E$367</f>
        <v>0</v>
      </c>
      <c r="P69" s="142">
        <f>Mitigation_Industry!$E$367</f>
        <v>0</v>
      </c>
      <c r="Q69" s="142">
        <f>Mitigation_Industry!$E$367</f>
        <v>0</v>
      </c>
      <c r="R69" s="142">
        <f>Mitigation_Industry!$E$367</f>
        <v>0</v>
      </c>
      <c r="S69" s="142">
        <f>Mitigation_Industry!$E$367</f>
        <v>0</v>
      </c>
      <c r="T69" s="142">
        <f>Mitigation_Industry!$E$367</f>
        <v>0</v>
      </c>
      <c r="U69" s="142">
        <f>Mitigation_Industry!$E$367</f>
        <v>0</v>
      </c>
      <c r="V69" s="142">
        <f>Mitigation_Industry!$E$367</f>
        <v>0</v>
      </c>
      <c r="W69" s="142">
        <f>Mitigation_Industry!$E$367</f>
        <v>0</v>
      </c>
      <c r="X69" s="142">
        <f>Mitigation_Industry!$E$367</f>
        <v>0</v>
      </c>
      <c r="Y69" s="142">
        <f>Mitigation_Industry!$E$367</f>
        <v>0</v>
      </c>
      <c r="Z69" s="142">
        <f>Mitigation_Industry!$E$367</f>
        <v>0</v>
      </c>
      <c r="AA69" s="142">
        <f>Mitigation_Industry!$E$367</f>
        <v>0</v>
      </c>
      <c r="AB69" s="142">
        <f>Mitigation_Industry!$E$367</f>
        <v>0</v>
      </c>
      <c r="AC69" s="142">
        <f>Mitigation_Industry!$E$367</f>
        <v>0</v>
      </c>
      <c r="AD69" s="142">
        <f>Mitigation_Industry!$E$367</f>
        <v>0</v>
      </c>
      <c r="AE69" s="142">
        <f>Mitigation_Industry!$E$367</f>
        <v>0</v>
      </c>
      <c r="AF69" s="141"/>
      <c r="AG69" s="141"/>
      <c r="AH69" s="141"/>
      <c r="AI69" s="141"/>
    </row>
    <row r="70" spans="2:35" customFormat="1" ht="14.25" x14ac:dyDescent="0.45">
      <c r="B70" s="14" t="s">
        <v>2576</v>
      </c>
      <c r="C70" s="14" t="s">
        <v>117</v>
      </c>
      <c r="D70" s="15" t="s">
        <v>2626</v>
      </c>
      <c r="E70" s="16" t="s">
        <v>2610</v>
      </c>
      <c r="F70" s="14" t="s">
        <v>2619</v>
      </c>
      <c r="G70" s="17"/>
      <c r="H70" s="128" t="str">
        <f>Settings!$B$3&amp;".mit.bp.frt.ure.np.1"</f>
        <v>egy.mit.bp.frt.ure.np.1</v>
      </c>
      <c r="K70" s="139"/>
      <c r="L70" s="142">
        <f>Mitigation_Industry!$E$368</f>
        <v>0</v>
      </c>
      <c r="M70" s="142">
        <f>Mitigation_Industry!$E$368</f>
        <v>0</v>
      </c>
      <c r="N70" s="142">
        <f>Mitigation_Industry!$E$368</f>
        <v>0</v>
      </c>
      <c r="O70" s="142">
        <f>Mitigation_Industry!$E$368</f>
        <v>0</v>
      </c>
      <c r="P70" s="142">
        <f>Mitigation_Industry!$E$368</f>
        <v>0</v>
      </c>
      <c r="Q70" s="142">
        <f>Mitigation_Industry!$E$368</f>
        <v>0</v>
      </c>
      <c r="R70" s="142">
        <f>Mitigation_Industry!$E$368</f>
        <v>0</v>
      </c>
      <c r="S70" s="142">
        <f>Mitigation_Industry!$E$368</f>
        <v>0</v>
      </c>
      <c r="T70" s="142">
        <f>Mitigation_Industry!$E$368</f>
        <v>0</v>
      </c>
      <c r="U70" s="142">
        <f>Mitigation_Industry!$E$368</f>
        <v>0</v>
      </c>
      <c r="V70" s="142">
        <f>Mitigation_Industry!$E$368</f>
        <v>0</v>
      </c>
      <c r="W70" s="142">
        <f>Mitigation_Industry!$E$368</f>
        <v>0</v>
      </c>
      <c r="X70" s="142">
        <f>Mitigation_Industry!$E$368</f>
        <v>0</v>
      </c>
      <c r="Y70" s="142">
        <f>Mitigation_Industry!$E$368</f>
        <v>0</v>
      </c>
      <c r="Z70" s="142">
        <f>Mitigation_Industry!$E$368</f>
        <v>0</v>
      </c>
      <c r="AA70" s="142">
        <f>Mitigation_Industry!$E$368</f>
        <v>0</v>
      </c>
      <c r="AB70" s="142">
        <f>Mitigation_Industry!$E$368</f>
        <v>0</v>
      </c>
      <c r="AC70" s="142">
        <f>Mitigation_Industry!$E$368</f>
        <v>0</v>
      </c>
      <c r="AD70" s="142">
        <f>Mitigation_Industry!$E$368</f>
        <v>0</v>
      </c>
      <c r="AE70" s="142">
        <f>Mitigation_Industry!$E$368</f>
        <v>0</v>
      </c>
      <c r="AF70" s="141"/>
      <c r="AG70" s="141"/>
      <c r="AH70" s="141"/>
      <c r="AI70" s="141"/>
    </row>
    <row r="71" spans="2:35" customFormat="1" ht="14.25" x14ac:dyDescent="0.45">
      <c r="B71" s="14" t="s">
        <v>2578</v>
      </c>
      <c r="C71" s="14" t="s">
        <v>117</v>
      </c>
      <c r="D71" s="15" t="s">
        <v>2627</v>
      </c>
      <c r="E71" s="16" t="s">
        <v>2610</v>
      </c>
      <c r="F71" s="14" t="s">
        <v>2619</v>
      </c>
      <c r="G71" s="17"/>
      <c r="H71" s="128" t="str">
        <f>Settings!$B$3&amp;".mit.bp.frt.nit.np.1"</f>
        <v>egy.mit.bp.frt.nit.np.1</v>
      </c>
      <c r="K71" s="139"/>
      <c r="L71" s="142">
        <f>Mitigation_Industry!$E$369</f>
        <v>0</v>
      </c>
      <c r="M71" s="142">
        <f>Mitigation_Industry!$E$369</f>
        <v>0</v>
      </c>
      <c r="N71" s="142">
        <f>Mitigation_Industry!$E$369</f>
        <v>0</v>
      </c>
      <c r="O71" s="142">
        <f>Mitigation_Industry!$E$369</f>
        <v>0</v>
      </c>
      <c r="P71" s="142">
        <f>Mitigation_Industry!$E$369</f>
        <v>0</v>
      </c>
      <c r="Q71" s="142">
        <f>Mitigation_Industry!$E$369</f>
        <v>0</v>
      </c>
      <c r="R71" s="142">
        <f>Mitigation_Industry!$E$369</f>
        <v>0</v>
      </c>
      <c r="S71" s="142">
        <f>Mitigation_Industry!$E$369</f>
        <v>0</v>
      </c>
      <c r="T71" s="142">
        <f>Mitigation_Industry!$E$369</f>
        <v>0</v>
      </c>
      <c r="U71" s="142">
        <f>Mitigation_Industry!$E$369</f>
        <v>0</v>
      </c>
      <c r="V71" s="142">
        <f>Mitigation_Industry!$E$369</f>
        <v>0</v>
      </c>
      <c r="W71" s="142">
        <f>Mitigation_Industry!$E$369</f>
        <v>0</v>
      </c>
      <c r="X71" s="142">
        <f>Mitigation_Industry!$E$369</f>
        <v>0</v>
      </c>
      <c r="Y71" s="142">
        <f>Mitigation_Industry!$E$369</f>
        <v>0</v>
      </c>
      <c r="Z71" s="142">
        <f>Mitigation_Industry!$E$369</f>
        <v>0</v>
      </c>
      <c r="AA71" s="142">
        <f>Mitigation_Industry!$E$369</f>
        <v>0</v>
      </c>
      <c r="AB71" s="142">
        <f>Mitigation_Industry!$E$369</f>
        <v>0</v>
      </c>
      <c r="AC71" s="142">
        <f>Mitigation_Industry!$E$369</f>
        <v>0</v>
      </c>
      <c r="AD71" s="142">
        <f>Mitigation_Industry!$E$369</f>
        <v>0</v>
      </c>
      <c r="AE71" s="142">
        <f>Mitigation_Industry!$E$369</f>
        <v>0</v>
      </c>
      <c r="AF71" s="141"/>
      <c r="AG71" s="141"/>
      <c r="AH71" s="141"/>
      <c r="AI71" s="141"/>
    </row>
    <row r="72" spans="2:35" customFormat="1" ht="14.25" x14ac:dyDescent="0.45">
      <c r="B72" s="14" t="s">
        <v>2580</v>
      </c>
      <c r="C72" s="14" t="s">
        <v>115</v>
      </c>
      <c r="D72" s="15" t="s">
        <v>2628</v>
      </c>
      <c r="E72" s="16" t="s">
        <v>2610</v>
      </c>
      <c r="F72" s="14" t="s">
        <v>2619</v>
      </c>
      <c r="G72" s="17"/>
      <c r="H72" s="128" t="str">
        <f>Settings!$B$3&amp;".mit.bp.alu.prp.np.1"</f>
        <v>egy.mit.bp.alu.prp.np.1</v>
      </c>
      <c r="K72" s="139"/>
      <c r="L72" s="142">
        <f>Mitigation_Industry!$E$370</f>
        <v>1.9988245320635362E-3</v>
      </c>
      <c r="M72" s="142">
        <f>Mitigation_Industry!$E$370</f>
        <v>1.9988245320635362E-3</v>
      </c>
      <c r="N72" s="142">
        <f>Mitigation_Industry!$E$370</f>
        <v>1.9988245320635362E-3</v>
      </c>
      <c r="O72" s="142">
        <f>Mitigation_Industry!$E$370</f>
        <v>1.9988245320635362E-3</v>
      </c>
      <c r="P72" s="142">
        <f>Mitigation_Industry!$E$370</f>
        <v>1.9988245320635362E-3</v>
      </c>
      <c r="Q72" s="142">
        <f>Mitigation_Industry!$E$370</f>
        <v>1.9988245320635362E-3</v>
      </c>
      <c r="R72" s="142">
        <f>Mitigation_Industry!$E$370</f>
        <v>1.9988245320635362E-3</v>
      </c>
      <c r="S72" s="142">
        <f>Mitigation_Industry!$E$370</f>
        <v>1.9988245320635362E-3</v>
      </c>
      <c r="T72" s="142">
        <f>Mitigation_Industry!$E$370</f>
        <v>1.9988245320635362E-3</v>
      </c>
      <c r="U72" s="142">
        <f>Mitigation_Industry!$E$370</f>
        <v>1.9988245320635362E-3</v>
      </c>
      <c r="V72" s="142">
        <f>Mitigation_Industry!$E$370</f>
        <v>1.9988245320635362E-3</v>
      </c>
      <c r="W72" s="142">
        <f>Mitigation_Industry!$E$370</f>
        <v>1.9988245320635362E-3</v>
      </c>
      <c r="X72" s="142">
        <f>Mitigation_Industry!$E$370</f>
        <v>1.9988245320635362E-3</v>
      </c>
      <c r="Y72" s="142">
        <f>Mitigation_Industry!$E$370</f>
        <v>1.9988245320635362E-3</v>
      </c>
      <c r="Z72" s="142">
        <f>Mitigation_Industry!$E$370</f>
        <v>1.9988245320635362E-3</v>
      </c>
      <c r="AA72" s="142">
        <f>Mitigation_Industry!$E$370</f>
        <v>1.9988245320635362E-3</v>
      </c>
      <c r="AB72" s="142">
        <f>Mitigation_Industry!$E$370</f>
        <v>1.9988245320635362E-3</v>
      </c>
      <c r="AC72" s="142">
        <f>Mitigation_Industry!$E$370</f>
        <v>1.9988245320635362E-3</v>
      </c>
      <c r="AD72" s="142">
        <f>Mitigation_Industry!$E$370</f>
        <v>1.9988245320635362E-3</v>
      </c>
      <c r="AE72" s="142">
        <f>Mitigation_Industry!$E$370</f>
        <v>1.9988245320635362E-3</v>
      </c>
      <c r="AF72" s="141"/>
      <c r="AG72" s="141"/>
      <c r="AH72" s="141"/>
      <c r="AI72" s="141"/>
    </row>
    <row r="73" spans="2:35" customFormat="1" ht="14.25" x14ac:dyDescent="0.45">
      <c r="B73" s="14" t="s">
        <v>2582</v>
      </c>
      <c r="C73" s="14" t="s">
        <v>43</v>
      </c>
      <c r="D73" s="15" t="s">
        <v>2629</v>
      </c>
      <c r="E73" s="16" t="s">
        <v>2610</v>
      </c>
      <c r="F73" s="14" t="s">
        <v>2619</v>
      </c>
      <c r="G73" s="17"/>
      <c r="H73" s="128" t="str">
        <f>Settings!$B$3&amp;".mit.bp.stl.drg.no.1"</f>
        <v>egy.mit.bp.stl.drg.no.1</v>
      </c>
      <c r="K73" s="139"/>
      <c r="L73" s="142">
        <f>Mitigation_Industry!$G$363</f>
        <v>0</v>
      </c>
      <c r="M73" s="142">
        <f>Mitigation_Industry!$G$363</f>
        <v>0</v>
      </c>
      <c r="N73" s="142">
        <f>Mitigation_Industry!$G$363</f>
        <v>0</v>
      </c>
      <c r="O73" s="142">
        <f>Mitigation_Industry!$G$363</f>
        <v>0</v>
      </c>
      <c r="P73" s="142">
        <f>Mitigation_Industry!$G$363</f>
        <v>0</v>
      </c>
      <c r="Q73" s="142">
        <f>Mitigation_Industry!$G$363</f>
        <v>0</v>
      </c>
      <c r="R73" s="142">
        <f>Mitigation_Industry!$G$363</f>
        <v>0</v>
      </c>
      <c r="S73" s="142">
        <f>Mitigation_Industry!$G$363</f>
        <v>0</v>
      </c>
      <c r="T73" s="142">
        <f>Mitigation_Industry!$G$363</f>
        <v>0</v>
      </c>
      <c r="U73" s="142">
        <f>Mitigation_Industry!$G$363</f>
        <v>0</v>
      </c>
      <c r="V73" s="142">
        <f>Mitigation_Industry!$G$363</f>
        <v>0</v>
      </c>
      <c r="W73" s="142">
        <f>Mitigation_Industry!$G$363</f>
        <v>0</v>
      </c>
      <c r="X73" s="142">
        <f>Mitigation_Industry!$G$363</f>
        <v>0</v>
      </c>
      <c r="Y73" s="142">
        <f>Mitigation_Industry!$G$363</f>
        <v>0</v>
      </c>
      <c r="Z73" s="142">
        <f>Mitigation_Industry!$G$363</f>
        <v>0</v>
      </c>
      <c r="AA73" s="142">
        <f>Mitigation_Industry!$G$363</f>
        <v>0</v>
      </c>
      <c r="AB73" s="142">
        <f>Mitigation_Industry!$G$363</f>
        <v>0</v>
      </c>
      <c r="AC73" s="142">
        <f>Mitigation_Industry!$G$363</f>
        <v>0</v>
      </c>
      <c r="AD73" s="142">
        <f>Mitigation_Industry!$G$363</f>
        <v>0</v>
      </c>
      <c r="AE73" s="142">
        <f>Mitigation_Industry!$G$363</f>
        <v>0</v>
      </c>
      <c r="AF73" s="141"/>
      <c r="AG73" s="141"/>
      <c r="AH73" s="141"/>
      <c r="AI73" s="141"/>
    </row>
    <row r="74" spans="2:35" customFormat="1" ht="14.25" x14ac:dyDescent="0.45">
      <c r="B74" s="14" t="s">
        <v>2584</v>
      </c>
      <c r="C74" s="14" t="s">
        <v>43</v>
      </c>
      <c r="D74" s="15" t="s">
        <v>2630</v>
      </c>
      <c r="E74" s="16" t="s">
        <v>2610</v>
      </c>
      <c r="F74" s="14" t="s">
        <v>2619</v>
      </c>
      <c r="G74" s="17"/>
      <c r="H74" s="128" t="str">
        <f>Settings!$B$3&amp;".mit.bp.stl.scr.no.1"</f>
        <v>egy.mit.bp.stl.scr.no.1</v>
      </c>
      <c r="K74" s="139"/>
      <c r="L74" s="142">
        <f>Mitigation_Industry!$G$364</f>
        <v>0</v>
      </c>
      <c r="M74" s="142">
        <f>Mitigation_Industry!$G$364</f>
        <v>0</v>
      </c>
      <c r="N74" s="142">
        <f>Mitigation_Industry!$G$364</f>
        <v>0</v>
      </c>
      <c r="O74" s="142">
        <f>Mitigation_Industry!$G$364</f>
        <v>0</v>
      </c>
      <c r="P74" s="142">
        <f>Mitigation_Industry!$G$364</f>
        <v>0</v>
      </c>
      <c r="Q74" s="142">
        <f>Mitigation_Industry!$G$364</f>
        <v>0</v>
      </c>
      <c r="R74" s="142">
        <f>Mitigation_Industry!$G$364</f>
        <v>0</v>
      </c>
      <c r="S74" s="142">
        <f>Mitigation_Industry!$G$364</f>
        <v>0</v>
      </c>
      <c r="T74" s="142">
        <f>Mitigation_Industry!$G$364</f>
        <v>0</v>
      </c>
      <c r="U74" s="142">
        <f>Mitigation_Industry!$G$364</f>
        <v>0</v>
      </c>
      <c r="V74" s="142">
        <f>Mitigation_Industry!$G$364</f>
        <v>0</v>
      </c>
      <c r="W74" s="142">
        <f>Mitigation_Industry!$G$364</f>
        <v>0</v>
      </c>
      <c r="X74" s="142">
        <f>Mitigation_Industry!$G$364</f>
        <v>0</v>
      </c>
      <c r="Y74" s="142">
        <f>Mitigation_Industry!$G$364</f>
        <v>0</v>
      </c>
      <c r="Z74" s="142">
        <f>Mitigation_Industry!$G$364</f>
        <v>0</v>
      </c>
      <c r="AA74" s="142">
        <f>Mitigation_Industry!$G$364</f>
        <v>0</v>
      </c>
      <c r="AB74" s="142">
        <f>Mitigation_Industry!$G$364</f>
        <v>0</v>
      </c>
      <c r="AC74" s="142">
        <f>Mitigation_Industry!$G$364</f>
        <v>0</v>
      </c>
      <c r="AD74" s="142">
        <f>Mitigation_Industry!$G$364</f>
        <v>0</v>
      </c>
      <c r="AE74" s="142">
        <f>Mitigation_Industry!$G$364</f>
        <v>0</v>
      </c>
      <c r="AF74" s="141"/>
      <c r="AG74" s="141"/>
      <c r="AH74" s="141"/>
      <c r="AI74" s="141"/>
    </row>
    <row r="75" spans="2:35" customFormat="1" ht="14.25" x14ac:dyDescent="0.45">
      <c r="B75" s="14" t="s">
        <v>2586</v>
      </c>
      <c r="C75" s="14" t="s">
        <v>43</v>
      </c>
      <c r="D75" s="15" t="s">
        <v>2631</v>
      </c>
      <c r="E75" s="16" t="s">
        <v>2610</v>
      </c>
      <c r="F75" s="14" t="s">
        <v>2619</v>
      </c>
      <c r="G75" s="17"/>
      <c r="H75" s="128" t="str">
        <f>Settings!$B$3&amp;".mit.bp.stl.bof.no.1"</f>
        <v>egy.mit.bp.stl.bof.no.1</v>
      </c>
      <c r="K75" s="139"/>
      <c r="L75" s="142">
        <f>Mitigation_Industry!$G$365</f>
        <v>0</v>
      </c>
      <c r="M75" s="142">
        <f>Mitigation_Industry!$G$365</f>
        <v>0</v>
      </c>
      <c r="N75" s="142">
        <f>Mitigation_Industry!$G$365</f>
        <v>0</v>
      </c>
      <c r="O75" s="142">
        <f>Mitigation_Industry!$G$365</f>
        <v>0</v>
      </c>
      <c r="P75" s="142">
        <f>Mitigation_Industry!$G$365</f>
        <v>0</v>
      </c>
      <c r="Q75" s="142">
        <f>Mitigation_Industry!$G$365</f>
        <v>0</v>
      </c>
      <c r="R75" s="142">
        <f>Mitigation_Industry!$G$365</f>
        <v>0</v>
      </c>
      <c r="S75" s="142">
        <f>Mitigation_Industry!$G$365</f>
        <v>0</v>
      </c>
      <c r="T75" s="142">
        <f>Mitigation_Industry!$G$365</f>
        <v>0</v>
      </c>
      <c r="U75" s="142">
        <f>Mitigation_Industry!$G$365</f>
        <v>0</v>
      </c>
      <c r="V75" s="142">
        <f>Mitigation_Industry!$G$365</f>
        <v>0</v>
      </c>
      <c r="W75" s="142">
        <f>Mitigation_Industry!$G$365</f>
        <v>0</v>
      </c>
      <c r="X75" s="142">
        <f>Mitigation_Industry!$G$365</f>
        <v>0</v>
      </c>
      <c r="Y75" s="142">
        <f>Mitigation_Industry!$G$365</f>
        <v>0</v>
      </c>
      <c r="Z75" s="142">
        <f>Mitigation_Industry!$G$365</f>
        <v>0</v>
      </c>
      <c r="AA75" s="142">
        <f>Mitigation_Industry!$G$365</f>
        <v>0</v>
      </c>
      <c r="AB75" s="142">
        <f>Mitigation_Industry!$G$365</f>
        <v>0</v>
      </c>
      <c r="AC75" s="142">
        <f>Mitigation_Industry!$G$365</f>
        <v>0</v>
      </c>
      <c r="AD75" s="142">
        <f>Mitigation_Industry!$G$365</f>
        <v>0</v>
      </c>
      <c r="AE75" s="142">
        <f>Mitigation_Industry!$G$365</f>
        <v>0</v>
      </c>
      <c r="AF75" s="141"/>
      <c r="AG75" s="141"/>
      <c r="AH75" s="141"/>
      <c r="AI75" s="141"/>
    </row>
    <row r="76" spans="2:35" customFormat="1" ht="14.25" x14ac:dyDescent="0.45">
      <c r="B76" s="14" t="s">
        <v>2588</v>
      </c>
      <c r="C76" s="14" t="s">
        <v>113</v>
      </c>
      <c r="D76" s="15" t="s">
        <v>2632</v>
      </c>
      <c r="E76" s="16" t="s">
        <v>2610</v>
      </c>
      <c r="F76" s="14" t="s">
        <v>2619</v>
      </c>
      <c r="G76" s="17"/>
      <c r="H76" s="128" t="str">
        <f>Settings!$B$3&amp;".mit.bp.cmt.dry.no.1"</f>
        <v>egy.mit.bp.cmt.dry.no.1</v>
      </c>
      <c r="K76" s="139"/>
      <c r="L76" s="142">
        <f>Mitigation_Industry!$G$366</f>
        <v>0</v>
      </c>
      <c r="M76" s="142">
        <f>Mitigation_Industry!$G$366</f>
        <v>0</v>
      </c>
      <c r="N76" s="142">
        <f>Mitigation_Industry!$G$366</f>
        <v>0</v>
      </c>
      <c r="O76" s="142">
        <f>Mitigation_Industry!$G$366</f>
        <v>0</v>
      </c>
      <c r="P76" s="142">
        <f>Mitigation_Industry!$G$366</f>
        <v>0</v>
      </c>
      <c r="Q76" s="142">
        <f>Mitigation_Industry!$G$366</f>
        <v>0</v>
      </c>
      <c r="R76" s="142">
        <f>Mitigation_Industry!$G$366</f>
        <v>0</v>
      </c>
      <c r="S76" s="142">
        <f>Mitigation_Industry!$G$366</f>
        <v>0</v>
      </c>
      <c r="T76" s="142">
        <f>Mitigation_Industry!$G$366</f>
        <v>0</v>
      </c>
      <c r="U76" s="142">
        <f>Mitigation_Industry!$G$366</f>
        <v>0</v>
      </c>
      <c r="V76" s="142">
        <f>Mitigation_Industry!$G$366</f>
        <v>0</v>
      </c>
      <c r="W76" s="142">
        <f>Mitigation_Industry!$G$366</f>
        <v>0</v>
      </c>
      <c r="X76" s="142">
        <f>Mitigation_Industry!$G$366</f>
        <v>0</v>
      </c>
      <c r="Y76" s="142">
        <f>Mitigation_Industry!$G$366</f>
        <v>0</v>
      </c>
      <c r="Z76" s="142">
        <f>Mitigation_Industry!$G$366</f>
        <v>0</v>
      </c>
      <c r="AA76" s="142">
        <f>Mitigation_Industry!$G$366</f>
        <v>0</v>
      </c>
      <c r="AB76" s="142">
        <f>Mitigation_Industry!$G$366</f>
        <v>0</v>
      </c>
      <c r="AC76" s="142">
        <f>Mitigation_Industry!$G$366</f>
        <v>0</v>
      </c>
      <c r="AD76" s="142">
        <f>Mitigation_Industry!$G$366</f>
        <v>0</v>
      </c>
      <c r="AE76" s="142">
        <f>Mitigation_Industry!$G$366</f>
        <v>0</v>
      </c>
      <c r="AF76" s="141"/>
      <c r="AG76" s="141"/>
      <c r="AH76" s="141"/>
      <c r="AI76" s="141"/>
    </row>
    <row r="77" spans="2:35" customFormat="1" ht="14.25" x14ac:dyDescent="0.45">
      <c r="B77" s="14" t="s">
        <v>2590</v>
      </c>
      <c r="C77" s="14" t="s">
        <v>117</v>
      </c>
      <c r="D77" s="15" t="s">
        <v>2633</v>
      </c>
      <c r="E77" s="16" t="s">
        <v>2610</v>
      </c>
      <c r="F77" s="14" t="s">
        <v>2619</v>
      </c>
      <c r="G77" s="17"/>
      <c r="H77" s="128" t="str">
        <f>Settings!$B$3&amp;".mit.bp.frt.amc.no.1"</f>
        <v>egy.mit.bp.frt.amc.no.1</v>
      </c>
      <c r="K77" s="139"/>
      <c r="L77" s="142">
        <f>Mitigation_Industry!$G$367</f>
        <v>0</v>
      </c>
      <c r="M77" s="142">
        <f>Mitigation_Industry!$G$367</f>
        <v>0</v>
      </c>
      <c r="N77" s="142">
        <f>Mitigation_Industry!$G$367</f>
        <v>0</v>
      </c>
      <c r="O77" s="142">
        <f>Mitigation_Industry!$G$367</f>
        <v>0</v>
      </c>
      <c r="P77" s="142">
        <f>Mitigation_Industry!$G$367</f>
        <v>0</v>
      </c>
      <c r="Q77" s="142">
        <f>Mitigation_Industry!$G$367</f>
        <v>0</v>
      </c>
      <c r="R77" s="142">
        <f>Mitigation_Industry!$G$367</f>
        <v>0</v>
      </c>
      <c r="S77" s="142">
        <f>Mitigation_Industry!$G$367</f>
        <v>0</v>
      </c>
      <c r="T77" s="142">
        <f>Mitigation_Industry!$G$367</f>
        <v>0</v>
      </c>
      <c r="U77" s="142">
        <f>Mitigation_Industry!$G$367</f>
        <v>0</v>
      </c>
      <c r="V77" s="142">
        <f>Mitigation_Industry!$G$367</f>
        <v>0</v>
      </c>
      <c r="W77" s="142">
        <f>Mitigation_Industry!$G$367</f>
        <v>0</v>
      </c>
      <c r="X77" s="142">
        <f>Mitigation_Industry!$G$367</f>
        <v>0</v>
      </c>
      <c r="Y77" s="142">
        <f>Mitigation_Industry!$G$367</f>
        <v>0</v>
      </c>
      <c r="Z77" s="142">
        <f>Mitigation_Industry!$G$367</f>
        <v>0</v>
      </c>
      <c r="AA77" s="142">
        <f>Mitigation_Industry!$G$367</f>
        <v>0</v>
      </c>
      <c r="AB77" s="142">
        <f>Mitigation_Industry!$G$367</f>
        <v>0</v>
      </c>
      <c r="AC77" s="142">
        <f>Mitigation_Industry!$G$367</f>
        <v>0</v>
      </c>
      <c r="AD77" s="142">
        <f>Mitigation_Industry!$G$367</f>
        <v>0</v>
      </c>
      <c r="AE77" s="142">
        <f>Mitigation_Industry!$G$367</f>
        <v>0</v>
      </c>
      <c r="AF77" s="141"/>
      <c r="AG77" s="141"/>
      <c r="AH77" s="141"/>
      <c r="AI77" s="141"/>
    </row>
    <row r="78" spans="2:35" customFormat="1" ht="14.25" x14ac:dyDescent="0.45">
      <c r="B78" s="14" t="s">
        <v>2592</v>
      </c>
      <c r="C78" s="14" t="s">
        <v>117</v>
      </c>
      <c r="D78" s="15" t="s">
        <v>2634</v>
      </c>
      <c r="E78" s="16" t="s">
        <v>2610</v>
      </c>
      <c r="F78" s="14" t="s">
        <v>2619</v>
      </c>
      <c r="G78" s="17"/>
      <c r="H78" s="128" t="str">
        <f>Settings!$B$3&amp;".mit.bp.frt.ure.no.1"</f>
        <v>egy.mit.bp.frt.ure.no.1</v>
      </c>
      <c r="K78" s="139"/>
      <c r="L78" s="142">
        <f>Mitigation_Industry!$G$368</f>
        <v>0</v>
      </c>
      <c r="M78" s="142">
        <f>Mitigation_Industry!$G$368</f>
        <v>0</v>
      </c>
      <c r="N78" s="142">
        <f>Mitigation_Industry!$G$368</f>
        <v>0</v>
      </c>
      <c r="O78" s="142">
        <f>Mitigation_Industry!$G$368</f>
        <v>0</v>
      </c>
      <c r="P78" s="142">
        <f>Mitigation_Industry!$G$368</f>
        <v>0</v>
      </c>
      <c r="Q78" s="142">
        <f>Mitigation_Industry!$G$368</f>
        <v>0</v>
      </c>
      <c r="R78" s="142">
        <f>Mitigation_Industry!$G$368</f>
        <v>0</v>
      </c>
      <c r="S78" s="142">
        <f>Mitigation_Industry!$G$368</f>
        <v>0</v>
      </c>
      <c r="T78" s="142">
        <f>Mitigation_Industry!$G$368</f>
        <v>0</v>
      </c>
      <c r="U78" s="142">
        <f>Mitigation_Industry!$G$368</f>
        <v>0</v>
      </c>
      <c r="V78" s="142">
        <f>Mitigation_Industry!$G$368</f>
        <v>0</v>
      </c>
      <c r="W78" s="142">
        <f>Mitigation_Industry!$G$368</f>
        <v>0</v>
      </c>
      <c r="X78" s="142">
        <f>Mitigation_Industry!$G$368</f>
        <v>0</v>
      </c>
      <c r="Y78" s="142">
        <f>Mitigation_Industry!$G$368</f>
        <v>0</v>
      </c>
      <c r="Z78" s="142">
        <f>Mitigation_Industry!$G$368</f>
        <v>0</v>
      </c>
      <c r="AA78" s="142">
        <f>Mitigation_Industry!$G$368</f>
        <v>0</v>
      </c>
      <c r="AB78" s="142">
        <f>Mitigation_Industry!$G$368</f>
        <v>0</v>
      </c>
      <c r="AC78" s="142">
        <f>Mitigation_Industry!$G$368</f>
        <v>0</v>
      </c>
      <c r="AD78" s="142">
        <f>Mitigation_Industry!$G$368</f>
        <v>0</v>
      </c>
      <c r="AE78" s="142">
        <f>Mitigation_Industry!$G$368</f>
        <v>0</v>
      </c>
      <c r="AF78" s="141"/>
      <c r="AG78" s="141"/>
      <c r="AH78" s="141"/>
      <c r="AI78" s="141"/>
    </row>
    <row r="79" spans="2:35" customFormat="1" ht="14.25" x14ac:dyDescent="0.45">
      <c r="B79" s="14" t="s">
        <v>2594</v>
      </c>
      <c r="C79" s="14" t="s">
        <v>117</v>
      </c>
      <c r="D79" s="15" t="s">
        <v>2635</v>
      </c>
      <c r="E79" s="16" t="s">
        <v>2610</v>
      </c>
      <c r="F79" s="14" t="s">
        <v>2619</v>
      </c>
      <c r="G79" s="17"/>
      <c r="H79" s="128" t="str">
        <f>Settings!$B$3&amp;".mit.bp.frt.nit.no.1"</f>
        <v>egy.mit.bp.frt.nit.no.1</v>
      </c>
      <c r="K79" s="139"/>
      <c r="L79" s="142">
        <f>Mitigation_Industry!$G$369</f>
        <v>7.8858436436826454E-3</v>
      </c>
      <c r="M79" s="142">
        <f>Mitigation_Industry!$G$369</f>
        <v>7.8858436436826454E-3</v>
      </c>
      <c r="N79" s="142">
        <f>Mitigation_Industry!$G$369</f>
        <v>7.8858436436826454E-3</v>
      </c>
      <c r="O79" s="142">
        <f>Mitigation_Industry!$G$369</f>
        <v>7.8858436436826454E-3</v>
      </c>
      <c r="P79" s="142">
        <f>Mitigation_Industry!$G$369</f>
        <v>7.8858436436826454E-3</v>
      </c>
      <c r="Q79" s="142">
        <f>Mitigation_Industry!$G$369</f>
        <v>7.8858436436826454E-3</v>
      </c>
      <c r="R79" s="142">
        <f>Mitigation_Industry!$G$369</f>
        <v>7.8858436436826454E-3</v>
      </c>
      <c r="S79" s="142">
        <f>Mitigation_Industry!$G$369</f>
        <v>7.8858436436826454E-3</v>
      </c>
      <c r="T79" s="142">
        <f>Mitigation_Industry!$G$369</f>
        <v>7.8858436436826454E-3</v>
      </c>
      <c r="U79" s="142">
        <f>Mitigation_Industry!$G$369</f>
        <v>7.8858436436826454E-3</v>
      </c>
      <c r="V79" s="142">
        <f>Mitigation_Industry!$G$369</f>
        <v>7.8858436436826454E-3</v>
      </c>
      <c r="W79" s="142">
        <f>Mitigation_Industry!$G$369</f>
        <v>7.8858436436826454E-3</v>
      </c>
      <c r="X79" s="142">
        <f>Mitigation_Industry!$G$369</f>
        <v>7.8858436436826454E-3</v>
      </c>
      <c r="Y79" s="142">
        <f>Mitigation_Industry!$G$369</f>
        <v>7.8858436436826454E-3</v>
      </c>
      <c r="Z79" s="142">
        <f>Mitigation_Industry!$G$369</f>
        <v>7.8858436436826454E-3</v>
      </c>
      <c r="AA79" s="142">
        <f>Mitigation_Industry!$G$369</f>
        <v>7.8858436436826454E-3</v>
      </c>
      <c r="AB79" s="142">
        <f>Mitigation_Industry!$G$369</f>
        <v>7.8858436436826454E-3</v>
      </c>
      <c r="AC79" s="142">
        <f>Mitigation_Industry!$G$369</f>
        <v>7.8858436436826454E-3</v>
      </c>
      <c r="AD79" s="142">
        <f>Mitigation_Industry!$G$369</f>
        <v>7.8858436436826454E-3</v>
      </c>
      <c r="AE79" s="142">
        <f>Mitigation_Industry!$G$369</f>
        <v>7.8858436436826454E-3</v>
      </c>
      <c r="AF79" s="141"/>
      <c r="AG79" s="141"/>
      <c r="AH79" s="141"/>
      <c r="AI79" s="141"/>
    </row>
    <row r="80" spans="2:35" customFormat="1" ht="14.25" x14ac:dyDescent="0.45">
      <c r="B80" s="14" t="s">
        <v>2596</v>
      </c>
      <c r="C80" s="14" t="s">
        <v>115</v>
      </c>
      <c r="D80" s="15" t="s">
        <v>2636</v>
      </c>
      <c r="E80" s="16" t="s">
        <v>2610</v>
      </c>
      <c r="F80" s="14" t="s">
        <v>2619</v>
      </c>
      <c r="G80" s="17"/>
      <c r="H80" s="128" t="str">
        <f>Settings!$B$3&amp;".mit.bp.alu.prp.no.1"</f>
        <v>egy.mit.bp.alu.prp.no.1</v>
      </c>
      <c r="K80" s="139"/>
      <c r="L80" s="142">
        <f>Mitigation_Industry!$G$370</f>
        <v>1.9988245320635362E-3</v>
      </c>
      <c r="M80" s="142">
        <f>Mitigation_Industry!$G$370</f>
        <v>1.9988245320635362E-3</v>
      </c>
      <c r="N80" s="142">
        <f>Mitigation_Industry!$G$370</f>
        <v>1.9988245320635362E-3</v>
      </c>
      <c r="O80" s="142">
        <f>Mitigation_Industry!$G$370</f>
        <v>1.9988245320635362E-3</v>
      </c>
      <c r="P80" s="142">
        <f>Mitigation_Industry!$G$370</f>
        <v>1.9988245320635362E-3</v>
      </c>
      <c r="Q80" s="142">
        <f>Mitigation_Industry!$G$370</f>
        <v>1.9988245320635362E-3</v>
      </c>
      <c r="R80" s="142">
        <f>Mitigation_Industry!$G$370</f>
        <v>1.9988245320635362E-3</v>
      </c>
      <c r="S80" s="142">
        <f>Mitigation_Industry!$G$370</f>
        <v>1.9988245320635362E-3</v>
      </c>
      <c r="T80" s="142">
        <f>Mitigation_Industry!$G$370</f>
        <v>1.9988245320635362E-3</v>
      </c>
      <c r="U80" s="142">
        <f>Mitigation_Industry!$G$370</f>
        <v>1.9988245320635362E-3</v>
      </c>
      <c r="V80" s="142">
        <f>Mitigation_Industry!$G$370</f>
        <v>1.9988245320635362E-3</v>
      </c>
      <c r="W80" s="142">
        <f>Mitigation_Industry!$G$370</f>
        <v>1.9988245320635362E-3</v>
      </c>
      <c r="X80" s="142">
        <f>Mitigation_Industry!$G$370</f>
        <v>1.9988245320635362E-3</v>
      </c>
      <c r="Y80" s="142">
        <f>Mitigation_Industry!$G$370</f>
        <v>1.9988245320635362E-3</v>
      </c>
      <c r="Z80" s="142">
        <f>Mitigation_Industry!$G$370</f>
        <v>1.9988245320635362E-3</v>
      </c>
      <c r="AA80" s="142">
        <f>Mitigation_Industry!$G$370</f>
        <v>1.9988245320635362E-3</v>
      </c>
      <c r="AB80" s="142">
        <f>Mitigation_Industry!$G$370</f>
        <v>1.9988245320635362E-3</v>
      </c>
      <c r="AC80" s="142">
        <f>Mitigation_Industry!$G$370</f>
        <v>1.9988245320635362E-3</v>
      </c>
      <c r="AD80" s="142">
        <f>Mitigation_Industry!$G$370</f>
        <v>1.9988245320635362E-3</v>
      </c>
      <c r="AE80" s="142">
        <f>Mitigation_Industry!$G$370</f>
        <v>1.9988245320635362E-3</v>
      </c>
      <c r="AF80" s="141"/>
      <c r="AG80" s="141"/>
      <c r="AH80" s="141"/>
      <c r="AI80" s="141"/>
    </row>
    <row r="81" spans="1:35" x14ac:dyDescent="0.35"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</row>
    <row r="82" spans="1:35" customFormat="1" ht="14.25" x14ac:dyDescent="0.45">
      <c r="A82" s="11"/>
      <c r="B82" s="6"/>
      <c r="C82" s="7" t="s">
        <v>2637</v>
      </c>
      <c r="D82" s="6" t="s">
        <v>1488</v>
      </c>
      <c r="E82" s="7" t="s">
        <v>35</v>
      </c>
      <c r="F82" s="7" t="s">
        <v>45</v>
      </c>
      <c r="G82" s="7" t="s">
        <v>37</v>
      </c>
      <c r="H82" s="12" t="s">
        <v>38</v>
      </c>
      <c r="I82" s="6" t="s">
        <v>39</v>
      </c>
      <c r="J82" s="48">
        <v>1</v>
      </c>
      <c r="K82" s="137">
        <v>2021</v>
      </c>
      <c r="L82" s="138">
        <v>2022</v>
      </c>
      <c r="M82" s="137">
        <v>2023</v>
      </c>
      <c r="N82" s="137">
        <v>2024</v>
      </c>
      <c r="O82" s="137">
        <v>2025</v>
      </c>
      <c r="P82" s="137">
        <v>2026</v>
      </c>
      <c r="Q82" s="137">
        <v>2027</v>
      </c>
      <c r="R82" s="137">
        <v>2028</v>
      </c>
      <c r="S82" s="137">
        <v>2029</v>
      </c>
      <c r="T82" s="137">
        <v>2030</v>
      </c>
      <c r="U82" s="137">
        <v>2031</v>
      </c>
      <c r="V82" s="137">
        <v>2032</v>
      </c>
      <c r="W82" s="137">
        <v>2033</v>
      </c>
      <c r="X82" s="137">
        <v>2034</v>
      </c>
      <c r="Y82" s="137">
        <v>2035</v>
      </c>
      <c r="Z82" s="137">
        <v>2036</v>
      </c>
      <c r="AA82" s="137">
        <v>2037</v>
      </c>
      <c r="AB82" s="137">
        <v>2038</v>
      </c>
      <c r="AC82" s="137">
        <v>2039</v>
      </c>
      <c r="AD82" s="137">
        <v>2040</v>
      </c>
      <c r="AE82" s="137">
        <v>2041</v>
      </c>
      <c r="AF82" s="137">
        <v>2042</v>
      </c>
      <c r="AG82" s="137">
        <v>2043</v>
      </c>
      <c r="AH82" s="137">
        <v>2044</v>
      </c>
      <c r="AI82" s="137">
        <v>2045</v>
      </c>
    </row>
    <row r="83" spans="1:35" customFormat="1" ht="14.25" x14ac:dyDescent="0.45">
      <c r="B83" s="14" t="s">
        <v>2565</v>
      </c>
      <c r="C83" s="14" t="s">
        <v>43</v>
      </c>
      <c r="D83" s="15" t="s">
        <v>2638</v>
      </c>
      <c r="E83" s="16" t="s">
        <v>2068</v>
      </c>
      <c r="F83" s="14" t="s">
        <v>2637</v>
      </c>
      <c r="G83" s="17"/>
      <c r="H83" s="128" t="str">
        <f>Settings!$B$3&amp;".mit.wm.stl.drg.np.1"</f>
        <v>egy.mit.wm.stl.drg.np.1</v>
      </c>
      <c r="I83" t="s">
        <v>2639</v>
      </c>
      <c r="K83" s="139"/>
      <c r="L83" s="140">
        <f>Mitigation_Industry!L$276*Mitigation_Industry!$J$273*MAX(Mitigation_Industry!$J$264,0)*Mitigation_Industry!$F$363/1000</f>
        <v>0.17734546065090059</v>
      </c>
      <c r="M83" s="140">
        <f>Mitigation_Industry!M$276*Mitigation_Industry!$J$273*MAX(Mitigation_Industry!$J$264,0)*Mitigation_Industry!$F$363/1000</f>
        <v>0.18514866091954021</v>
      </c>
      <c r="N83" s="140">
        <f>Mitigation_Industry!N$276*Mitigation_Industry!$J$273*MAX(Mitigation_Industry!$J$264,0)*Mitigation_Industry!$F$363/1000</f>
        <v>0.193295202</v>
      </c>
      <c r="O83" s="140">
        <f>Mitigation_Industry!O$276*Mitigation_Industry!$J$273*MAX(Mitigation_Industry!$J$264,0)*Mitigation_Industry!$F$363/1000</f>
        <v>0.20180019088800003</v>
      </c>
      <c r="P83" s="140">
        <f>Mitigation_Industry!P$276*Mitigation_Industry!$J$273*MAX(Mitigation_Industry!$J$264,0)*Mitigation_Industry!$F$363/1000</f>
        <v>0.21067939928707202</v>
      </c>
      <c r="Q83" s="140">
        <f>Mitigation_Industry!Q$276*Mitigation_Industry!$J$273*MAX(Mitigation_Industry!$J$264,0)*Mitigation_Industry!$F$363/1000</f>
        <v>0.21994929285570322</v>
      </c>
      <c r="R83" s="140">
        <f>Mitigation_Industry!R$276*Mitigation_Industry!$J$273*MAX(Mitigation_Industry!$J$264,0)*Mitigation_Industry!$F$363/1000</f>
        <v>0.22962706174135414</v>
      </c>
      <c r="S83" s="140">
        <f>Mitigation_Industry!S$276*Mitigation_Industry!$J$273*MAX(Mitigation_Industry!$J$264,0)*Mitigation_Industry!$F$363/1000</f>
        <v>0.2397306524579737</v>
      </c>
      <c r="T83" s="140">
        <f>Mitigation_Industry!T$276*Mitigation_Industry!$J$273*MAX(Mitigation_Industry!$J$264,0)*Mitigation_Industry!$F$363/1000</f>
        <v>0.25027880116612461</v>
      </c>
      <c r="U83" s="140">
        <f>Mitigation_Industry!U$276*Mitigation_Industry!$J$273*MAX(Mitigation_Industry!$J$264,0)*Mitigation_Industry!$F$363/1000</f>
        <v>0.2612910684174341</v>
      </c>
      <c r="V83" s="140">
        <f>Mitigation_Industry!V$276*Mitigation_Industry!$J$273*MAX(Mitigation_Industry!$J$264,0)*Mitigation_Industry!$F$363/1000</f>
        <v>0.27278787542780114</v>
      </c>
      <c r="W83" s="140">
        <f>Mitigation_Industry!W$276*Mitigation_Industry!$J$273*MAX(Mitigation_Industry!$J$264,0)*Mitigation_Industry!$F$363/1000</f>
        <v>0.28479054194662445</v>
      </c>
      <c r="X83" s="140">
        <f>Mitigation_Industry!X$276*Mitigation_Industry!$J$273*MAX(Mitigation_Industry!$J$264,0)*Mitigation_Industry!$F$363/1000</f>
        <v>0.29732132579227588</v>
      </c>
      <c r="Y83" s="140">
        <f>Mitigation_Industry!Y$276*Mitigation_Industry!$J$273*MAX(Mitigation_Industry!$J$264,0)*Mitigation_Industry!$F$363/1000</f>
        <v>0.3104034641271361</v>
      </c>
      <c r="Z83" s="140">
        <f>Mitigation_Industry!Z$276*Mitigation_Industry!$J$273*MAX(Mitigation_Industry!$J$264,0)*Mitigation_Industry!$F$363/1000</f>
        <v>0.32406121654872999</v>
      </c>
      <c r="AA83" s="140">
        <f>Mitigation_Industry!AA$276*Mitigation_Industry!$J$273*MAX(Mitigation_Industry!$J$264,0)*Mitigation_Industry!$F$363/1000</f>
        <v>0.33831991007687412</v>
      </c>
      <c r="AB83" s="140">
        <f>Mitigation_Industry!AB$276*Mitigation_Industry!$J$273*MAX(Mitigation_Industry!$J$264,0)*Mitigation_Industry!$F$363/1000</f>
        <v>0.35320598612025667</v>
      </c>
      <c r="AC83" s="140">
        <f>Mitigation_Industry!AC$276*Mitigation_Industry!$J$273*MAX(Mitigation_Industry!$J$264,0)*Mitigation_Industry!$F$363/1000</f>
        <v>0.36874704950954795</v>
      </c>
      <c r="AD83" s="140">
        <f>Mitigation_Industry!AD$276*Mitigation_Industry!$J$273*MAX(Mitigation_Industry!$J$264,0)*Mitigation_Industry!$F$363/1000</f>
        <v>0.38497191968796801</v>
      </c>
      <c r="AE83" s="140">
        <f>Mitigation_Industry!AE$276*Mitigation_Industry!$J$273*MAX(Mitigation_Industry!$J$264,0)*Mitigation_Industry!$F$363/1000</f>
        <v>0.40191068415423858</v>
      </c>
      <c r="AF83" s="141"/>
      <c r="AG83" s="141"/>
      <c r="AH83" s="141"/>
      <c r="AI83" s="141"/>
    </row>
    <row r="84" spans="1:35" customFormat="1" ht="14.25" x14ac:dyDescent="0.45">
      <c r="B84" s="14" t="s">
        <v>2568</v>
      </c>
      <c r="C84" s="14" t="s">
        <v>43</v>
      </c>
      <c r="D84" s="15" t="s">
        <v>2640</v>
      </c>
      <c r="E84" s="16" t="s">
        <v>2068</v>
      </c>
      <c r="F84" s="14" t="s">
        <v>2637</v>
      </c>
      <c r="G84" s="17"/>
      <c r="H84" s="128" t="str">
        <f>Settings!$B$3&amp;".mit.wm.stl.scr.np.1"</f>
        <v>egy.mit.wm.stl.scr.np.1</v>
      </c>
      <c r="K84" s="139"/>
      <c r="L84" s="140">
        <f>Mitigation_Industry!L$277*Mitigation_Industry!$J$273*MAX(Mitigation_Industry!$J$265,0)*Mitigation_Industry!$F$364/1000</f>
        <v>0.19368983132954593</v>
      </c>
      <c r="M84" s="140">
        <f>Mitigation_Industry!M$277*Mitigation_Industry!$J$273*MAX(Mitigation_Industry!$J$265,0)*Mitigation_Industry!$F$364/1000</f>
        <v>0.20221218390804596</v>
      </c>
      <c r="N84" s="140">
        <f>Mitigation_Industry!N$277*Mitigation_Industry!$J$273*MAX(Mitigation_Industry!$J$265,0)*Mitigation_Industry!$F$364/1000</f>
        <v>0.21110951999999997</v>
      </c>
      <c r="O84" s="140">
        <f>Mitigation_Industry!O$277*Mitigation_Industry!$J$273*MAX(Mitigation_Industry!$J$265,0)*Mitigation_Industry!$F$364/1000</f>
        <v>0.22039833887999999</v>
      </c>
      <c r="P84" s="140">
        <f>Mitigation_Industry!P$277*Mitigation_Industry!$J$273*MAX(Mitigation_Industry!$J$265,0)*Mitigation_Industry!$F$364/1000</f>
        <v>0.23009586579071997</v>
      </c>
      <c r="Q84" s="140">
        <f>Mitigation_Industry!Q$277*Mitigation_Industry!$J$273*MAX(Mitigation_Industry!$J$265,0)*Mitigation_Industry!$F$364/1000</f>
        <v>0.24022008388551169</v>
      </c>
      <c r="R84" s="140">
        <f>Mitigation_Industry!R$277*Mitigation_Industry!$J$273*MAX(Mitigation_Industry!$J$265,0)*Mitigation_Industry!$F$364/1000</f>
        <v>0.25078976757647414</v>
      </c>
      <c r="S84" s="140">
        <f>Mitigation_Industry!S$277*Mitigation_Industry!$J$273*MAX(Mitigation_Industry!$J$265,0)*Mitigation_Industry!$F$364/1000</f>
        <v>0.26182451734983908</v>
      </c>
      <c r="T84" s="140">
        <f>Mitigation_Industry!T$277*Mitigation_Industry!$J$273*MAX(Mitigation_Industry!$J$265,0)*Mitigation_Industry!$F$364/1000</f>
        <v>0.27334479611323198</v>
      </c>
      <c r="U84" s="140">
        <f>Mitigation_Industry!U$277*Mitigation_Industry!$J$273*MAX(Mitigation_Industry!$J$265,0)*Mitigation_Industry!$F$364/1000</f>
        <v>0.28537196714221424</v>
      </c>
      <c r="V84" s="140">
        <f>Mitigation_Industry!V$277*Mitigation_Industry!$J$273*MAX(Mitigation_Industry!$J$265,0)*Mitigation_Industry!$F$364/1000</f>
        <v>0.29792833369647159</v>
      </c>
      <c r="W84" s="140">
        <f>Mitigation_Industry!W$277*Mitigation_Industry!$J$273*MAX(Mitigation_Industry!$J$265,0)*Mitigation_Industry!$F$364/1000</f>
        <v>0.31103718037911643</v>
      </c>
      <c r="X84" s="140">
        <f>Mitigation_Industry!X$277*Mitigation_Industry!$J$273*MAX(Mitigation_Industry!$J$265,0)*Mitigation_Industry!$F$364/1000</f>
        <v>0.32472281631579752</v>
      </c>
      <c r="Y84" s="140">
        <f>Mitigation_Industry!Y$277*Mitigation_Industry!$J$273*MAX(Mitigation_Industry!$J$265,0)*Mitigation_Industry!$F$364/1000</f>
        <v>0.33901062023369266</v>
      </c>
      <c r="Z84" s="140">
        <f>Mitigation_Industry!Z$277*Mitigation_Industry!$J$273*MAX(Mitigation_Industry!$J$265,0)*Mitigation_Industry!$F$364/1000</f>
        <v>0.35392708752397511</v>
      </c>
      <c r="AA84" s="140">
        <f>Mitigation_Industry!AA$277*Mitigation_Industry!$J$273*MAX(Mitigation_Industry!$J$265,0)*Mitigation_Industry!$F$364/1000</f>
        <v>0.36949987937502998</v>
      </c>
      <c r="AB84" s="140">
        <f>Mitigation_Industry!AB$277*Mitigation_Industry!$J$273*MAX(Mitigation_Industry!$J$265,0)*Mitigation_Industry!$F$364/1000</f>
        <v>0.38575787406753137</v>
      </c>
      <c r="AC84" s="140">
        <f>Mitigation_Industry!AC$277*Mitigation_Industry!$J$273*MAX(Mitigation_Industry!$J$265,0)*Mitigation_Industry!$F$364/1000</f>
        <v>0.40273122052650273</v>
      </c>
      <c r="AD84" s="140">
        <f>Mitigation_Industry!AD$277*Mitigation_Industry!$J$273*MAX(Mitigation_Industry!$J$265,0)*Mitigation_Industry!$F$364/1000</f>
        <v>0.42045139422966882</v>
      </c>
      <c r="AE84" s="140">
        <f>Mitigation_Industry!AE$277*Mitigation_Industry!$J$273*MAX(Mitigation_Industry!$J$265,0)*Mitigation_Industry!$F$364/1000</f>
        <v>0.43895125557577425</v>
      </c>
      <c r="AF84" s="141"/>
      <c r="AG84" s="141"/>
      <c r="AH84" s="141"/>
      <c r="AI84" s="141"/>
    </row>
    <row r="85" spans="1:35" customFormat="1" ht="14.25" x14ac:dyDescent="0.45">
      <c r="B85" s="14" t="s">
        <v>2570</v>
      </c>
      <c r="C85" s="14" t="s">
        <v>43</v>
      </c>
      <c r="D85" s="15" t="s">
        <v>2641</v>
      </c>
      <c r="E85" s="16" t="s">
        <v>2068</v>
      </c>
      <c r="F85" s="14" t="s">
        <v>2637</v>
      </c>
      <c r="G85" s="17"/>
      <c r="H85" s="128" t="str">
        <f>Settings!$B$3&amp;".mit.wm.stl.bof.np.1"</f>
        <v>egy.mit.wm.stl.bof.np.1</v>
      </c>
      <c r="K85" s="139"/>
      <c r="L85" s="140">
        <f>Mitigation_Industry!L$278*Mitigation_Industry!$J$273*MAX(Mitigation_Industry!$J$266,0)*Mitigation_Industry!$F$365/1000</f>
        <v>0</v>
      </c>
      <c r="M85" s="140">
        <f>Mitigation_Industry!M$278*Mitigation_Industry!$J$273*MAX(Mitigation_Industry!$J$266,0)*Mitigation_Industry!$F$365/1000</f>
        <v>0</v>
      </c>
      <c r="N85" s="140">
        <f>Mitigation_Industry!N$278*Mitigation_Industry!$J$273*MAX(Mitigation_Industry!$J$266,0)*Mitigation_Industry!$F$365/1000</f>
        <v>0</v>
      </c>
      <c r="O85" s="140">
        <f>Mitigation_Industry!O$278*Mitigation_Industry!$J$273*MAX(Mitigation_Industry!$J$266,0)*Mitigation_Industry!$F$365/1000</f>
        <v>0</v>
      </c>
      <c r="P85" s="140">
        <f>Mitigation_Industry!P$278*Mitigation_Industry!$J$273*MAX(Mitigation_Industry!$J$266,0)*Mitigation_Industry!$F$365/1000</f>
        <v>0</v>
      </c>
      <c r="Q85" s="140">
        <f>Mitigation_Industry!Q$278*Mitigation_Industry!$J$273*MAX(Mitigation_Industry!$J$266,0)*Mitigation_Industry!$F$365/1000</f>
        <v>0</v>
      </c>
      <c r="R85" s="140">
        <f>Mitigation_Industry!R$278*Mitigation_Industry!$J$273*MAX(Mitigation_Industry!$J$266,0)*Mitigation_Industry!$F$365/1000</f>
        <v>0</v>
      </c>
      <c r="S85" s="140">
        <f>Mitigation_Industry!S$278*Mitigation_Industry!$J$273*MAX(Mitigation_Industry!$J$266,0)*Mitigation_Industry!$F$365/1000</f>
        <v>0</v>
      </c>
      <c r="T85" s="140">
        <f>Mitigation_Industry!T$278*Mitigation_Industry!$J$273*MAX(Mitigation_Industry!$J$266,0)*Mitigation_Industry!$F$365/1000</f>
        <v>0</v>
      </c>
      <c r="U85" s="140">
        <f>Mitigation_Industry!U$278*Mitigation_Industry!$J$273*MAX(Mitigation_Industry!$J$266,0)*Mitigation_Industry!$F$365/1000</f>
        <v>0</v>
      </c>
      <c r="V85" s="140">
        <f>Mitigation_Industry!V$278*Mitigation_Industry!$J$273*MAX(Mitigation_Industry!$J$266,0)*Mitigation_Industry!$F$365/1000</f>
        <v>0</v>
      </c>
      <c r="W85" s="140">
        <f>Mitigation_Industry!W$278*Mitigation_Industry!$J$273*MAX(Mitigation_Industry!$J$266,0)*Mitigation_Industry!$F$365/1000</f>
        <v>0</v>
      </c>
      <c r="X85" s="140">
        <f>Mitigation_Industry!X$278*Mitigation_Industry!$J$273*MAX(Mitigation_Industry!$J$266,0)*Mitigation_Industry!$F$365/1000</f>
        <v>0</v>
      </c>
      <c r="Y85" s="140">
        <f>Mitigation_Industry!Y$278*Mitigation_Industry!$J$273*MAX(Mitigation_Industry!$J$266,0)*Mitigation_Industry!$F$365/1000</f>
        <v>0</v>
      </c>
      <c r="Z85" s="140">
        <f>Mitigation_Industry!Z$278*Mitigation_Industry!$J$273*MAX(Mitigation_Industry!$J$266,0)*Mitigation_Industry!$F$365/1000</f>
        <v>0</v>
      </c>
      <c r="AA85" s="140">
        <f>Mitigation_Industry!AA$278*Mitigation_Industry!$J$273*MAX(Mitigation_Industry!$J$266,0)*Mitigation_Industry!$F$365/1000</f>
        <v>0</v>
      </c>
      <c r="AB85" s="140">
        <f>Mitigation_Industry!AB$278*Mitigation_Industry!$J$273*MAX(Mitigation_Industry!$J$266,0)*Mitigation_Industry!$F$365/1000</f>
        <v>0</v>
      </c>
      <c r="AC85" s="140">
        <f>Mitigation_Industry!AC$278*Mitigation_Industry!$J$273*MAX(Mitigation_Industry!$J$266,0)*Mitigation_Industry!$F$365/1000</f>
        <v>0</v>
      </c>
      <c r="AD85" s="140">
        <f>Mitigation_Industry!AD$278*Mitigation_Industry!$J$273*MAX(Mitigation_Industry!$J$266,0)*Mitigation_Industry!$F$365/1000</f>
        <v>0</v>
      </c>
      <c r="AE85" s="140">
        <f>Mitigation_Industry!AE$278*Mitigation_Industry!$J$273*MAX(Mitigation_Industry!$J$266,0)*Mitigation_Industry!$F$365/1000</f>
        <v>0</v>
      </c>
      <c r="AF85" s="141"/>
      <c r="AG85" s="141"/>
      <c r="AH85" s="141"/>
      <c r="AI85" s="141"/>
    </row>
    <row r="86" spans="1:35" customFormat="1" ht="14.25" x14ac:dyDescent="0.45">
      <c r="B86" s="14" t="s">
        <v>2572</v>
      </c>
      <c r="C86" s="14" t="s">
        <v>113</v>
      </c>
      <c r="D86" s="15" t="s">
        <v>2642</v>
      </c>
      <c r="E86" s="16" t="s">
        <v>2068</v>
      </c>
      <c r="F86" s="14" t="s">
        <v>2637</v>
      </c>
      <c r="G86" s="17"/>
      <c r="H86" s="128" t="str">
        <f>Settings!$B$3&amp;".mit.wm.cmt.dry.np.1"</f>
        <v>egy.mit.wm.cmt.dry.np.1</v>
      </c>
      <c r="K86" s="139"/>
      <c r="L86" s="140">
        <f>Mitigation_Industry!L$279*Mitigation_Industry!$J$273*MAX(Mitigation_Industry!$J$267,0)*Mitigation_Industry!$F$366/1000</f>
        <v>25.163138219961041</v>
      </c>
      <c r="M86" s="140">
        <f>Mitigation_Industry!M$279*Mitigation_Industry!$J$273*MAX(Mitigation_Industry!$J$267,0)*Mitigation_Industry!$F$366/1000</f>
        <v>25.993521781219755</v>
      </c>
      <c r="N86" s="140">
        <f>Mitigation_Industry!N$279*Mitigation_Industry!$J$273*MAX(Mitigation_Industry!$J$267,0)*Mitigation_Industry!$F$366/1000</f>
        <v>26.851308</v>
      </c>
      <c r="O86" s="140">
        <f>Mitigation_Industry!O$279*Mitigation_Industry!$J$273*MAX(Mitigation_Industry!$J$267,0)*Mitigation_Industry!$F$366/1000</f>
        <v>27.737401163999998</v>
      </c>
      <c r="P86" s="140">
        <f>Mitigation_Industry!P$279*Mitigation_Industry!$J$273*MAX(Mitigation_Industry!$J$267,0)*Mitigation_Industry!$F$366/1000</f>
        <v>28.652735402411995</v>
      </c>
      <c r="Q86" s="140">
        <f>Mitigation_Industry!Q$279*Mitigation_Industry!$J$273*MAX(Mitigation_Industry!$J$267,0)*Mitigation_Industry!$F$366/1000</f>
        <v>29.598275670691589</v>
      </c>
      <c r="R86" s="140">
        <f>Mitigation_Industry!R$279*Mitigation_Industry!$J$273*MAX(Mitigation_Industry!$J$267,0)*Mitigation_Industry!$F$366/1000</f>
        <v>30.575018767824407</v>
      </c>
      <c r="S86" s="140">
        <f>Mitigation_Industry!S$279*Mitigation_Industry!$J$273*MAX(Mitigation_Industry!$J$267,0)*Mitigation_Industry!$F$366/1000</f>
        <v>31.583994387162612</v>
      </c>
      <c r="T86" s="140">
        <f>Mitigation_Industry!T$279*Mitigation_Industry!$J$273*MAX(Mitigation_Industry!$J$267,0)*Mitigation_Industry!$F$366/1000</f>
        <v>32.626266201938975</v>
      </c>
      <c r="U86" s="140">
        <f>Mitigation_Industry!U$279*Mitigation_Industry!$J$273*MAX(Mitigation_Industry!$J$267,0)*Mitigation_Industry!$F$366/1000</f>
        <v>33.70293298660296</v>
      </c>
      <c r="V86" s="140">
        <f>Mitigation_Industry!V$279*Mitigation_Industry!$J$273*MAX(Mitigation_Industry!$J$267,0)*Mitigation_Industry!$F$366/1000</f>
        <v>34.815129775160841</v>
      </c>
      <c r="W86" s="140">
        <f>Mitigation_Industry!W$279*Mitigation_Industry!$J$273*MAX(Mitigation_Industry!$J$267,0)*Mitigation_Industry!$F$366/1000</f>
        <v>35.964029057741151</v>
      </c>
      <c r="X86" s="140">
        <f>Mitigation_Industry!X$279*Mitigation_Industry!$J$273*MAX(Mitigation_Industry!$J$267,0)*Mitigation_Industry!$F$366/1000</f>
        <v>37.150842016646592</v>
      </c>
      <c r="Y86" s="140">
        <f>Mitigation_Industry!Y$279*Mitigation_Industry!$J$273*MAX(Mitigation_Industry!$J$267,0)*Mitigation_Industry!$F$366/1000</f>
        <v>38.376819803195943</v>
      </c>
      <c r="Z86" s="140">
        <f>Mitigation_Industry!Z$279*Mitigation_Industry!$J$273*MAX(Mitigation_Industry!$J$267,0)*Mitigation_Industry!$F$366/1000</f>
        <v>39.643254856701404</v>
      </c>
      <c r="AA86" s="140">
        <f>Mitigation_Industry!AA$279*Mitigation_Industry!$J$273*MAX(Mitigation_Industry!$J$267,0)*Mitigation_Industry!$F$366/1000</f>
        <v>40.951482266972548</v>
      </c>
      <c r="AB86" s="140">
        <f>Mitigation_Industry!AB$279*Mitigation_Industry!$J$273*MAX(Mitigation_Industry!$J$267,0)*Mitigation_Industry!$F$366/1000</f>
        <v>42.302881181782631</v>
      </c>
      <c r="AC86" s="140">
        <f>Mitigation_Industry!AC$279*Mitigation_Industry!$J$273*MAX(Mitigation_Industry!$J$267,0)*Mitigation_Industry!$F$366/1000</f>
        <v>43.698876260781446</v>
      </c>
      <c r="AD86" s="140">
        <f>Mitigation_Industry!AD$279*Mitigation_Industry!$J$273*MAX(Mitigation_Industry!$J$267,0)*Mitigation_Industry!$F$366/1000</f>
        <v>45.140939177387231</v>
      </c>
      <c r="AE86" s="140">
        <f>Mitigation_Industry!AE$279*Mitigation_Industry!$J$273*MAX(Mitigation_Industry!$J$267,0)*Mitigation_Industry!$F$366/1000</f>
        <v>46.630590170241007</v>
      </c>
      <c r="AF86" s="141"/>
      <c r="AG86" s="141"/>
      <c r="AH86" s="141"/>
      <c r="AI86" s="141"/>
    </row>
    <row r="87" spans="1:35" customFormat="1" ht="14.25" x14ac:dyDescent="0.45">
      <c r="B87" s="14" t="s">
        <v>2574</v>
      </c>
      <c r="C87" s="14" t="s">
        <v>117</v>
      </c>
      <c r="D87" s="15" t="s">
        <v>2643</v>
      </c>
      <c r="E87" s="16" t="s">
        <v>2068</v>
      </c>
      <c r="F87" s="14" t="s">
        <v>2637</v>
      </c>
      <c r="G87" s="17"/>
      <c r="H87" s="128" t="str">
        <f>Settings!$B$3&amp;".mit.wm.frt.amc.np.1"</f>
        <v>egy.mit.wm.frt.amc.np.1</v>
      </c>
      <c r="K87" s="139"/>
      <c r="L87" s="140">
        <f>Mitigation_Industry!L$280*Mitigation_Industry!$J$273*MAX(Mitigation_Industry!$J$268,0)*Mitigation_Industry!$F$367/1000</f>
        <v>0</v>
      </c>
      <c r="M87" s="140">
        <f>Mitigation_Industry!M$280*Mitigation_Industry!$J$273*MAX(Mitigation_Industry!$J$268,0)*Mitigation_Industry!$F$367/1000</f>
        <v>0</v>
      </c>
      <c r="N87" s="140">
        <f>Mitigation_Industry!N$280*Mitigation_Industry!$J$273*MAX(Mitigation_Industry!$J$268,0)*Mitigation_Industry!$F$367/1000</f>
        <v>0</v>
      </c>
      <c r="O87" s="140">
        <f>Mitigation_Industry!O$280*Mitigation_Industry!$J$273*MAX(Mitigation_Industry!$J$268,0)*Mitigation_Industry!$F$367/1000</f>
        <v>0</v>
      </c>
      <c r="P87" s="140">
        <f>Mitigation_Industry!P$280*Mitigation_Industry!$J$273*MAX(Mitigation_Industry!$J$268,0)*Mitigation_Industry!$F$367/1000</f>
        <v>0</v>
      </c>
      <c r="Q87" s="140">
        <f>Mitigation_Industry!Q$280*Mitigation_Industry!$J$273*MAX(Mitigation_Industry!$J$268,0)*Mitigation_Industry!$F$367/1000</f>
        <v>0</v>
      </c>
      <c r="R87" s="140">
        <f>Mitigation_Industry!R$280*Mitigation_Industry!$J$273*MAX(Mitigation_Industry!$J$268,0)*Mitigation_Industry!$F$367/1000</f>
        <v>0</v>
      </c>
      <c r="S87" s="140">
        <f>Mitigation_Industry!S$280*Mitigation_Industry!$J$273*MAX(Mitigation_Industry!$J$268,0)*Mitigation_Industry!$F$367/1000</f>
        <v>0</v>
      </c>
      <c r="T87" s="140">
        <f>Mitigation_Industry!T$280*Mitigation_Industry!$J$273*MAX(Mitigation_Industry!$J$268,0)*Mitigation_Industry!$F$367/1000</f>
        <v>0</v>
      </c>
      <c r="U87" s="140">
        <f>Mitigation_Industry!U$280*Mitigation_Industry!$J$273*MAX(Mitigation_Industry!$J$268,0)*Mitigation_Industry!$F$367/1000</f>
        <v>0</v>
      </c>
      <c r="V87" s="140">
        <f>Mitigation_Industry!V$280*Mitigation_Industry!$J$273*MAX(Mitigation_Industry!$J$268,0)*Mitigation_Industry!$F$367/1000</f>
        <v>0</v>
      </c>
      <c r="W87" s="140">
        <f>Mitigation_Industry!W$280*Mitigation_Industry!$J$273*MAX(Mitigation_Industry!$J$268,0)*Mitigation_Industry!$F$367/1000</f>
        <v>0</v>
      </c>
      <c r="X87" s="140">
        <f>Mitigation_Industry!X$280*Mitigation_Industry!$J$273*MAX(Mitigation_Industry!$J$268,0)*Mitigation_Industry!$F$367/1000</f>
        <v>0</v>
      </c>
      <c r="Y87" s="140">
        <f>Mitigation_Industry!Y$280*Mitigation_Industry!$J$273*MAX(Mitigation_Industry!$J$268,0)*Mitigation_Industry!$F$367/1000</f>
        <v>0</v>
      </c>
      <c r="Z87" s="140">
        <f>Mitigation_Industry!Z$280*Mitigation_Industry!$J$273*MAX(Mitigation_Industry!$J$268,0)*Mitigation_Industry!$F$367/1000</f>
        <v>0</v>
      </c>
      <c r="AA87" s="140">
        <f>Mitigation_Industry!AA$280*Mitigation_Industry!$J$273*MAX(Mitigation_Industry!$J$268,0)*Mitigation_Industry!$F$367/1000</f>
        <v>0</v>
      </c>
      <c r="AB87" s="140">
        <f>Mitigation_Industry!AB$280*Mitigation_Industry!$J$273*MAX(Mitigation_Industry!$J$268,0)*Mitigation_Industry!$F$367/1000</f>
        <v>0</v>
      </c>
      <c r="AC87" s="140">
        <f>Mitigation_Industry!AC$280*Mitigation_Industry!$J$273*MAX(Mitigation_Industry!$J$268,0)*Mitigation_Industry!$F$367/1000</f>
        <v>0</v>
      </c>
      <c r="AD87" s="140">
        <f>Mitigation_Industry!AD$280*Mitigation_Industry!$J$273*MAX(Mitigation_Industry!$J$268,0)*Mitigation_Industry!$F$367/1000</f>
        <v>0</v>
      </c>
      <c r="AE87" s="140">
        <f>Mitigation_Industry!AE$280*Mitigation_Industry!$J$273*MAX(Mitigation_Industry!$J$268,0)*Mitigation_Industry!$F$367/1000</f>
        <v>0</v>
      </c>
      <c r="AF87" s="141"/>
      <c r="AG87" s="141"/>
      <c r="AH87" s="141"/>
      <c r="AI87" s="141"/>
    </row>
    <row r="88" spans="1:35" customFormat="1" ht="14.25" x14ac:dyDescent="0.45">
      <c r="B88" s="14" t="s">
        <v>2576</v>
      </c>
      <c r="C88" s="14" t="s">
        <v>117</v>
      </c>
      <c r="D88" s="15" t="s">
        <v>2644</v>
      </c>
      <c r="E88" s="16" t="s">
        <v>2068</v>
      </c>
      <c r="F88" s="14" t="s">
        <v>2637</v>
      </c>
      <c r="G88" s="17"/>
      <c r="H88" s="128" t="str">
        <f>Settings!$B$3&amp;".mit.wm.frt.ure.np.1"</f>
        <v>egy.mit.wm.frt.ure.np.1</v>
      </c>
      <c r="K88" s="139"/>
      <c r="L88" s="140">
        <f>Mitigation_Industry!L$281*Mitigation_Industry!$J$273*MAX(Mitigation_Industry!$J$269,0)*Mitigation_Industry!$F$368/1000</f>
        <v>0</v>
      </c>
      <c r="M88" s="140">
        <f>Mitigation_Industry!M$281*Mitigation_Industry!$J$273*MAX(Mitigation_Industry!$J$269,0)*Mitigation_Industry!$F$368/1000</f>
        <v>0</v>
      </c>
      <c r="N88" s="140">
        <f>Mitigation_Industry!N$281*Mitigation_Industry!$J$273*MAX(Mitigation_Industry!$J$269,0)*Mitigation_Industry!$F$368/1000</f>
        <v>0</v>
      </c>
      <c r="O88" s="140">
        <f>Mitigation_Industry!O$281*Mitigation_Industry!$J$273*MAX(Mitigation_Industry!$J$269,0)*Mitigation_Industry!$F$368/1000</f>
        <v>0</v>
      </c>
      <c r="P88" s="140">
        <f>Mitigation_Industry!P$281*Mitigation_Industry!$J$273*MAX(Mitigation_Industry!$J$269,0)*Mitigation_Industry!$F$368/1000</f>
        <v>0</v>
      </c>
      <c r="Q88" s="140">
        <f>Mitigation_Industry!Q$281*Mitigation_Industry!$J$273*MAX(Mitigation_Industry!$J$269,0)*Mitigation_Industry!$F$368/1000</f>
        <v>0</v>
      </c>
      <c r="R88" s="140">
        <f>Mitigation_Industry!R$281*Mitigation_Industry!$J$273*MAX(Mitigation_Industry!$J$269,0)*Mitigation_Industry!$F$368/1000</f>
        <v>0</v>
      </c>
      <c r="S88" s="140">
        <f>Mitigation_Industry!S$281*Mitigation_Industry!$J$273*MAX(Mitigation_Industry!$J$269,0)*Mitigation_Industry!$F$368/1000</f>
        <v>0</v>
      </c>
      <c r="T88" s="140">
        <f>Mitigation_Industry!T$281*Mitigation_Industry!$J$273*MAX(Mitigation_Industry!$J$269,0)*Mitigation_Industry!$F$368/1000</f>
        <v>0</v>
      </c>
      <c r="U88" s="140">
        <f>Mitigation_Industry!U$281*Mitigation_Industry!$J$273*MAX(Mitigation_Industry!$J$269,0)*Mitigation_Industry!$F$368/1000</f>
        <v>0</v>
      </c>
      <c r="V88" s="140">
        <f>Mitigation_Industry!V$281*Mitigation_Industry!$J$273*MAX(Mitigation_Industry!$J$269,0)*Mitigation_Industry!$F$368/1000</f>
        <v>0</v>
      </c>
      <c r="W88" s="140">
        <f>Mitigation_Industry!W$281*Mitigation_Industry!$J$273*MAX(Mitigation_Industry!$J$269,0)*Mitigation_Industry!$F$368/1000</f>
        <v>0</v>
      </c>
      <c r="X88" s="140">
        <f>Mitigation_Industry!X$281*Mitigation_Industry!$J$273*MAX(Mitigation_Industry!$J$269,0)*Mitigation_Industry!$F$368/1000</f>
        <v>0</v>
      </c>
      <c r="Y88" s="140">
        <f>Mitigation_Industry!Y$281*Mitigation_Industry!$J$273*MAX(Mitigation_Industry!$J$269,0)*Mitigation_Industry!$F$368/1000</f>
        <v>0</v>
      </c>
      <c r="Z88" s="140">
        <f>Mitigation_Industry!Z$281*Mitigation_Industry!$J$273*MAX(Mitigation_Industry!$J$269,0)*Mitigation_Industry!$F$368/1000</f>
        <v>0</v>
      </c>
      <c r="AA88" s="140">
        <f>Mitigation_Industry!AA$281*Mitigation_Industry!$J$273*MAX(Mitigation_Industry!$J$269,0)*Mitigation_Industry!$F$368/1000</f>
        <v>0</v>
      </c>
      <c r="AB88" s="140">
        <f>Mitigation_Industry!AB$281*Mitigation_Industry!$J$273*MAX(Mitigation_Industry!$J$269,0)*Mitigation_Industry!$F$368/1000</f>
        <v>0</v>
      </c>
      <c r="AC88" s="140">
        <f>Mitigation_Industry!AC$281*Mitigation_Industry!$J$273*MAX(Mitigation_Industry!$J$269,0)*Mitigation_Industry!$F$368/1000</f>
        <v>0</v>
      </c>
      <c r="AD88" s="140">
        <f>Mitigation_Industry!AD$281*Mitigation_Industry!$J$273*MAX(Mitigation_Industry!$J$269,0)*Mitigation_Industry!$F$368/1000</f>
        <v>0</v>
      </c>
      <c r="AE88" s="140">
        <f>Mitigation_Industry!AE$281*Mitigation_Industry!$J$273*MAX(Mitigation_Industry!$J$269,0)*Mitigation_Industry!$F$368/1000</f>
        <v>0</v>
      </c>
      <c r="AF88" s="141"/>
      <c r="AG88" s="141"/>
      <c r="AH88" s="141"/>
      <c r="AI88" s="141"/>
    </row>
    <row r="89" spans="1:35" customFormat="1" ht="14.25" x14ac:dyDescent="0.45">
      <c r="B89" s="14" t="s">
        <v>2578</v>
      </c>
      <c r="C89" s="14" t="s">
        <v>117</v>
      </c>
      <c r="D89" s="15" t="s">
        <v>2645</v>
      </c>
      <c r="E89" s="16" t="s">
        <v>2068</v>
      </c>
      <c r="F89" s="14" t="s">
        <v>2637</v>
      </c>
      <c r="G89" s="17"/>
      <c r="H89" s="128" t="str">
        <f>Settings!$B$3&amp;".mit.wm.frt.nit.np.1"</f>
        <v>egy.mit.wm.frt.nit.np.1</v>
      </c>
      <c r="K89" s="139"/>
      <c r="L89" s="140">
        <f>Mitigation_Industry!L$282*Mitigation_Industry!$J$273*MAX(Mitigation_Industry!$J$270,0)*Mitigation_Industry!$F$369/1000</f>
        <v>0</v>
      </c>
      <c r="M89" s="140">
        <f>Mitigation_Industry!M$282*Mitigation_Industry!$J$273*MAX(Mitigation_Industry!$J$270,0)*Mitigation_Industry!$F$369/1000</f>
        <v>0</v>
      </c>
      <c r="N89" s="140">
        <f>Mitigation_Industry!N$282*Mitigation_Industry!$J$273*MAX(Mitigation_Industry!$J$270,0)*Mitigation_Industry!$F$369/1000</f>
        <v>0</v>
      </c>
      <c r="O89" s="140">
        <f>Mitigation_Industry!O$282*Mitigation_Industry!$J$273*MAX(Mitigation_Industry!$J$270,0)*Mitigation_Industry!$F$369/1000</f>
        <v>0</v>
      </c>
      <c r="P89" s="140">
        <f>Mitigation_Industry!P$282*Mitigation_Industry!$J$273*MAX(Mitigation_Industry!$J$270,0)*Mitigation_Industry!$F$369/1000</f>
        <v>0</v>
      </c>
      <c r="Q89" s="140">
        <f>Mitigation_Industry!Q$282*Mitigation_Industry!$J$273*MAX(Mitigation_Industry!$J$270,0)*Mitigation_Industry!$F$369/1000</f>
        <v>0</v>
      </c>
      <c r="R89" s="140">
        <f>Mitigation_Industry!R$282*Mitigation_Industry!$J$273*MAX(Mitigation_Industry!$J$270,0)*Mitigation_Industry!$F$369/1000</f>
        <v>0</v>
      </c>
      <c r="S89" s="140">
        <f>Mitigation_Industry!S$282*Mitigation_Industry!$J$273*MAX(Mitigation_Industry!$J$270,0)*Mitigation_Industry!$F$369/1000</f>
        <v>0</v>
      </c>
      <c r="T89" s="140">
        <f>Mitigation_Industry!T$282*Mitigation_Industry!$J$273*MAX(Mitigation_Industry!$J$270,0)*Mitigation_Industry!$F$369/1000</f>
        <v>0</v>
      </c>
      <c r="U89" s="140">
        <f>Mitigation_Industry!U$282*Mitigation_Industry!$J$273*MAX(Mitigation_Industry!$J$270,0)*Mitigation_Industry!$F$369/1000</f>
        <v>0</v>
      </c>
      <c r="V89" s="140">
        <f>Mitigation_Industry!V$282*Mitigation_Industry!$J$273*MAX(Mitigation_Industry!$J$270,0)*Mitigation_Industry!$F$369/1000</f>
        <v>0</v>
      </c>
      <c r="W89" s="140">
        <f>Mitigation_Industry!W$282*Mitigation_Industry!$J$273*MAX(Mitigation_Industry!$J$270,0)*Mitigation_Industry!$F$369/1000</f>
        <v>0</v>
      </c>
      <c r="X89" s="140">
        <f>Mitigation_Industry!X$282*Mitigation_Industry!$J$273*MAX(Mitigation_Industry!$J$270,0)*Mitigation_Industry!$F$369/1000</f>
        <v>0</v>
      </c>
      <c r="Y89" s="140">
        <f>Mitigation_Industry!Y$282*Mitigation_Industry!$J$273*MAX(Mitigation_Industry!$J$270,0)*Mitigation_Industry!$F$369/1000</f>
        <v>0</v>
      </c>
      <c r="Z89" s="140">
        <f>Mitigation_Industry!Z$282*Mitigation_Industry!$J$273*MAX(Mitigation_Industry!$J$270,0)*Mitigation_Industry!$F$369/1000</f>
        <v>0</v>
      </c>
      <c r="AA89" s="140">
        <f>Mitigation_Industry!AA$282*Mitigation_Industry!$J$273*MAX(Mitigation_Industry!$J$270,0)*Mitigation_Industry!$F$369/1000</f>
        <v>0</v>
      </c>
      <c r="AB89" s="140">
        <f>Mitigation_Industry!AB$282*Mitigation_Industry!$J$273*MAX(Mitigation_Industry!$J$270,0)*Mitigation_Industry!$F$369/1000</f>
        <v>0</v>
      </c>
      <c r="AC89" s="140">
        <f>Mitigation_Industry!AC$282*Mitigation_Industry!$J$273*MAX(Mitigation_Industry!$J$270,0)*Mitigation_Industry!$F$369/1000</f>
        <v>0</v>
      </c>
      <c r="AD89" s="140">
        <f>Mitigation_Industry!AD$282*Mitigation_Industry!$J$273*MAX(Mitigation_Industry!$J$270,0)*Mitigation_Industry!$F$369/1000</f>
        <v>0</v>
      </c>
      <c r="AE89" s="140">
        <f>Mitigation_Industry!AE$282*Mitigation_Industry!$J$273*MAX(Mitigation_Industry!$J$270,0)*Mitigation_Industry!$F$369/1000</f>
        <v>0</v>
      </c>
      <c r="AF89" s="141"/>
      <c r="AG89" s="141"/>
      <c r="AH89" s="141"/>
      <c r="AI89" s="141"/>
    </row>
    <row r="90" spans="1:35" customFormat="1" ht="14.25" x14ac:dyDescent="0.45">
      <c r="B90" s="14" t="s">
        <v>2580</v>
      </c>
      <c r="C90" s="14" t="s">
        <v>115</v>
      </c>
      <c r="D90" s="15" t="s">
        <v>2646</v>
      </c>
      <c r="E90" s="16" t="s">
        <v>2068</v>
      </c>
      <c r="F90" s="14" t="s">
        <v>2637</v>
      </c>
      <c r="G90" s="17"/>
      <c r="H90" s="128" t="str">
        <f>Settings!$B$3&amp;".mit.wm.alu.prp.np.1"</f>
        <v>egy.mit.wm.alu.prp.np.1</v>
      </c>
      <c r="K90" s="139"/>
      <c r="L90" s="140">
        <f>Mitigation_Industry!L$283*Mitigation_Industry!$J$273*MAX(Mitigation_Industry!$J$271,0)*Mitigation_Industry!$F$370/1000</f>
        <v>0.43758937310482698</v>
      </c>
      <c r="M90" s="140">
        <f>Mitigation_Industry!M$283*Mitigation_Industry!$J$273*MAX(Mitigation_Industry!$J$271,0)*Mitigation_Industry!$F$370/1000</f>
        <v>0.4616567886255924</v>
      </c>
      <c r="N90" s="140">
        <f>Mitigation_Industry!N$283*Mitigation_Industry!$J$273*MAX(Mitigation_Industry!$J$271,0)*Mitigation_Industry!$F$370/1000</f>
        <v>0.48704791199999997</v>
      </c>
      <c r="O90" s="140">
        <f>Mitigation_Industry!O$283*Mitigation_Industry!$J$273*MAX(Mitigation_Industry!$J$271,0)*Mitigation_Industry!$F$370/1000</f>
        <v>0.51383554716000002</v>
      </c>
      <c r="P90" s="140">
        <f>Mitigation_Industry!P$283*Mitigation_Industry!$J$273*MAX(Mitigation_Industry!$J$271,0)*Mitigation_Industry!$F$370/1000</f>
        <v>0.54209650225379991</v>
      </c>
      <c r="Q90" s="140">
        <f>Mitigation_Industry!Q$283*Mitigation_Industry!$J$273*MAX(Mitigation_Industry!$J$271,0)*Mitigation_Industry!$F$370/1000</f>
        <v>0.5719118098777588</v>
      </c>
      <c r="R90" s="140">
        <f>Mitigation_Industry!R$283*Mitigation_Industry!$J$273*MAX(Mitigation_Industry!$J$271,0)*Mitigation_Industry!$F$370/1000</f>
        <v>0.6033669594210358</v>
      </c>
      <c r="S90" s="140">
        <f>Mitigation_Industry!S$283*Mitigation_Industry!$J$273*MAX(Mitigation_Industry!$J$271,0)*Mitigation_Industry!$F$370/1000</f>
        <v>0.63655214218919254</v>
      </c>
      <c r="T90" s="140">
        <f>Mitigation_Industry!T$283*Mitigation_Industry!$J$273*MAX(Mitigation_Industry!$J$271,0)*Mitigation_Industry!$F$370/1000</f>
        <v>0.6715625100095981</v>
      </c>
      <c r="U90" s="140">
        <f>Mitigation_Industry!U$283*Mitigation_Industry!$J$273*MAX(Mitigation_Industry!$J$271,0)*Mitigation_Industry!$F$370/1000</f>
        <v>0.70849844806012596</v>
      </c>
      <c r="V90" s="140">
        <f>Mitigation_Industry!V$283*Mitigation_Industry!$J$273*MAX(Mitigation_Industry!$J$271,0)*Mitigation_Industry!$F$370/1000</f>
        <v>0.74746586270343296</v>
      </c>
      <c r="W90" s="140">
        <f>Mitigation_Industry!W$283*Mitigation_Industry!$J$273*MAX(Mitigation_Industry!$J$271,0)*Mitigation_Industry!$F$370/1000</f>
        <v>0.78857648515212175</v>
      </c>
      <c r="X90" s="140">
        <f>Mitigation_Industry!X$283*Mitigation_Industry!$J$273*MAX(Mitigation_Industry!$J$271,0)*Mitigation_Industry!$F$370/1000</f>
        <v>0.83194819183548852</v>
      </c>
      <c r="Y90" s="140">
        <f>Mitigation_Industry!Y$283*Mitigation_Industry!$J$273*MAX(Mitigation_Industry!$J$271,0)*Mitigation_Industry!$F$370/1000</f>
        <v>0.87770534238644027</v>
      </c>
      <c r="Z90" s="140">
        <f>Mitigation_Industry!Z$283*Mitigation_Industry!$J$273*MAX(Mitigation_Industry!$J$271,0)*Mitigation_Industry!$F$370/1000</f>
        <v>0.92597913621769457</v>
      </c>
      <c r="AA90" s="140">
        <f>Mitigation_Industry!AA$283*Mitigation_Industry!$J$273*MAX(Mitigation_Industry!$J$271,0)*Mitigation_Industry!$F$370/1000</f>
        <v>0.97690798870966755</v>
      </c>
      <c r="AB90" s="140">
        <f>Mitigation_Industry!AB$283*Mitigation_Industry!$J$273*MAX(Mitigation_Industry!$J$271,0)*Mitigation_Industry!$F$370/1000</f>
        <v>1.0306379280886993</v>
      </c>
      <c r="AC90" s="140">
        <f>Mitigation_Industry!AC$283*Mitigation_Industry!$J$273*MAX(Mitigation_Industry!$J$271,0)*Mitigation_Industry!$F$370/1000</f>
        <v>1.0873230141335775</v>
      </c>
      <c r="AD90" s="140">
        <f>Mitigation_Industry!AD$283*Mitigation_Industry!$J$273*MAX(Mitigation_Industry!$J$271,0)*Mitigation_Industry!$F$370/1000</f>
        <v>1.1471257799109245</v>
      </c>
      <c r="AE90" s="140">
        <f>Mitigation_Industry!AE$283*Mitigation_Industry!$J$273*MAX(Mitigation_Industry!$J$271,0)*Mitigation_Industry!$F$370/1000</f>
        <v>1.2102176978060251</v>
      </c>
      <c r="AF90" s="141"/>
      <c r="AG90" s="141"/>
      <c r="AH90" s="141"/>
      <c r="AI90" s="141"/>
    </row>
    <row r="91" spans="1:35" customFormat="1" ht="14.25" x14ac:dyDescent="0.45">
      <c r="B91" s="14" t="s">
        <v>2582</v>
      </c>
      <c r="C91" s="14" t="s">
        <v>43</v>
      </c>
      <c r="D91" s="15" t="s">
        <v>2647</v>
      </c>
      <c r="E91" s="16" t="s">
        <v>2068</v>
      </c>
      <c r="F91" s="14" t="s">
        <v>2637</v>
      </c>
      <c r="G91" s="17"/>
      <c r="H91" s="128" t="str">
        <f>Settings!$B$3&amp;".mit.wm.stl.drg.no.1"</f>
        <v>egy.mit.wm.stl.drg.no.1</v>
      </c>
      <c r="K91" s="139"/>
      <c r="L91" s="140">
        <f>Mitigation_Industry!L$276*Mitigation_Industry!$K$273*MAX(Mitigation_Industry!$K$264,0)*Mitigation_Industry!$H$363/1000</f>
        <v>0</v>
      </c>
      <c r="M91" s="140">
        <f>Mitigation_Industry!M$276*Mitigation_Industry!$K$273*MAX(Mitigation_Industry!$K$264,0)*Mitigation_Industry!$H$363/1000</f>
        <v>0</v>
      </c>
      <c r="N91" s="140">
        <f>Mitigation_Industry!N$276*Mitigation_Industry!$K$273*MAX(Mitigation_Industry!$K$264,0)*Mitigation_Industry!$H$363/1000</f>
        <v>0</v>
      </c>
      <c r="O91" s="140">
        <f>Mitigation_Industry!O$276*Mitigation_Industry!$K$273*MAX(Mitigation_Industry!$K$264,0)*Mitigation_Industry!$H$363/1000</f>
        <v>0</v>
      </c>
      <c r="P91" s="140">
        <f>Mitigation_Industry!P$276*Mitigation_Industry!$K$273*MAX(Mitigation_Industry!$K$264,0)*Mitigation_Industry!$H$363/1000</f>
        <v>0</v>
      </c>
      <c r="Q91" s="140">
        <f>Mitigation_Industry!Q$276*Mitigation_Industry!$K$273*MAX(Mitigation_Industry!$K$264,0)*Mitigation_Industry!$H$363/1000</f>
        <v>0</v>
      </c>
      <c r="R91" s="140">
        <f>Mitigation_Industry!R$276*Mitigation_Industry!$K$273*MAX(Mitigation_Industry!$K$264,0)*Mitigation_Industry!$H$363/1000</f>
        <v>0</v>
      </c>
      <c r="S91" s="140">
        <f>Mitigation_Industry!S$276*Mitigation_Industry!$K$273*MAX(Mitigation_Industry!$K$264,0)*Mitigation_Industry!$H$363/1000</f>
        <v>0</v>
      </c>
      <c r="T91" s="140">
        <f>Mitigation_Industry!T$276*Mitigation_Industry!$K$273*MAX(Mitigation_Industry!$K$264,0)*Mitigation_Industry!$H$363/1000</f>
        <v>0</v>
      </c>
      <c r="U91" s="140">
        <f>Mitigation_Industry!U$276*Mitigation_Industry!$K$273*MAX(Mitigation_Industry!$K$264,0)*Mitigation_Industry!$H$363/1000</f>
        <v>0</v>
      </c>
      <c r="V91" s="140">
        <f>Mitigation_Industry!V$276*Mitigation_Industry!$K$273*MAX(Mitigation_Industry!$K$264,0)*Mitigation_Industry!$H$363/1000</f>
        <v>0</v>
      </c>
      <c r="W91" s="140">
        <f>Mitigation_Industry!W$276*Mitigation_Industry!$K$273*MAX(Mitigation_Industry!$K$264,0)*Mitigation_Industry!$H$363/1000</f>
        <v>0</v>
      </c>
      <c r="X91" s="140">
        <f>Mitigation_Industry!X$276*Mitigation_Industry!$K$273*MAX(Mitigation_Industry!$K$264,0)*Mitigation_Industry!$H$363/1000</f>
        <v>0</v>
      </c>
      <c r="Y91" s="140">
        <f>Mitigation_Industry!Y$276*Mitigation_Industry!$K$273*MAX(Mitigation_Industry!$K$264,0)*Mitigation_Industry!$H$363/1000</f>
        <v>0</v>
      </c>
      <c r="Z91" s="140">
        <f>Mitigation_Industry!Z$276*Mitigation_Industry!$K$273*MAX(Mitigation_Industry!$K$264,0)*Mitigation_Industry!$H$363/1000</f>
        <v>0</v>
      </c>
      <c r="AA91" s="140">
        <f>Mitigation_Industry!AA$276*Mitigation_Industry!$K$273*MAX(Mitigation_Industry!$K$264,0)*Mitigation_Industry!$H$363/1000</f>
        <v>0</v>
      </c>
      <c r="AB91" s="140">
        <f>Mitigation_Industry!AB$276*Mitigation_Industry!$K$273*MAX(Mitigation_Industry!$K$264,0)*Mitigation_Industry!$H$363/1000</f>
        <v>0</v>
      </c>
      <c r="AC91" s="140">
        <f>Mitigation_Industry!AC$276*Mitigation_Industry!$K$273*MAX(Mitigation_Industry!$K$264,0)*Mitigation_Industry!$H$363/1000</f>
        <v>0</v>
      </c>
      <c r="AD91" s="140">
        <f>Mitigation_Industry!AD$276*Mitigation_Industry!$K$273*MAX(Mitigation_Industry!$K$264,0)*Mitigation_Industry!$H$363/1000</f>
        <v>0</v>
      </c>
      <c r="AE91" s="140">
        <f>Mitigation_Industry!AE$276*Mitigation_Industry!$K$273*MAX(Mitigation_Industry!$K$264,0)*Mitigation_Industry!$H$363/1000</f>
        <v>0</v>
      </c>
      <c r="AF91" s="141"/>
      <c r="AG91" s="141"/>
      <c r="AH91" s="141"/>
      <c r="AI91" s="141"/>
    </row>
    <row r="92" spans="1:35" customFormat="1" ht="14.25" x14ac:dyDescent="0.45">
      <c r="B92" s="14" t="s">
        <v>2584</v>
      </c>
      <c r="C92" s="14" t="s">
        <v>43</v>
      </c>
      <c r="D92" s="15" t="s">
        <v>2648</v>
      </c>
      <c r="E92" s="16" t="s">
        <v>2068</v>
      </c>
      <c r="F92" s="14" t="s">
        <v>2637</v>
      </c>
      <c r="G92" s="17"/>
      <c r="H92" s="128" t="str">
        <f>Settings!$B$3&amp;".mit.wm.stl.scr.no.1"</f>
        <v>egy.mit.wm.stl.scr.no.1</v>
      </c>
      <c r="K92" s="139"/>
      <c r="L92" s="140">
        <f>Mitigation_Industry!L$277*Mitigation_Industry!$K$273*MAX(Mitigation_Industry!$K$265,0)*Mitigation_Industry!$H$364/1000</f>
        <v>0</v>
      </c>
      <c r="M92" s="140">
        <f>Mitigation_Industry!M$277*Mitigation_Industry!$K$273*MAX(Mitigation_Industry!$K$265,0)*Mitigation_Industry!$H$364/1000</f>
        <v>0</v>
      </c>
      <c r="N92" s="140">
        <f>Mitigation_Industry!N$277*Mitigation_Industry!$K$273*MAX(Mitigation_Industry!$K$265,0)*Mitigation_Industry!$H$364/1000</f>
        <v>0</v>
      </c>
      <c r="O92" s="140">
        <f>Mitigation_Industry!O$277*Mitigation_Industry!$K$273*MAX(Mitigation_Industry!$K$265,0)*Mitigation_Industry!$H$364/1000</f>
        <v>0</v>
      </c>
      <c r="P92" s="140">
        <f>Mitigation_Industry!P$277*Mitigation_Industry!$K$273*MAX(Mitigation_Industry!$K$265,0)*Mitigation_Industry!$H$364/1000</f>
        <v>0</v>
      </c>
      <c r="Q92" s="140">
        <f>Mitigation_Industry!Q$277*Mitigation_Industry!$K$273*MAX(Mitigation_Industry!$K$265,0)*Mitigation_Industry!$H$364/1000</f>
        <v>0</v>
      </c>
      <c r="R92" s="140">
        <f>Mitigation_Industry!R$277*Mitigation_Industry!$K$273*MAX(Mitigation_Industry!$K$265,0)*Mitigation_Industry!$H$364/1000</f>
        <v>0</v>
      </c>
      <c r="S92" s="140">
        <f>Mitigation_Industry!S$277*Mitigation_Industry!$K$273*MAX(Mitigation_Industry!$K$265,0)*Mitigation_Industry!$H$364/1000</f>
        <v>0</v>
      </c>
      <c r="T92" s="140">
        <f>Mitigation_Industry!T$277*Mitigation_Industry!$K$273*MAX(Mitigation_Industry!$K$265,0)*Mitigation_Industry!$H$364/1000</f>
        <v>0</v>
      </c>
      <c r="U92" s="140">
        <f>Mitigation_Industry!U$277*Mitigation_Industry!$K$273*MAX(Mitigation_Industry!$K$265,0)*Mitigation_Industry!$H$364/1000</f>
        <v>0</v>
      </c>
      <c r="V92" s="140">
        <f>Mitigation_Industry!V$277*Mitigation_Industry!$K$273*MAX(Mitigation_Industry!$K$265,0)*Mitigation_Industry!$H$364/1000</f>
        <v>0</v>
      </c>
      <c r="W92" s="140">
        <f>Mitigation_Industry!W$277*Mitigation_Industry!$K$273*MAX(Mitigation_Industry!$K$265,0)*Mitigation_Industry!$H$364/1000</f>
        <v>0</v>
      </c>
      <c r="X92" s="140">
        <f>Mitigation_Industry!X$277*Mitigation_Industry!$K$273*MAX(Mitigation_Industry!$K$265,0)*Mitigation_Industry!$H$364/1000</f>
        <v>0</v>
      </c>
      <c r="Y92" s="140">
        <f>Mitigation_Industry!Y$277*Mitigation_Industry!$K$273*MAX(Mitigation_Industry!$K$265,0)*Mitigation_Industry!$H$364/1000</f>
        <v>0</v>
      </c>
      <c r="Z92" s="140">
        <f>Mitigation_Industry!Z$277*Mitigation_Industry!$K$273*MAX(Mitigation_Industry!$K$265,0)*Mitigation_Industry!$H$364/1000</f>
        <v>0</v>
      </c>
      <c r="AA92" s="140">
        <f>Mitigation_Industry!AA$277*Mitigation_Industry!$K$273*MAX(Mitigation_Industry!$K$265,0)*Mitigation_Industry!$H$364/1000</f>
        <v>0</v>
      </c>
      <c r="AB92" s="140">
        <f>Mitigation_Industry!AB$277*Mitigation_Industry!$K$273*MAX(Mitigation_Industry!$K$265,0)*Mitigation_Industry!$H$364/1000</f>
        <v>0</v>
      </c>
      <c r="AC92" s="140">
        <f>Mitigation_Industry!AC$277*Mitigation_Industry!$K$273*MAX(Mitigation_Industry!$K$265,0)*Mitigation_Industry!$H$364/1000</f>
        <v>0</v>
      </c>
      <c r="AD92" s="140">
        <f>Mitigation_Industry!AD$277*Mitigation_Industry!$K$273*MAX(Mitigation_Industry!$K$265,0)*Mitigation_Industry!$H$364/1000</f>
        <v>0</v>
      </c>
      <c r="AE92" s="140">
        <f>Mitigation_Industry!AE$277*Mitigation_Industry!$K$273*MAX(Mitigation_Industry!$K$265,0)*Mitigation_Industry!$H$364/1000</f>
        <v>0</v>
      </c>
      <c r="AF92" s="141"/>
      <c r="AG92" s="141"/>
      <c r="AH92" s="141"/>
      <c r="AI92" s="141"/>
    </row>
    <row r="93" spans="1:35" customFormat="1" ht="14.25" x14ac:dyDescent="0.45">
      <c r="B93" s="14" t="s">
        <v>2586</v>
      </c>
      <c r="C93" s="14" t="s">
        <v>43</v>
      </c>
      <c r="D93" s="15" t="s">
        <v>2649</v>
      </c>
      <c r="E93" s="16" t="s">
        <v>2068</v>
      </c>
      <c r="F93" s="14" t="s">
        <v>2637</v>
      </c>
      <c r="G93" s="17"/>
      <c r="H93" s="128" t="str">
        <f>Settings!$B$3&amp;".mit.wm.stl.bof.no.1"</f>
        <v>egy.mit.wm.stl.bof.no.1</v>
      </c>
      <c r="K93" s="139"/>
      <c r="L93" s="140">
        <f>Mitigation_Industry!L$278*Mitigation_Industry!$K$273*MAX(Mitigation_Industry!$K$266,0)*Mitigation_Industry!$H$365/1000</f>
        <v>0</v>
      </c>
      <c r="M93" s="140">
        <f>Mitigation_Industry!M$278*Mitigation_Industry!$K$273*MAX(Mitigation_Industry!$K$266,0)*Mitigation_Industry!$H$365/1000</f>
        <v>0</v>
      </c>
      <c r="N93" s="140">
        <f>Mitigation_Industry!N$278*Mitigation_Industry!$K$273*MAX(Mitigation_Industry!$K$266,0)*Mitigation_Industry!$H$365/1000</f>
        <v>0</v>
      </c>
      <c r="O93" s="140">
        <f>Mitigation_Industry!O$278*Mitigation_Industry!$K$273*MAX(Mitigation_Industry!$K$266,0)*Mitigation_Industry!$H$365/1000</f>
        <v>0</v>
      </c>
      <c r="P93" s="140">
        <f>Mitigation_Industry!P$278*Mitigation_Industry!$K$273*MAX(Mitigation_Industry!$K$266,0)*Mitigation_Industry!$H$365/1000</f>
        <v>0</v>
      </c>
      <c r="Q93" s="140">
        <f>Mitigation_Industry!Q$278*Mitigation_Industry!$K$273*MAX(Mitigation_Industry!$K$266,0)*Mitigation_Industry!$H$365/1000</f>
        <v>0</v>
      </c>
      <c r="R93" s="140">
        <f>Mitigation_Industry!R$278*Mitigation_Industry!$K$273*MAX(Mitigation_Industry!$K$266,0)*Mitigation_Industry!$H$365/1000</f>
        <v>0</v>
      </c>
      <c r="S93" s="140">
        <f>Mitigation_Industry!S$278*Mitigation_Industry!$K$273*MAX(Mitigation_Industry!$K$266,0)*Mitigation_Industry!$H$365/1000</f>
        <v>0</v>
      </c>
      <c r="T93" s="140">
        <f>Mitigation_Industry!T$278*Mitigation_Industry!$K$273*MAX(Mitigation_Industry!$K$266,0)*Mitigation_Industry!$H$365/1000</f>
        <v>0</v>
      </c>
      <c r="U93" s="140">
        <f>Mitigation_Industry!U$278*Mitigation_Industry!$K$273*MAX(Mitigation_Industry!$K$266,0)*Mitigation_Industry!$H$365/1000</f>
        <v>0</v>
      </c>
      <c r="V93" s="140">
        <f>Mitigation_Industry!V$278*Mitigation_Industry!$K$273*MAX(Mitigation_Industry!$K$266,0)*Mitigation_Industry!$H$365/1000</f>
        <v>0</v>
      </c>
      <c r="W93" s="140">
        <f>Mitigation_Industry!W$278*Mitigation_Industry!$K$273*MAX(Mitigation_Industry!$K$266,0)*Mitigation_Industry!$H$365/1000</f>
        <v>0</v>
      </c>
      <c r="X93" s="140">
        <f>Mitigation_Industry!X$278*Mitigation_Industry!$K$273*MAX(Mitigation_Industry!$K$266,0)*Mitigation_Industry!$H$365/1000</f>
        <v>0</v>
      </c>
      <c r="Y93" s="140">
        <f>Mitigation_Industry!Y$278*Mitigation_Industry!$K$273*MAX(Mitigation_Industry!$K$266,0)*Mitigation_Industry!$H$365/1000</f>
        <v>0</v>
      </c>
      <c r="Z93" s="140">
        <f>Mitigation_Industry!Z$278*Mitigation_Industry!$K$273*MAX(Mitigation_Industry!$K$266,0)*Mitigation_Industry!$H$365/1000</f>
        <v>0</v>
      </c>
      <c r="AA93" s="140">
        <f>Mitigation_Industry!AA$278*Mitigation_Industry!$K$273*MAX(Mitigation_Industry!$K$266,0)*Mitigation_Industry!$H$365/1000</f>
        <v>0</v>
      </c>
      <c r="AB93" s="140">
        <f>Mitigation_Industry!AB$278*Mitigation_Industry!$K$273*MAX(Mitigation_Industry!$K$266,0)*Mitigation_Industry!$H$365/1000</f>
        <v>0</v>
      </c>
      <c r="AC93" s="140">
        <f>Mitigation_Industry!AC$278*Mitigation_Industry!$K$273*MAX(Mitigation_Industry!$K$266,0)*Mitigation_Industry!$H$365/1000</f>
        <v>0</v>
      </c>
      <c r="AD93" s="140">
        <f>Mitigation_Industry!AD$278*Mitigation_Industry!$K$273*MAX(Mitigation_Industry!$K$266,0)*Mitigation_Industry!$H$365/1000</f>
        <v>0</v>
      </c>
      <c r="AE93" s="140">
        <f>Mitigation_Industry!AE$278*Mitigation_Industry!$K$273*MAX(Mitigation_Industry!$K$266,0)*Mitigation_Industry!$H$365/1000</f>
        <v>0</v>
      </c>
      <c r="AF93" s="141"/>
      <c r="AG93" s="141"/>
      <c r="AH93" s="141"/>
      <c r="AI93" s="141"/>
    </row>
    <row r="94" spans="1:35" customFormat="1" ht="14.25" x14ac:dyDescent="0.45">
      <c r="B94" s="14" t="s">
        <v>2588</v>
      </c>
      <c r="C94" s="14" t="s">
        <v>113</v>
      </c>
      <c r="D94" s="15" t="s">
        <v>2650</v>
      </c>
      <c r="E94" s="16" t="s">
        <v>2068</v>
      </c>
      <c r="F94" s="14" t="s">
        <v>2637</v>
      </c>
      <c r="G94" s="17"/>
      <c r="H94" s="128" t="str">
        <f>Settings!$B$3&amp;".mit.wm.cmt.dry.no.1"</f>
        <v>egy.mit.wm.cmt.dry.no.1</v>
      </c>
      <c r="K94" s="139"/>
      <c r="L94" s="140">
        <f>Mitigation_Industry!L$279*Mitigation_Industry!$K$273*MAX(Mitigation_Industry!$K$267,0)*Mitigation_Industry!$H$366/1000</f>
        <v>0</v>
      </c>
      <c r="M94" s="140">
        <f>Mitigation_Industry!M$279*Mitigation_Industry!$K$273*MAX(Mitigation_Industry!$K$267,0)*Mitigation_Industry!$H$366/1000</f>
        <v>0</v>
      </c>
      <c r="N94" s="140">
        <f>Mitigation_Industry!N$279*Mitigation_Industry!$K$273*MAX(Mitigation_Industry!$K$267,0)*Mitigation_Industry!$H$366/1000</f>
        <v>0</v>
      </c>
      <c r="O94" s="140">
        <f>Mitigation_Industry!O$279*Mitigation_Industry!$K$273*MAX(Mitigation_Industry!$K$267,0)*Mitigation_Industry!$H$366/1000</f>
        <v>0</v>
      </c>
      <c r="P94" s="140">
        <f>Mitigation_Industry!P$279*Mitigation_Industry!$K$273*MAX(Mitigation_Industry!$K$267,0)*Mitigation_Industry!$H$366/1000</f>
        <v>0</v>
      </c>
      <c r="Q94" s="140">
        <f>Mitigation_Industry!Q$279*Mitigation_Industry!$K$273*MAX(Mitigation_Industry!$K$267,0)*Mitigation_Industry!$H$366/1000</f>
        <v>0</v>
      </c>
      <c r="R94" s="140">
        <f>Mitigation_Industry!R$279*Mitigation_Industry!$K$273*MAX(Mitigation_Industry!$K$267,0)*Mitigation_Industry!$H$366/1000</f>
        <v>0</v>
      </c>
      <c r="S94" s="140">
        <f>Mitigation_Industry!S$279*Mitigation_Industry!$K$273*MAX(Mitigation_Industry!$K$267,0)*Mitigation_Industry!$H$366/1000</f>
        <v>0</v>
      </c>
      <c r="T94" s="140">
        <f>Mitigation_Industry!T$279*Mitigation_Industry!$K$273*MAX(Mitigation_Industry!$K$267,0)*Mitigation_Industry!$H$366/1000</f>
        <v>0</v>
      </c>
      <c r="U94" s="140">
        <f>Mitigation_Industry!U$279*Mitigation_Industry!$K$273*MAX(Mitigation_Industry!$K$267,0)*Mitigation_Industry!$H$366/1000</f>
        <v>0</v>
      </c>
      <c r="V94" s="140">
        <f>Mitigation_Industry!V$279*Mitigation_Industry!$K$273*MAX(Mitigation_Industry!$K$267,0)*Mitigation_Industry!$H$366/1000</f>
        <v>0</v>
      </c>
      <c r="W94" s="140">
        <f>Mitigation_Industry!W$279*Mitigation_Industry!$K$273*MAX(Mitigation_Industry!$K$267,0)*Mitigation_Industry!$H$366/1000</f>
        <v>0</v>
      </c>
      <c r="X94" s="140">
        <f>Mitigation_Industry!X$279*Mitigation_Industry!$K$273*MAX(Mitigation_Industry!$K$267,0)*Mitigation_Industry!$H$366/1000</f>
        <v>0</v>
      </c>
      <c r="Y94" s="140">
        <f>Mitigation_Industry!Y$279*Mitigation_Industry!$K$273*MAX(Mitigation_Industry!$K$267,0)*Mitigation_Industry!$H$366/1000</f>
        <v>0</v>
      </c>
      <c r="Z94" s="140">
        <f>Mitigation_Industry!Z$279*Mitigation_Industry!$K$273*MAX(Mitigation_Industry!$K$267,0)*Mitigation_Industry!$H$366/1000</f>
        <v>0</v>
      </c>
      <c r="AA94" s="140">
        <f>Mitigation_Industry!AA$279*Mitigation_Industry!$K$273*MAX(Mitigation_Industry!$K$267,0)*Mitigation_Industry!$H$366/1000</f>
        <v>0</v>
      </c>
      <c r="AB94" s="140">
        <f>Mitigation_Industry!AB$279*Mitigation_Industry!$K$273*MAX(Mitigation_Industry!$K$267,0)*Mitigation_Industry!$H$366/1000</f>
        <v>0</v>
      </c>
      <c r="AC94" s="140">
        <f>Mitigation_Industry!AC$279*Mitigation_Industry!$K$273*MAX(Mitigation_Industry!$K$267,0)*Mitigation_Industry!$H$366/1000</f>
        <v>0</v>
      </c>
      <c r="AD94" s="140">
        <f>Mitigation_Industry!AD$279*Mitigation_Industry!$K$273*MAX(Mitigation_Industry!$K$267,0)*Mitigation_Industry!$H$366/1000</f>
        <v>0</v>
      </c>
      <c r="AE94" s="140">
        <f>Mitigation_Industry!AE$279*Mitigation_Industry!$K$273*MAX(Mitigation_Industry!$K$267,0)*Mitigation_Industry!$H$366/1000</f>
        <v>0</v>
      </c>
      <c r="AF94" s="141"/>
      <c r="AG94" s="141"/>
      <c r="AH94" s="141"/>
      <c r="AI94" s="141"/>
    </row>
    <row r="95" spans="1:35" customFormat="1" ht="14.25" x14ac:dyDescent="0.45">
      <c r="B95" s="14" t="s">
        <v>2590</v>
      </c>
      <c r="C95" s="14" t="s">
        <v>117</v>
      </c>
      <c r="D95" s="15" t="s">
        <v>2651</v>
      </c>
      <c r="E95" s="16" t="s">
        <v>2068</v>
      </c>
      <c r="F95" s="14" t="s">
        <v>2637</v>
      </c>
      <c r="G95" s="17"/>
      <c r="H95" s="128" t="str">
        <f>Settings!$B$3&amp;".mit.wm.frt.amc.no.1"</f>
        <v>egy.mit.wm.frt.amc.no.1</v>
      </c>
      <c r="K95" s="139"/>
      <c r="L95" s="140">
        <f>Mitigation_Industry!L$280*Mitigation_Industry!$K$273*MAX(Mitigation_Industry!$K$268,0)*Mitigation_Industry!$H$367/1000</f>
        <v>0</v>
      </c>
      <c r="M95" s="140">
        <f>Mitigation_Industry!M$280*Mitigation_Industry!$K$273*MAX(Mitigation_Industry!$K$268,0)*Mitigation_Industry!$H$367/1000</f>
        <v>0</v>
      </c>
      <c r="N95" s="140">
        <f>Mitigation_Industry!N$280*Mitigation_Industry!$K$273*MAX(Mitigation_Industry!$K$268,0)*Mitigation_Industry!$H$367/1000</f>
        <v>0</v>
      </c>
      <c r="O95" s="140">
        <f>Mitigation_Industry!O$280*Mitigation_Industry!$K$273*MAX(Mitigation_Industry!$K$268,0)*Mitigation_Industry!$H$367/1000</f>
        <v>0</v>
      </c>
      <c r="P95" s="140">
        <f>Mitigation_Industry!P$280*Mitigation_Industry!$K$273*MAX(Mitigation_Industry!$K$268,0)*Mitigation_Industry!$H$367/1000</f>
        <v>0</v>
      </c>
      <c r="Q95" s="140">
        <f>Mitigation_Industry!Q$280*Mitigation_Industry!$K$273*MAX(Mitigation_Industry!$K$268,0)*Mitigation_Industry!$H$367/1000</f>
        <v>0</v>
      </c>
      <c r="R95" s="140">
        <f>Mitigation_Industry!R$280*Mitigation_Industry!$K$273*MAX(Mitigation_Industry!$K$268,0)*Mitigation_Industry!$H$367/1000</f>
        <v>0</v>
      </c>
      <c r="S95" s="140">
        <f>Mitigation_Industry!S$280*Mitigation_Industry!$K$273*MAX(Mitigation_Industry!$K$268,0)*Mitigation_Industry!$H$367/1000</f>
        <v>0</v>
      </c>
      <c r="T95" s="140">
        <f>Mitigation_Industry!T$280*Mitigation_Industry!$K$273*MAX(Mitigation_Industry!$K$268,0)*Mitigation_Industry!$H$367/1000</f>
        <v>0</v>
      </c>
      <c r="U95" s="140">
        <f>Mitigation_Industry!U$280*Mitigation_Industry!$K$273*MAX(Mitigation_Industry!$K$268,0)*Mitigation_Industry!$H$367/1000</f>
        <v>0</v>
      </c>
      <c r="V95" s="140">
        <f>Mitigation_Industry!V$280*Mitigation_Industry!$K$273*MAX(Mitigation_Industry!$K$268,0)*Mitigation_Industry!$H$367/1000</f>
        <v>0</v>
      </c>
      <c r="W95" s="140">
        <f>Mitigation_Industry!W$280*Mitigation_Industry!$K$273*MAX(Mitigation_Industry!$K$268,0)*Mitigation_Industry!$H$367/1000</f>
        <v>0</v>
      </c>
      <c r="X95" s="140">
        <f>Mitigation_Industry!X$280*Mitigation_Industry!$K$273*MAX(Mitigation_Industry!$K$268,0)*Mitigation_Industry!$H$367/1000</f>
        <v>0</v>
      </c>
      <c r="Y95" s="140">
        <f>Mitigation_Industry!Y$280*Mitigation_Industry!$K$273*MAX(Mitigation_Industry!$K$268,0)*Mitigation_Industry!$H$367/1000</f>
        <v>0</v>
      </c>
      <c r="Z95" s="140">
        <f>Mitigation_Industry!Z$280*Mitigation_Industry!$K$273*MAX(Mitigation_Industry!$K$268,0)*Mitigation_Industry!$H$367/1000</f>
        <v>0</v>
      </c>
      <c r="AA95" s="140">
        <f>Mitigation_Industry!AA$280*Mitigation_Industry!$K$273*MAX(Mitigation_Industry!$K$268,0)*Mitigation_Industry!$H$367/1000</f>
        <v>0</v>
      </c>
      <c r="AB95" s="140">
        <f>Mitigation_Industry!AB$280*Mitigation_Industry!$K$273*MAX(Mitigation_Industry!$K$268,0)*Mitigation_Industry!$H$367/1000</f>
        <v>0</v>
      </c>
      <c r="AC95" s="140">
        <f>Mitigation_Industry!AC$280*Mitigation_Industry!$K$273*MAX(Mitigation_Industry!$K$268,0)*Mitigation_Industry!$H$367/1000</f>
        <v>0</v>
      </c>
      <c r="AD95" s="140">
        <f>Mitigation_Industry!AD$280*Mitigation_Industry!$K$273*MAX(Mitigation_Industry!$K$268,0)*Mitigation_Industry!$H$367/1000</f>
        <v>0</v>
      </c>
      <c r="AE95" s="140">
        <f>Mitigation_Industry!AE$280*Mitigation_Industry!$K$273*MAX(Mitigation_Industry!$K$268,0)*Mitigation_Industry!$H$367/1000</f>
        <v>0</v>
      </c>
      <c r="AF95" s="141"/>
      <c r="AG95" s="141"/>
      <c r="AH95" s="141"/>
      <c r="AI95" s="141"/>
    </row>
    <row r="96" spans="1:35" customFormat="1" ht="14.25" x14ac:dyDescent="0.45">
      <c r="B96" s="14" t="s">
        <v>2592</v>
      </c>
      <c r="C96" s="14" t="s">
        <v>117</v>
      </c>
      <c r="D96" s="15" t="s">
        <v>2652</v>
      </c>
      <c r="E96" s="16" t="s">
        <v>2068</v>
      </c>
      <c r="F96" s="14" t="s">
        <v>2637</v>
      </c>
      <c r="G96" s="17"/>
      <c r="H96" s="128" t="str">
        <f>Settings!$B$3&amp;".mit.wm.frt.ure.no.1"</f>
        <v>egy.mit.wm.frt.ure.no.1</v>
      </c>
      <c r="K96" s="139"/>
      <c r="L96" s="140">
        <f>Mitigation_Industry!L$281*Mitigation_Industry!$K$273*MAX(Mitigation_Industry!$K$269,0)*Mitigation_Industry!$H$368/1000</f>
        <v>0</v>
      </c>
      <c r="M96" s="140">
        <f>Mitigation_Industry!M$281*Mitigation_Industry!$K$273*MAX(Mitigation_Industry!$K$269,0)*Mitigation_Industry!$H$368/1000</f>
        <v>0</v>
      </c>
      <c r="N96" s="140">
        <f>Mitigation_Industry!N$281*Mitigation_Industry!$K$273*MAX(Mitigation_Industry!$K$269,0)*Mitigation_Industry!$H$368/1000</f>
        <v>0</v>
      </c>
      <c r="O96" s="140">
        <f>Mitigation_Industry!O$281*Mitigation_Industry!$K$273*MAX(Mitigation_Industry!$K$269,0)*Mitigation_Industry!$H$368/1000</f>
        <v>0</v>
      </c>
      <c r="P96" s="140">
        <f>Mitigation_Industry!P$281*Mitigation_Industry!$K$273*MAX(Mitigation_Industry!$K$269,0)*Mitigation_Industry!$H$368/1000</f>
        <v>0</v>
      </c>
      <c r="Q96" s="140">
        <f>Mitigation_Industry!Q$281*Mitigation_Industry!$K$273*MAX(Mitigation_Industry!$K$269,0)*Mitigation_Industry!$H$368/1000</f>
        <v>0</v>
      </c>
      <c r="R96" s="140">
        <f>Mitigation_Industry!R$281*Mitigation_Industry!$K$273*MAX(Mitigation_Industry!$K$269,0)*Mitigation_Industry!$H$368/1000</f>
        <v>0</v>
      </c>
      <c r="S96" s="140">
        <f>Mitigation_Industry!S$281*Mitigation_Industry!$K$273*MAX(Mitigation_Industry!$K$269,0)*Mitigation_Industry!$H$368/1000</f>
        <v>0</v>
      </c>
      <c r="T96" s="140">
        <f>Mitigation_Industry!T$281*Mitigation_Industry!$K$273*MAX(Mitigation_Industry!$K$269,0)*Mitigation_Industry!$H$368/1000</f>
        <v>0</v>
      </c>
      <c r="U96" s="140">
        <f>Mitigation_Industry!U$281*Mitigation_Industry!$K$273*MAX(Mitigation_Industry!$K$269,0)*Mitigation_Industry!$H$368/1000</f>
        <v>0</v>
      </c>
      <c r="V96" s="140">
        <f>Mitigation_Industry!V$281*Mitigation_Industry!$K$273*MAX(Mitigation_Industry!$K$269,0)*Mitigation_Industry!$H$368/1000</f>
        <v>0</v>
      </c>
      <c r="W96" s="140">
        <f>Mitigation_Industry!W$281*Mitigation_Industry!$K$273*MAX(Mitigation_Industry!$K$269,0)*Mitigation_Industry!$H$368/1000</f>
        <v>0</v>
      </c>
      <c r="X96" s="140">
        <f>Mitigation_Industry!X$281*Mitigation_Industry!$K$273*MAX(Mitigation_Industry!$K$269,0)*Mitigation_Industry!$H$368/1000</f>
        <v>0</v>
      </c>
      <c r="Y96" s="140">
        <f>Mitigation_Industry!Y$281*Mitigation_Industry!$K$273*MAX(Mitigation_Industry!$K$269,0)*Mitigation_Industry!$H$368/1000</f>
        <v>0</v>
      </c>
      <c r="Z96" s="140">
        <f>Mitigation_Industry!Z$281*Mitigation_Industry!$K$273*MAX(Mitigation_Industry!$K$269,0)*Mitigation_Industry!$H$368/1000</f>
        <v>0</v>
      </c>
      <c r="AA96" s="140">
        <f>Mitigation_Industry!AA$281*Mitigation_Industry!$K$273*MAX(Mitigation_Industry!$K$269,0)*Mitigation_Industry!$H$368/1000</f>
        <v>0</v>
      </c>
      <c r="AB96" s="140">
        <f>Mitigation_Industry!AB$281*Mitigation_Industry!$K$273*MAX(Mitigation_Industry!$K$269,0)*Mitigation_Industry!$H$368/1000</f>
        <v>0</v>
      </c>
      <c r="AC96" s="140">
        <f>Mitigation_Industry!AC$281*Mitigation_Industry!$K$273*MAX(Mitigation_Industry!$K$269,0)*Mitigation_Industry!$H$368/1000</f>
        <v>0</v>
      </c>
      <c r="AD96" s="140">
        <f>Mitigation_Industry!AD$281*Mitigation_Industry!$K$273*MAX(Mitigation_Industry!$K$269,0)*Mitigation_Industry!$H$368/1000</f>
        <v>0</v>
      </c>
      <c r="AE96" s="140">
        <f>Mitigation_Industry!AE$281*Mitigation_Industry!$K$273*MAX(Mitigation_Industry!$K$269,0)*Mitigation_Industry!$H$368/1000</f>
        <v>0</v>
      </c>
      <c r="AF96" s="141"/>
      <c r="AG96" s="141"/>
      <c r="AH96" s="141"/>
      <c r="AI96" s="141"/>
    </row>
    <row r="97" spans="1:35" customFormat="1" ht="14.25" x14ac:dyDescent="0.45">
      <c r="B97" s="14" t="s">
        <v>2594</v>
      </c>
      <c r="C97" s="14" t="s">
        <v>117</v>
      </c>
      <c r="D97" s="15" t="s">
        <v>2653</v>
      </c>
      <c r="E97" s="16" t="s">
        <v>2068</v>
      </c>
      <c r="F97" s="14" t="s">
        <v>2637</v>
      </c>
      <c r="G97" s="17"/>
      <c r="H97" s="128" t="str">
        <f>Settings!$B$3&amp;".mit.wm.frt.nit.no.1"</f>
        <v>egy.mit.wm.frt.nit.no.1</v>
      </c>
      <c r="K97" s="139"/>
      <c r="L97" s="140">
        <f>Mitigation_Industry!L$282*Mitigation_Industry!$K$273*MAX(Mitigation_Industry!$K$270,0)*Mitigation_Industry!$H$369/1000</f>
        <v>0.57123661061347031</v>
      </c>
      <c r="M97" s="140">
        <f>Mitigation_Industry!M$282*Mitigation_Industry!$K$273*MAX(Mitigation_Industry!$K$270,0)*Mitigation_Industry!$H$369/1000</f>
        <v>0.58380381604696674</v>
      </c>
      <c r="N97" s="140">
        <f>Mitigation_Industry!N$282*Mitigation_Industry!$K$273*MAX(Mitigation_Industry!$K$270,0)*Mitigation_Industry!$H$369/1000</f>
        <v>0.5966475</v>
      </c>
      <c r="O97" s="140">
        <f>Mitigation_Industry!O$282*Mitigation_Industry!$K$273*MAX(Mitigation_Industry!$K$270,0)*Mitigation_Industry!$H$369/1000</f>
        <v>0.60977374500000003</v>
      </c>
      <c r="P97" s="140">
        <f>Mitigation_Industry!P$282*Mitigation_Industry!$K$273*MAX(Mitigation_Industry!$K$270,0)*Mitigation_Industry!$H$369/1000</f>
        <v>0.62318876738999995</v>
      </c>
      <c r="Q97" s="140">
        <f>Mitigation_Industry!Q$282*Mitigation_Industry!$K$273*MAX(Mitigation_Industry!$K$270,0)*Mitigation_Industry!$H$369/1000</f>
        <v>0.6368989202725801</v>
      </c>
      <c r="R97" s="140">
        <f>Mitigation_Industry!R$282*Mitigation_Industry!$K$273*MAX(Mitigation_Industry!$K$270,0)*Mitigation_Industry!$H$369/1000</f>
        <v>0.65091069651857669</v>
      </c>
      <c r="S97" s="140">
        <f>Mitigation_Industry!S$282*Mitigation_Industry!$K$273*MAX(Mitigation_Industry!$K$270,0)*Mitigation_Industry!$H$369/1000</f>
        <v>0.66523073184198556</v>
      </c>
      <c r="T97" s="140">
        <f>Mitigation_Industry!T$282*Mitigation_Industry!$K$273*MAX(Mitigation_Industry!$K$270,0)*Mitigation_Industry!$H$369/1000</f>
        <v>0.67986580794250906</v>
      </c>
      <c r="U97" s="140">
        <f>Mitigation_Industry!U$282*Mitigation_Industry!$K$273*MAX(Mitigation_Industry!$K$270,0)*Mitigation_Industry!$H$369/1000</f>
        <v>0.69482285571724434</v>
      </c>
      <c r="V97" s="140">
        <f>Mitigation_Industry!V$282*Mitigation_Industry!$K$273*MAX(Mitigation_Industry!$K$270,0)*Mitigation_Industry!$H$369/1000</f>
        <v>0.7101089585430238</v>
      </c>
      <c r="W97" s="140">
        <f>Mitigation_Industry!W$282*Mitigation_Industry!$K$273*MAX(Mitigation_Industry!$K$270,0)*Mitigation_Industry!$H$369/1000</f>
        <v>0.72573135563097024</v>
      </c>
      <c r="X97" s="140">
        <f>Mitigation_Industry!X$282*Mitigation_Industry!$K$273*MAX(Mitigation_Industry!$K$270,0)*Mitigation_Industry!$H$369/1000</f>
        <v>0.74169744545485172</v>
      </c>
      <c r="Y97" s="140">
        <f>Mitigation_Industry!Y$282*Mitigation_Industry!$K$273*MAX(Mitigation_Industry!$K$270,0)*Mitigation_Industry!$H$369/1000</f>
        <v>0.75801478925485843</v>
      </c>
      <c r="Z97" s="140">
        <f>Mitigation_Industry!Z$282*Mitigation_Industry!$K$273*MAX(Mitigation_Industry!$K$270,0)*Mitigation_Industry!$H$369/1000</f>
        <v>0.7746911146184654</v>
      </c>
      <c r="AA97" s="140">
        <f>Mitigation_Industry!AA$282*Mitigation_Industry!$K$273*MAX(Mitigation_Industry!$K$270,0)*Mitigation_Industry!$H$369/1000</f>
        <v>0.79173431914007153</v>
      </c>
      <c r="AB97" s="140">
        <f>Mitigation_Industry!AB$282*Mitigation_Industry!$K$273*MAX(Mitigation_Industry!$K$270,0)*Mitigation_Industry!$H$369/1000</f>
        <v>0.8091524741611531</v>
      </c>
      <c r="AC97" s="140">
        <f>Mitigation_Industry!AC$282*Mitigation_Industry!$K$273*MAX(Mitigation_Industry!$K$270,0)*Mitigation_Industry!$H$369/1000</f>
        <v>0.8269538285926985</v>
      </c>
      <c r="AD97" s="140">
        <f>Mitigation_Industry!AD$282*Mitigation_Industry!$K$273*MAX(Mitigation_Industry!$K$270,0)*Mitigation_Industry!$H$369/1000</f>
        <v>0.84514681282173787</v>
      </c>
      <c r="AE97" s="140">
        <f>Mitigation_Industry!AE$282*Mitigation_Industry!$K$273*MAX(Mitigation_Industry!$K$270,0)*Mitigation_Industry!$H$369/1000</f>
        <v>0.8637400427038161</v>
      </c>
      <c r="AF97" s="141"/>
      <c r="AG97" s="141"/>
      <c r="AH97" s="141"/>
      <c r="AI97" s="141"/>
    </row>
    <row r="98" spans="1:35" customFormat="1" ht="14.25" x14ac:dyDescent="0.45">
      <c r="B98" s="14" t="s">
        <v>2596</v>
      </c>
      <c r="C98" s="14" t="s">
        <v>115</v>
      </c>
      <c r="D98" s="15" t="s">
        <v>2654</v>
      </c>
      <c r="E98" s="16" t="s">
        <v>2068</v>
      </c>
      <c r="F98" s="14" t="s">
        <v>2637</v>
      </c>
      <c r="G98" s="17"/>
      <c r="H98" s="128" t="str">
        <f>Settings!$B$3&amp;".mit.wm.alu.prp.no.1"</f>
        <v>egy.mit.wm.alu.prp.no.1</v>
      </c>
      <c r="K98" s="139"/>
      <c r="L98" s="140">
        <f>Mitigation_Industry!L$283*Mitigation_Industry!$K$273*MAX(Mitigation_Industry!$K$271,0)*Mitigation_Industry!$H$370/1000</f>
        <v>0.20862065092877519</v>
      </c>
      <c r="M98" s="140">
        <f>Mitigation_Industry!M$283*Mitigation_Industry!$K$273*MAX(Mitigation_Industry!$K$271,0)*Mitigation_Industry!$H$370/1000</f>
        <v>0.22009478672985783</v>
      </c>
      <c r="N98" s="140">
        <f>Mitigation_Industry!N$283*Mitigation_Industry!$K$273*MAX(Mitigation_Industry!$K$271,0)*Mitigation_Industry!$H$370/1000</f>
        <v>0.23220000000000002</v>
      </c>
      <c r="O98" s="140">
        <f>Mitigation_Industry!O$283*Mitigation_Industry!$K$273*MAX(Mitigation_Industry!$K$271,0)*Mitigation_Industry!$H$370/1000</f>
        <v>0.24497099999999999</v>
      </c>
      <c r="P98" s="140">
        <f>Mitigation_Industry!P$283*Mitigation_Industry!$K$273*MAX(Mitigation_Industry!$K$271,0)*Mitigation_Industry!$H$370/1000</f>
        <v>0.25844440499999999</v>
      </c>
      <c r="Q98" s="140">
        <f>Mitigation_Industry!Q$283*Mitigation_Industry!$K$273*MAX(Mitigation_Industry!$K$271,0)*Mitigation_Industry!$H$370/1000</f>
        <v>0.27265884727499995</v>
      </c>
      <c r="R98" s="140">
        <f>Mitigation_Industry!R$283*Mitigation_Industry!$K$273*MAX(Mitigation_Industry!$K$271,0)*Mitigation_Industry!$H$370/1000</f>
        <v>0.28765508387512501</v>
      </c>
      <c r="S98" s="140">
        <f>Mitigation_Industry!S$283*Mitigation_Industry!$K$273*MAX(Mitigation_Industry!$K$271,0)*Mitigation_Industry!$H$370/1000</f>
        <v>0.30347611348825682</v>
      </c>
      <c r="T98" s="140">
        <f>Mitigation_Industry!T$283*Mitigation_Industry!$K$273*MAX(Mitigation_Industry!$K$271,0)*Mitigation_Industry!$H$370/1000</f>
        <v>0.32016729973011093</v>
      </c>
      <c r="U98" s="140">
        <f>Mitigation_Industry!U$283*Mitigation_Industry!$K$273*MAX(Mitigation_Industry!$K$271,0)*Mitigation_Industry!$H$370/1000</f>
        <v>0.33777650121526698</v>
      </c>
      <c r="V98" s="140">
        <f>Mitigation_Industry!V$283*Mitigation_Industry!$K$273*MAX(Mitigation_Industry!$K$271,0)*Mitigation_Industry!$H$370/1000</f>
        <v>0.35635420878210672</v>
      </c>
      <c r="W98" s="140">
        <f>Mitigation_Industry!W$283*Mitigation_Industry!$K$273*MAX(Mitigation_Industry!$K$271,0)*Mitigation_Industry!$H$370/1000</f>
        <v>0.37595369026512254</v>
      </c>
      <c r="X98" s="140">
        <f>Mitigation_Industry!X$283*Mitigation_Industry!$K$273*MAX(Mitigation_Industry!$K$271,0)*Mitigation_Industry!$H$370/1000</f>
        <v>0.39663114322970433</v>
      </c>
      <c r="Y98" s="140">
        <f>Mitigation_Industry!Y$283*Mitigation_Industry!$K$273*MAX(Mitigation_Industry!$K$271,0)*Mitigation_Industry!$H$370/1000</f>
        <v>0.41844585610733798</v>
      </c>
      <c r="Z98" s="140">
        <f>Mitigation_Industry!Z$283*Mitigation_Industry!$K$273*MAX(Mitigation_Industry!$K$271,0)*Mitigation_Industry!$H$370/1000</f>
        <v>0.44146037819324158</v>
      </c>
      <c r="AA98" s="140">
        <f>Mitigation_Industry!AA$283*Mitigation_Industry!$K$273*MAX(Mitigation_Industry!$K$271,0)*Mitigation_Industry!$H$370/1000</f>
        <v>0.46574069899386977</v>
      </c>
      <c r="AB98" s="140">
        <f>Mitigation_Industry!AB$283*Mitigation_Industry!$K$273*MAX(Mitigation_Industry!$K$271,0)*Mitigation_Industry!$H$370/1000</f>
        <v>0.49135643743853269</v>
      </c>
      <c r="AC98" s="140">
        <f>Mitigation_Industry!AC$283*Mitigation_Industry!$K$273*MAX(Mitigation_Industry!$K$271,0)*Mitigation_Industry!$H$370/1000</f>
        <v>0.51838104149765185</v>
      </c>
      <c r="AD98" s="140">
        <f>Mitigation_Industry!AD$283*Mitigation_Industry!$K$273*MAX(Mitigation_Industry!$K$271,0)*Mitigation_Industry!$H$370/1000</f>
        <v>0.5468919987800227</v>
      </c>
      <c r="AE98" s="140">
        <f>Mitigation_Industry!AE$283*Mitigation_Industry!$K$273*MAX(Mitigation_Industry!$K$271,0)*Mitigation_Industry!$H$370/1000</f>
        <v>0.57697105871292398</v>
      </c>
      <c r="AF98" s="141"/>
      <c r="AG98" s="141"/>
      <c r="AH98" s="141"/>
      <c r="AI98" s="141"/>
    </row>
    <row r="99" spans="1:35" x14ac:dyDescent="0.35"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</row>
    <row r="100" spans="1:35" customFormat="1" ht="14.25" x14ac:dyDescent="0.45">
      <c r="A100" s="11"/>
      <c r="B100" s="6"/>
      <c r="C100" s="7" t="s">
        <v>2655</v>
      </c>
      <c r="D100" s="6" t="s">
        <v>1488</v>
      </c>
      <c r="E100" s="7" t="s">
        <v>35</v>
      </c>
      <c r="F100" s="7" t="s">
        <v>45</v>
      </c>
      <c r="G100" s="7" t="s">
        <v>37</v>
      </c>
      <c r="H100" s="12" t="s">
        <v>38</v>
      </c>
      <c r="I100" s="6" t="s">
        <v>39</v>
      </c>
      <c r="J100" s="48">
        <v>1</v>
      </c>
      <c r="K100" s="137">
        <v>2021</v>
      </c>
      <c r="L100" s="138">
        <v>2022</v>
      </c>
      <c r="M100" s="137">
        <v>2023</v>
      </c>
      <c r="N100" s="137">
        <v>2024</v>
      </c>
      <c r="O100" s="137">
        <v>2025</v>
      </c>
      <c r="P100" s="137">
        <v>2026</v>
      </c>
      <c r="Q100" s="137">
        <v>2027</v>
      </c>
      <c r="R100" s="137">
        <v>2028</v>
      </c>
      <c r="S100" s="137">
        <v>2029</v>
      </c>
      <c r="T100" s="137">
        <v>2030</v>
      </c>
      <c r="U100" s="137">
        <v>2031</v>
      </c>
      <c r="V100" s="137">
        <v>2032</v>
      </c>
      <c r="W100" s="137">
        <v>2033</v>
      </c>
      <c r="X100" s="137">
        <v>2034</v>
      </c>
      <c r="Y100" s="137">
        <v>2035</v>
      </c>
      <c r="Z100" s="137">
        <v>2036</v>
      </c>
      <c r="AA100" s="137">
        <v>2037</v>
      </c>
      <c r="AB100" s="137">
        <v>2038</v>
      </c>
      <c r="AC100" s="137">
        <v>2039</v>
      </c>
      <c r="AD100" s="137">
        <v>2040</v>
      </c>
      <c r="AE100" s="137">
        <v>2041</v>
      </c>
      <c r="AF100" s="137">
        <v>2042</v>
      </c>
      <c r="AG100" s="137">
        <v>2043</v>
      </c>
      <c r="AH100" s="137">
        <v>2044</v>
      </c>
      <c r="AI100" s="137">
        <v>2045</v>
      </c>
    </row>
    <row r="101" spans="1:35" customFormat="1" ht="14.25" x14ac:dyDescent="0.45">
      <c r="B101" s="14" t="s">
        <v>2565</v>
      </c>
      <c r="C101" s="14" t="s">
        <v>43</v>
      </c>
      <c r="D101" s="15" t="s">
        <v>2656</v>
      </c>
      <c r="E101" s="16" t="s">
        <v>2068</v>
      </c>
      <c r="F101" s="14" t="s">
        <v>2655</v>
      </c>
      <c r="G101" s="17"/>
      <c r="H101" s="128" t="str">
        <f>Settings!$B$3&amp;".mit.wp.stl.drg.np.1"</f>
        <v>egy.mit.wp.stl.drg.np.1</v>
      </c>
      <c r="I101" t="s">
        <v>2657</v>
      </c>
      <c r="K101" s="139"/>
      <c r="L101" s="140">
        <f t="shared" ref="L101:AE101" si="0">L$83*EXP(-L$65*L$27)</f>
        <v>0.17734546065090059</v>
      </c>
      <c r="M101" s="140">
        <f t="shared" si="0"/>
        <v>0.18514866091954021</v>
      </c>
      <c r="N101" s="140">
        <f t="shared" si="0"/>
        <v>0.193295202</v>
      </c>
      <c r="O101" s="140">
        <f t="shared" si="0"/>
        <v>0.20180019088800003</v>
      </c>
      <c r="P101" s="140">
        <f t="shared" si="0"/>
        <v>0.21067939928707202</v>
      </c>
      <c r="Q101" s="140">
        <f t="shared" si="0"/>
        <v>0.21994929285570322</v>
      </c>
      <c r="R101" s="140">
        <f t="shared" si="0"/>
        <v>0.22962706174135414</v>
      </c>
      <c r="S101" s="140">
        <f t="shared" si="0"/>
        <v>0.2397306524579737</v>
      </c>
      <c r="T101" s="140">
        <f t="shared" si="0"/>
        <v>0.25027880116612461</v>
      </c>
      <c r="U101" s="140">
        <f t="shared" si="0"/>
        <v>0.2612910684174341</v>
      </c>
      <c r="V101" s="140">
        <f t="shared" si="0"/>
        <v>0.27278787542780114</v>
      </c>
      <c r="W101" s="140">
        <f t="shared" si="0"/>
        <v>0.28479054194662445</v>
      </c>
      <c r="X101" s="140">
        <f t="shared" si="0"/>
        <v>0.29732132579227588</v>
      </c>
      <c r="Y101" s="140">
        <f t="shared" si="0"/>
        <v>0.3104034641271361</v>
      </c>
      <c r="Z101" s="140">
        <f t="shared" si="0"/>
        <v>0.32406121654872999</v>
      </c>
      <c r="AA101" s="140">
        <f t="shared" si="0"/>
        <v>0.33831991007687412</v>
      </c>
      <c r="AB101" s="140">
        <f t="shared" si="0"/>
        <v>0.35320598612025667</v>
      </c>
      <c r="AC101" s="140">
        <f t="shared" si="0"/>
        <v>0.36874704950954795</v>
      </c>
      <c r="AD101" s="140">
        <f t="shared" si="0"/>
        <v>0.38497191968796801</v>
      </c>
      <c r="AE101" s="140">
        <f t="shared" si="0"/>
        <v>0.40191068415423858</v>
      </c>
      <c r="AF101" s="141"/>
      <c r="AG101" s="141"/>
      <c r="AH101" s="141"/>
      <c r="AI101" s="141"/>
    </row>
    <row r="102" spans="1:35" customFormat="1" ht="14.25" x14ac:dyDescent="0.45">
      <c r="B102" s="14" t="s">
        <v>2568</v>
      </c>
      <c r="C102" s="14" t="s">
        <v>43</v>
      </c>
      <c r="D102" s="15" t="s">
        <v>2658</v>
      </c>
      <c r="E102" s="16" t="s">
        <v>2068</v>
      </c>
      <c r="F102" s="14" t="s">
        <v>2655</v>
      </c>
      <c r="G102" s="17"/>
      <c r="H102" s="128" t="str">
        <f>Settings!$B$3&amp;".mit.wp.stl.scr.np.1"</f>
        <v>egy.mit.wp.stl.scr.np.1</v>
      </c>
      <c r="K102" s="139"/>
      <c r="L102" s="140">
        <f t="shared" ref="L102:AE102" si="1">L$84*EXP(-L$66*L$28)</f>
        <v>0.19368983132954593</v>
      </c>
      <c r="M102" s="140">
        <f t="shared" si="1"/>
        <v>0.20221218390804596</v>
      </c>
      <c r="N102" s="140">
        <f t="shared" si="1"/>
        <v>0.21110951999999997</v>
      </c>
      <c r="O102" s="140">
        <f t="shared" si="1"/>
        <v>0.22039833887999999</v>
      </c>
      <c r="P102" s="140">
        <f t="shared" si="1"/>
        <v>0.23009586579071997</v>
      </c>
      <c r="Q102" s="140">
        <f t="shared" si="1"/>
        <v>0.24022008388551169</v>
      </c>
      <c r="R102" s="140">
        <f t="shared" si="1"/>
        <v>0.25078976757647414</v>
      </c>
      <c r="S102" s="140">
        <f t="shared" si="1"/>
        <v>0.26182451734983908</v>
      </c>
      <c r="T102" s="140">
        <f t="shared" si="1"/>
        <v>0.27334479611323198</v>
      </c>
      <c r="U102" s="140">
        <f t="shared" si="1"/>
        <v>0.28537196714221424</v>
      </c>
      <c r="V102" s="140">
        <f t="shared" si="1"/>
        <v>0.29792833369647159</v>
      </c>
      <c r="W102" s="140">
        <f t="shared" si="1"/>
        <v>0.31103718037911643</v>
      </c>
      <c r="X102" s="140">
        <f t="shared" si="1"/>
        <v>0.32472281631579752</v>
      </c>
      <c r="Y102" s="140">
        <f t="shared" si="1"/>
        <v>0.33901062023369266</v>
      </c>
      <c r="Z102" s="140">
        <f t="shared" si="1"/>
        <v>0.35392708752397511</v>
      </c>
      <c r="AA102" s="140">
        <f t="shared" si="1"/>
        <v>0.36949987937502998</v>
      </c>
      <c r="AB102" s="140">
        <f t="shared" si="1"/>
        <v>0.38575787406753137</v>
      </c>
      <c r="AC102" s="140">
        <f t="shared" si="1"/>
        <v>0.40273122052650273</v>
      </c>
      <c r="AD102" s="140">
        <f t="shared" si="1"/>
        <v>0.42045139422966882</v>
      </c>
      <c r="AE102" s="140">
        <f t="shared" si="1"/>
        <v>0.43895125557577425</v>
      </c>
      <c r="AF102" s="141"/>
      <c r="AG102" s="141"/>
      <c r="AH102" s="141"/>
      <c r="AI102" s="141"/>
    </row>
    <row r="103" spans="1:35" customFormat="1" ht="14.25" x14ac:dyDescent="0.45">
      <c r="B103" s="14" t="s">
        <v>2570</v>
      </c>
      <c r="C103" s="14" t="s">
        <v>43</v>
      </c>
      <c r="D103" s="15" t="s">
        <v>2659</v>
      </c>
      <c r="E103" s="16" t="s">
        <v>2068</v>
      </c>
      <c r="F103" s="14" t="s">
        <v>2655</v>
      </c>
      <c r="G103" s="17"/>
      <c r="H103" s="128" t="str">
        <f>Settings!$B$3&amp;".mit.wp.stl.bof.np.1"</f>
        <v>egy.mit.wp.stl.bof.np.1</v>
      </c>
      <c r="K103" s="139"/>
      <c r="L103" s="140">
        <f t="shared" ref="L103:AE103" si="2">L$85*EXP(-L$67*L$29)</f>
        <v>0</v>
      </c>
      <c r="M103" s="140">
        <f t="shared" si="2"/>
        <v>0</v>
      </c>
      <c r="N103" s="140">
        <f t="shared" si="2"/>
        <v>0</v>
      </c>
      <c r="O103" s="140">
        <f t="shared" si="2"/>
        <v>0</v>
      </c>
      <c r="P103" s="140">
        <f t="shared" si="2"/>
        <v>0</v>
      </c>
      <c r="Q103" s="140">
        <f t="shared" si="2"/>
        <v>0</v>
      </c>
      <c r="R103" s="140">
        <f t="shared" si="2"/>
        <v>0</v>
      </c>
      <c r="S103" s="140">
        <f t="shared" si="2"/>
        <v>0</v>
      </c>
      <c r="T103" s="140">
        <f t="shared" si="2"/>
        <v>0</v>
      </c>
      <c r="U103" s="140">
        <f t="shared" si="2"/>
        <v>0</v>
      </c>
      <c r="V103" s="140">
        <f t="shared" si="2"/>
        <v>0</v>
      </c>
      <c r="W103" s="140">
        <f t="shared" si="2"/>
        <v>0</v>
      </c>
      <c r="X103" s="140">
        <f t="shared" si="2"/>
        <v>0</v>
      </c>
      <c r="Y103" s="140">
        <f t="shared" si="2"/>
        <v>0</v>
      </c>
      <c r="Z103" s="140">
        <f t="shared" si="2"/>
        <v>0</v>
      </c>
      <c r="AA103" s="140">
        <f t="shared" si="2"/>
        <v>0</v>
      </c>
      <c r="AB103" s="140">
        <f t="shared" si="2"/>
        <v>0</v>
      </c>
      <c r="AC103" s="140">
        <f t="shared" si="2"/>
        <v>0</v>
      </c>
      <c r="AD103" s="140">
        <f t="shared" si="2"/>
        <v>0</v>
      </c>
      <c r="AE103" s="140">
        <f t="shared" si="2"/>
        <v>0</v>
      </c>
      <c r="AF103" s="141"/>
      <c r="AG103" s="141"/>
      <c r="AH103" s="141"/>
      <c r="AI103" s="141"/>
    </row>
    <row r="104" spans="1:35" customFormat="1" ht="14.25" x14ac:dyDescent="0.45">
      <c r="B104" s="14" t="s">
        <v>2572</v>
      </c>
      <c r="C104" s="14" t="s">
        <v>113</v>
      </c>
      <c r="D104" s="15" t="s">
        <v>2660</v>
      </c>
      <c r="E104" s="16" t="s">
        <v>2068</v>
      </c>
      <c r="F104" s="14" t="s">
        <v>2655</v>
      </c>
      <c r="G104" s="17"/>
      <c r="H104" s="128" t="str">
        <f>Settings!$B$3&amp;".mit.wp.cmt.dry.np.1"</f>
        <v>egy.mit.wp.cmt.dry.np.1</v>
      </c>
      <c r="K104" s="139"/>
      <c r="L104" s="140">
        <f t="shared" ref="L104:AE104" si="3">L$86*EXP(-L$68*L$30)</f>
        <v>25.163138219961041</v>
      </c>
      <c r="M104" s="140">
        <f t="shared" si="3"/>
        <v>25.993521781219755</v>
      </c>
      <c r="N104" s="140">
        <f t="shared" si="3"/>
        <v>26.851308</v>
      </c>
      <c r="O104" s="140">
        <f t="shared" si="3"/>
        <v>27.737401163999998</v>
      </c>
      <c r="P104" s="140">
        <f t="shared" si="3"/>
        <v>28.652735402411995</v>
      </c>
      <c r="Q104" s="140">
        <f t="shared" si="3"/>
        <v>29.598275670691589</v>
      </c>
      <c r="R104" s="140">
        <f t="shared" si="3"/>
        <v>30.575018767824407</v>
      </c>
      <c r="S104" s="140">
        <f t="shared" si="3"/>
        <v>31.583994387162612</v>
      </c>
      <c r="T104" s="140">
        <f t="shared" si="3"/>
        <v>32.626266201938975</v>
      </c>
      <c r="U104" s="140">
        <f t="shared" si="3"/>
        <v>33.70293298660296</v>
      </c>
      <c r="V104" s="140">
        <f t="shared" si="3"/>
        <v>34.815129775160841</v>
      </c>
      <c r="W104" s="140">
        <f t="shared" si="3"/>
        <v>35.964029057741151</v>
      </c>
      <c r="X104" s="140">
        <f t="shared" si="3"/>
        <v>37.150842016646592</v>
      </c>
      <c r="Y104" s="140">
        <f t="shared" si="3"/>
        <v>38.376819803195943</v>
      </c>
      <c r="Z104" s="140">
        <f t="shared" si="3"/>
        <v>39.643254856701404</v>
      </c>
      <c r="AA104" s="140">
        <f t="shared" si="3"/>
        <v>40.951482266972548</v>
      </c>
      <c r="AB104" s="140">
        <f t="shared" si="3"/>
        <v>42.302881181782631</v>
      </c>
      <c r="AC104" s="140">
        <f t="shared" si="3"/>
        <v>43.698876260781446</v>
      </c>
      <c r="AD104" s="140">
        <f t="shared" si="3"/>
        <v>45.140939177387231</v>
      </c>
      <c r="AE104" s="140">
        <f t="shared" si="3"/>
        <v>46.630590170241007</v>
      </c>
      <c r="AF104" s="141"/>
      <c r="AG104" s="141"/>
      <c r="AH104" s="141"/>
      <c r="AI104" s="141"/>
    </row>
    <row r="105" spans="1:35" customFormat="1" ht="14.25" x14ac:dyDescent="0.45">
      <c r="B105" s="14" t="s">
        <v>2574</v>
      </c>
      <c r="C105" s="14" t="s">
        <v>117</v>
      </c>
      <c r="D105" s="15" t="s">
        <v>2661</v>
      </c>
      <c r="E105" s="16" t="s">
        <v>2068</v>
      </c>
      <c r="F105" s="14" t="s">
        <v>2655</v>
      </c>
      <c r="G105" s="17"/>
      <c r="H105" s="128" t="str">
        <f>Settings!$B$3&amp;".mit.wp.frt.amc.np.1"</f>
        <v>egy.mit.wp.frt.amc.np.1</v>
      </c>
      <c r="K105" s="139"/>
      <c r="L105" s="140">
        <f t="shared" ref="L105:AE105" si="4">L$87*EXP(-L$69*L$31)</f>
        <v>0</v>
      </c>
      <c r="M105" s="140">
        <f t="shared" si="4"/>
        <v>0</v>
      </c>
      <c r="N105" s="140">
        <f t="shared" si="4"/>
        <v>0</v>
      </c>
      <c r="O105" s="140">
        <f t="shared" si="4"/>
        <v>0</v>
      </c>
      <c r="P105" s="140">
        <f t="shared" si="4"/>
        <v>0</v>
      </c>
      <c r="Q105" s="140">
        <f t="shared" si="4"/>
        <v>0</v>
      </c>
      <c r="R105" s="140">
        <f t="shared" si="4"/>
        <v>0</v>
      </c>
      <c r="S105" s="140">
        <f t="shared" si="4"/>
        <v>0</v>
      </c>
      <c r="T105" s="140">
        <f t="shared" si="4"/>
        <v>0</v>
      </c>
      <c r="U105" s="140">
        <f t="shared" si="4"/>
        <v>0</v>
      </c>
      <c r="V105" s="140">
        <f t="shared" si="4"/>
        <v>0</v>
      </c>
      <c r="W105" s="140">
        <f t="shared" si="4"/>
        <v>0</v>
      </c>
      <c r="X105" s="140">
        <f t="shared" si="4"/>
        <v>0</v>
      </c>
      <c r="Y105" s="140">
        <f t="shared" si="4"/>
        <v>0</v>
      </c>
      <c r="Z105" s="140">
        <f t="shared" si="4"/>
        <v>0</v>
      </c>
      <c r="AA105" s="140">
        <f t="shared" si="4"/>
        <v>0</v>
      </c>
      <c r="AB105" s="140">
        <f t="shared" si="4"/>
        <v>0</v>
      </c>
      <c r="AC105" s="140">
        <f t="shared" si="4"/>
        <v>0</v>
      </c>
      <c r="AD105" s="140">
        <f t="shared" si="4"/>
        <v>0</v>
      </c>
      <c r="AE105" s="140">
        <f t="shared" si="4"/>
        <v>0</v>
      </c>
      <c r="AF105" s="141"/>
      <c r="AG105" s="141"/>
      <c r="AH105" s="141"/>
      <c r="AI105" s="141"/>
    </row>
    <row r="106" spans="1:35" customFormat="1" ht="14.25" x14ac:dyDescent="0.45">
      <c r="B106" s="14" t="s">
        <v>2576</v>
      </c>
      <c r="C106" s="14" t="s">
        <v>117</v>
      </c>
      <c r="D106" s="15" t="s">
        <v>2662</v>
      </c>
      <c r="E106" s="16" t="s">
        <v>2068</v>
      </c>
      <c r="F106" s="14" t="s">
        <v>2655</v>
      </c>
      <c r="G106" s="17"/>
      <c r="H106" s="128" t="str">
        <f>Settings!$B$3&amp;".mit.wp.frt.ure.np.1"</f>
        <v>egy.mit.wp.frt.ure.np.1</v>
      </c>
      <c r="K106" s="139"/>
      <c r="L106" s="140">
        <f t="shared" ref="L106:AE106" si="5">L$88*EXP(-L$70*L$32)</f>
        <v>0</v>
      </c>
      <c r="M106" s="140">
        <f t="shared" si="5"/>
        <v>0</v>
      </c>
      <c r="N106" s="140">
        <f t="shared" si="5"/>
        <v>0</v>
      </c>
      <c r="O106" s="140">
        <f t="shared" si="5"/>
        <v>0</v>
      </c>
      <c r="P106" s="140">
        <f t="shared" si="5"/>
        <v>0</v>
      </c>
      <c r="Q106" s="140">
        <f t="shared" si="5"/>
        <v>0</v>
      </c>
      <c r="R106" s="140">
        <f t="shared" si="5"/>
        <v>0</v>
      </c>
      <c r="S106" s="140">
        <f t="shared" si="5"/>
        <v>0</v>
      </c>
      <c r="T106" s="140">
        <f t="shared" si="5"/>
        <v>0</v>
      </c>
      <c r="U106" s="140">
        <f t="shared" si="5"/>
        <v>0</v>
      </c>
      <c r="V106" s="140">
        <f t="shared" si="5"/>
        <v>0</v>
      </c>
      <c r="W106" s="140">
        <f t="shared" si="5"/>
        <v>0</v>
      </c>
      <c r="X106" s="140">
        <f t="shared" si="5"/>
        <v>0</v>
      </c>
      <c r="Y106" s="140">
        <f t="shared" si="5"/>
        <v>0</v>
      </c>
      <c r="Z106" s="140">
        <f t="shared" si="5"/>
        <v>0</v>
      </c>
      <c r="AA106" s="140">
        <f t="shared" si="5"/>
        <v>0</v>
      </c>
      <c r="AB106" s="140">
        <f t="shared" si="5"/>
        <v>0</v>
      </c>
      <c r="AC106" s="140">
        <f t="shared" si="5"/>
        <v>0</v>
      </c>
      <c r="AD106" s="140">
        <f t="shared" si="5"/>
        <v>0</v>
      </c>
      <c r="AE106" s="140">
        <f t="shared" si="5"/>
        <v>0</v>
      </c>
      <c r="AF106" s="141"/>
      <c r="AG106" s="141"/>
      <c r="AH106" s="141"/>
      <c r="AI106" s="141"/>
    </row>
    <row r="107" spans="1:35" customFormat="1" ht="14.25" x14ac:dyDescent="0.45">
      <c r="B107" s="14" t="s">
        <v>2578</v>
      </c>
      <c r="C107" s="14" t="s">
        <v>117</v>
      </c>
      <c r="D107" s="15" t="s">
        <v>2663</v>
      </c>
      <c r="E107" s="16" t="s">
        <v>2068</v>
      </c>
      <c r="F107" s="14" t="s">
        <v>2655</v>
      </c>
      <c r="G107" s="17"/>
      <c r="H107" s="128" t="str">
        <f>Settings!$B$3&amp;".mit.wp.frt.nit.np.1"</f>
        <v>egy.mit.wp.frt.nit.np.1</v>
      </c>
      <c r="K107" s="139"/>
      <c r="L107" s="140">
        <f t="shared" ref="L107:AE107" si="6">L$89*EXP(-L$71*L$33)</f>
        <v>0</v>
      </c>
      <c r="M107" s="140">
        <f t="shared" si="6"/>
        <v>0</v>
      </c>
      <c r="N107" s="140">
        <f t="shared" si="6"/>
        <v>0</v>
      </c>
      <c r="O107" s="140">
        <f t="shared" si="6"/>
        <v>0</v>
      </c>
      <c r="P107" s="140">
        <f t="shared" si="6"/>
        <v>0</v>
      </c>
      <c r="Q107" s="140">
        <f t="shared" si="6"/>
        <v>0</v>
      </c>
      <c r="R107" s="140">
        <f t="shared" si="6"/>
        <v>0</v>
      </c>
      <c r="S107" s="140">
        <f t="shared" si="6"/>
        <v>0</v>
      </c>
      <c r="T107" s="140">
        <f t="shared" si="6"/>
        <v>0</v>
      </c>
      <c r="U107" s="140">
        <f t="shared" si="6"/>
        <v>0</v>
      </c>
      <c r="V107" s="140">
        <f t="shared" si="6"/>
        <v>0</v>
      </c>
      <c r="W107" s="140">
        <f t="shared" si="6"/>
        <v>0</v>
      </c>
      <c r="X107" s="140">
        <f t="shared" si="6"/>
        <v>0</v>
      </c>
      <c r="Y107" s="140">
        <f t="shared" si="6"/>
        <v>0</v>
      </c>
      <c r="Z107" s="140">
        <f t="shared" si="6"/>
        <v>0</v>
      </c>
      <c r="AA107" s="140">
        <f t="shared" si="6"/>
        <v>0</v>
      </c>
      <c r="AB107" s="140">
        <f t="shared" si="6"/>
        <v>0</v>
      </c>
      <c r="AC107" s="140">
        <f t="shared" si="6"/>
        <v>0</v>
      </c>
      <c r="AD107" s="140">
        <f t="shared" si="6"/>
        <v>0</v>
      </c>
      <c r="AE107" s="140">
        <f t="shared" si="6"/>
        <v>0</v>
      </c>
      <c r="AF107" s="141"/>
      <c r="AG107" s="141"/>
      <c r="AH107" s="141"/>
      <c r="AI107" s="141"/>
    </row>
    <row r="108" spans="1:35" customFormat="1" ht="14.25" x14ac:dyDescent="0.45">
      <c r="B108" s="14" t="s">
        <v>2580</v>
      </c>
      <c r="C108" s="14" t="s">
        <v>115</v>
      </c>
      <c r="D108" s="15" t="s">
        <v>2664</v>
      </c>
      <c r="E108" s="16" t="s">
        <v>2068</v>
      </c>
      <c r="F108" s="14" t="s">
        <v>2655</v>
      </c>
      <c r="G108" s="17"/>
      <c r="H108" s="128" t="str">
        <f>Settings!$B$3&amp;".mit.wp.alu.prp.np.1"</f>
        <v>egy.mit.wp.alu.prp.np.1</v>
      </c>
      <c r="K108" s="139"/>
      <c r="L108" s="140">
        <f t="shared" ref="L108:AE108" si="7">L$90*EXP(-L$72*L$34)</f>
        <v>0.43758937310482698</v>
      </c>
      <c r="M108" s="140">
        <f t="shared" si="7"/>
        <v>0.4616567886255924</v>
      </c>
      <c r="N108" s="140">
        <f t="shared" si="7"/>
        <v>0.48704791199999997</v>
      </c>
      <c r="O108" s="140">
        <f t="shared" si="7"/>
        <v>0.51383554716000002</v>
      </c>
      <c r="P108" s="140">
        <f t="shared" si="7"/>
        <v>0.54209650225379991</v>
      </c>
      <c r="Q108" s="140">
        <f t="shared" si="7"/>
        <v>0.5719118098777588</v>
      </c>
      <c r="R108" s="140">
        <f t="shared" si="7"/>
        <v>0.6033669594210358</v>
      </c>
      <c r="S108" s="140">
        <f t="shared" si="7"/>
        <v>0.63655214218919254</v>
      </c>
      <c r="T108" s="140">
        <f t="shared" si="7"/>
        <v>0.6715625100095981</v>
      </c>
      <c r="U108" s="140">
        <f t="shared" si="7"/>
        <v>0.70849844806012596</v>
      </c>
      <c r="V108" s="140">
        <f t="shared" si="7"/>
        <v>0.74746586270343296</v>
      </c>
      <c r="W108" s="140">
        <f t="shared" si="7"/>
        <v>0.78857648515212175</v>
      </c>
      <c r="X108" s="140">
        <f t="shared" si="7"/>
        <v>0.83194819183548852</v>
      </c>
      <c r="Y108" s="140">
        <f t="shared" si="7"/>
        <v>0.87770534238644027</v>
      </c>
      <c r="Z108" s="140">
        <f t="shared" si="7"/>
        <v>0.92597913621769457</v>
      </c>
      <c r="AA108" s="140">
        <f t="shared" si="7"/>
        <v>0.97690798870966755</v>
      </c>
      <c r="AB108" s="140">
        <f t="shared" si="7"/>
        <v>1.0306379280886993</v>
      </c>
      <c r="AC108" s="140">
        <f t="shared" si="7"/>
        <v>1.0873230141335775</v>
      </c>
      <c r="AD108" s="140">
        <f t="shared" si="7"/>
        <v>1.1471257799109245</v>
      </c>
      <c r="AE108" s="140">
        <f t="shared" si="7"/>
        <v>1.2102176978060251</v>
      </c>
      <c r="AF108" s="141"/>
      <c r="AG108" s="141"/>
      <c r="AH108" s="141"/>
      <c r="AI108" s="141"/>
    </row>
    <row r="109" spans="1:35" customFormat="1" ht="14.25" x14ac:dyDescent="0.45">
      <c r="B109" s="14" t="s">
        <v>2582</v>
      </c>
      <c r="C109" s="14" t="s">
        <v>43</v>
      </c>
      <c r="D109" s="15" t="s">
        <v>2665</v>
      </c>
      <c r="E109" s="16" t="s">
        <v>2068</v>
      </c>
      <c r="F109" s="14" t="s">
        <v>2655</v>
      </c>
      <c r="G109" s="17"/>
      <c r="H109" s="128" t="str">
        <f>Settings!$B$3&amp;".mit.wp.stl.drg.no.1"</f>
        <v>egy.mit.wp.stl.drg.no.1</v>
      </c>
      <c r="K109" s="139"/>
      <c r="L109" s="140">
        <f t="shared" ref="L109:AE109" si="8">L$91*EXP(-L$73*L$35)</f>
        <v>0</v>
      </c>
      <c r="M109" s="140">
        <f t="shared" si="8"/>
        <v>0</v>
      </c>
      <c r="N109" s="140">
        <f t="shared" si="8"/>
        <v>0</v>
      </c>
      <c r="O109" s="140">
        <f t="shared" si="8"/>
        <v>0</v>
      </c>
      <c r="P109" s="140">
        <f t="shared" si="8"/>
        <v>0</v>
      </c>
      <c r="Q109" s="140">
        <f t="shared" si="8"/>
        <v>0</v>
      </c>
      <c r="R109" s="140">
        <f t="shared" si="8"/>
        <v>0</v>
      </c>
      <c r="S109" s="140">
        <f t="shared" si="8"/>
        <v>0</v>
      </c>
      <c r="T109" s="140">
        <f t="shared" si="8"/>
        <v>0</v>
      </c>
      <c r="U109" s="140">
        <f t="shared" si="8"/>
        <v>0</v>
      </c>
      <c r="V109" s="140">
        <f t="shared" si="8"/>
        <v>0</v>
      </c>
      <c r="W109" s="140">
        <f t="shared" si="8"/>
        <v>0</v>
      </c>
      <c r="X109" s="140">
        <f t="shared" si="8"/>
        <v>0</v>
      </c>
      <c r="Y109" s="140">
        <f t="shared" si="8"/>
        <v>0</v>
      </c>
      <c r="Z109" s="140">
        <f t="shared" si="8"/>
        <v>0</v>
      </c>
      <c r="AA109" s="140">
        <f t="shared" si="8"/>
        <v>0</v>
      </c>
      <c r="AB109" s="140">
        <f t="shared" si="8"/>
        <v>0</v>
      </c>
      <c r="AC109" s="140">
        <f t="shared" si="8"/>
        <v>0</v>
      </c>
      <c r="AD109" s="140">
        <f t="shared" si="8"/>
        <v>0</v>
      </c>
      <c r="AE109" s="140">
        <f t="shared" si="8"/>
        <v>0</v>
      </c>
      <c r="AF109" s="141"/>
      <c r="AG109" s="141"/>
      <c r="AH109" s="141"/>
      <c r="AI109" s="141"/>
    </row>
    <row r="110" spans="1:35" customFormat="1" ht="14.25" x14ac:dyDescent="0.45">
      <c r="B110" s="14" t="s">
        <v>2584</v>
      </c>
      <c r="C110" s="14" t="s">
        <v>43</v>
      </c>
      <c r="D110" s="15" t="s">
        <v>2666</v>
      </c>
      <c r="E110" s="16" t="s">
        <v>2068</v>
      </c>
      <c r="F110" s="14" t="s">
        <v>2655</v>
      </c>
      <c r="G110" s="17"/>
      <c r="H110" s="128" t="str">
        <f>Settings!$B$3&amp;".mit.wp.stl.scr.no.1"</f>
        <v>egy.mit.wp.stl.scr.no.1</v>
      </c>
      <c r="K110" s="139"/>
      <c r="L110" s="140">
        <f t="shared" ref="L110:AE110" si="9">L$92*EXP(-L$74*L$36)</f>
        <v>0</v>
      </c>
      <c r="M110" s="140">
        <f t="shared" si="9"/>
        <v>0</v>
      </c>
      <c r="N110" s="140">
        <f t="shared" si="9"/>
        <v>0</v>
      </c>
      <c r="O110" s="140">
        <f t="shared" si="9"/>
        <v>0</v>
      </c>
      <c r="P110" s="140">
        <f t="shared" si="9"/>
        <v>0</v>
      </c>
      <c r="Q110" s="140">
        <f t="shared" si="9"/>
        <v>0</v>
      </c>
      <c r="R110" s="140">
        <f t="shared" si="9"/>
        <v>0</v>
      </c>
      <c r="S110" s="140">
        <f t="shared" si="9"/>
        <v>0</v>
      </c>
      <c r="T110" s="140">
        <f t="shared" si="9"/>
        <v>0</v>
      </c>
      <c r="U110" s="140">
        <f t="shared" si="9"/>
        <v>0</v>
      </c>
      <c r="V110" s="140">
        <f t="shared" si="9"/>
        <v>0</v>
      </c>
      <c r="W110" s="140">
        <f t="shared" si="9"/>
        <v>0</v>
      </c>
      <c r="X110" s="140">
        <f t="shared" si="9"/>
        <v>0</v>
      </c>
      <c r="Y110" s="140">
        <f t="shared" si="9"/>
        <v>0</v>
      </c>
      <c r="Z110" s="140">
        <f t="shared" si="9"/>
        <v>0</v>
      </c>
      <c r="AA110" s="140">
        <f t="shared" si="9"/>
        <v>0</v>
      </c>
      <c r="AB110" s="140">
        <f t="shared" si="9"/>
        <v>0</v>
      </c>
      <c r="AC110" s="140">
        <f t="shared" si="9"/>
        <v>0</v>
      </c>
      <c r="AD110" s="140">
        <f t="shared" si="9"/>
        <v>0</v>
      </c>
      <c r="AE110" s="140">
        <f t="shared" si="9"/>
        <v>0</v>
      </c>
      <c r="AF110" s="141"/>
      <c r="AG110" s="141"/>
      <c r="AH110" s="141"/>
      <c r="AI110" s="141"/>
    </row>
    <row r="111" spans="1:35" customFormat="1" ht="14.25" x14ac:dyDescent="0.45">
      <c r="B111" s="14" t="s">
        <v>2586</v>
      </c>
      <c r="C111" s="14" t="s">
        <v>43</v>
      </c>
      <c r="D111" s="15" t="s">
        <v>2667</v>
      </c>
      <c r="E111" s="16" t="s">
        <v>2068</v>
      </c>
      <c r="F111" s="14" t="s">
        <v>2655</v>
      </c>
      <c r="G111" s="17"/>
      <c r="H111" s="128" t="str">
        <f>Settings!$B$3&amp;".mit.wp.stl.bof.no.1"</f>
        <v>egy.mit.wp.stl.bof.no.1</v>
      </c>
      <c r="K111" s="139"/>
      <c r="L111" s="140">
        <f t="shared" ref="L111:AE111" si="10">L$93*EXP(-L$75*L$37)</f>
        <v>0</v>
      </c>
      <c r="M111" s="140">
        <f t="shared" si="10"/>
        <v>0</v>
      </c>
      <c r="N111" s="140">
        <f t="shared" si="10"/>
        <v>0</v>
      </c>
      <c r="O111" s="140">
        <f t="shared" si="10"/>
        <v>0</v>
      </c>
      <c r="P111" s="140">
        <f t="shared" si="10"/>
        <v>0</v>
      </c>
      <c r="Q111" s="140">
        <f t="shared" si="10"/>
        <v>0</v>
      </c>
      <c r="R111" s="140">
        <f t="shared" si="10"/>
        <v>0</v>
      </c>
      <c r="S111" s="140">
        <f t="shared" si="10"/>
        <v>0</v>
      </c>
      <c r="T111" s="140">
        <f t="shared" si="10"/>
        <v>0</v>
      </c>
      <c r="U111" s="140">
        <f t="shared" si="10"/>
        <v>0</v>
      </c>
      <c r="V111" s="140">
        <f t="shared" si="10"/>
        <v>0</v>
      </c>
      <c r="W111" s="140">
        <f t="shared" si="10"/>
        <v>0</v>
      </c>
      <c r="X111" s="140">
        <f t="shared" si="10"/>
        <v>0</v>
      </c>
      <c r="Y111" s="140">
        <f t="shared" si="10"/>
        <v>0</v>
      </c>
      <c r="Z111" s="140">
        <f t="shared" si="10"/>
        <v>0</v>
      </c>
      <c r="AA111" s="140">
        <f t="shared" si="10"/>
        <v>0</v>
      </c>
      <c r="AB111" s="140">
        <f t="shared" si="10"/>
        <v>0</v>
      </c>
      <c r="AC111" s="140">
        <f t="shared" si="10"/>
        <v>0</v>
      </c>
      <c r="AD111" s="140">
        <f t="shared" si="10"/>
        <v>0</v>
      </c>
      <c r="AE111" s="140">
        <f t="shared" si="10"/>
        <v>0</v>
      </c>
      <c r="AF111" s="141"/>
      <c r="AG111" s="141"/>
      <c r="AH111" s="141"/>
      <c r="AI111" s="141"/>
    </row>
    <row r="112" spans="1:35" customFormat="1" ht="14.25" x14ac:dyDescent="0.45">
      <c r="B112" s="14" t="s">
        <v>2588</v>
      </c>
      <c r="C112" s="14" t="s">
        <v>113</v>
      </c>
      <c r="D112" s="15" t="s">
        <v>2668</v>
      </c>
      <c r="E112" s="16" t="s">
        <v>2068</v>
      </c>
      <c r="F112" s="14" t="s">
        <v>2655</v>
      </c>
      <c r="G112" s="17"/>
      <c r="H112" s="128" t="str">
        <f>Settings!$B$3&amp;".mit.wp.cmt.dry.no.1"</f>
        <v>egy.mit.wp.cmt.dry.no.1</v>
      </c>
      <c r="K112" s="139"/>
      <c r="L112" s="140">
        <f t="shared" ref="L112:AE112" si="11">L$94*EXP(-L$76*L$38)</f>
        <v>0</v>
      </c>
      <c r="M112" s="140">
        <f t="shared" si="11"/>
        <v>0</v>
      </c>
      <c r="N112" s="140">
        <f t="shared" si="11"/>
        <v>0</v>
      </c>
      <c r="O112" s="140">
        <f t="shared" si="11"/>
        <v>0</v>
      </c>
      <c r="P112" s="140">
        <f t="shared" si="11"/>
        <v>0</v>
      </c>
      <c r="Q112" s="140">
        <f t="shared" si="11"/>
        <v>0</v>
      </c>
      <c r="R112" s="140">
        <f t="shared" si="11"/>
        <v>0</v>
      </c>
      <c r="S112" s="140">
        <f t="shared" si="11"/>
        <v>0</v>
      </c>
      <c r="T112" s="140">
        <f t="shared" si="11"/>
        <v>0</v>
      </c>
      <c r="U112" s="140">
        <f t="shared" si="11"/>
        <v>0</v>
      </c>
      <c r="V112" s="140">
        <f t="shared" si="11"/>
        <v>0</v>
      </c>
      <c r="W112" s="140">
        <f t="shared" si="11"/>
        <v>0</v>
      </c>
      <c r="X112" s="140">
        <f t="shared" si="11"/>
        <v>0</v>
      </c>
      <c r="Y112" s="140">
        <f t="shared" si="11"/>
        <v>0</v>
      </c>
      <c r="Z112" s="140">
        <f t="shared" si="11"/>
        <v>0</v>
      </c>
      <c r="AA112" s="140">
        <f t="shared" si="11"/>
        <v>0</v>
      </c>
      <c r="AB112" s="140">
        <f t="shared" si="11"/>
        <v>0</v>
      </c>
      <c r="AC112" s="140">
        <f t="shared" si="11"/>
        <v>0</v>
      </c>
      <c r="AD112" s="140">
        <f t="shared" si="11"/>
        <v>0</v>
      </c>
      <c r="AE112" s="140">
        <f t="shared" si="11"/>
        <v>0</v>
      </c>
      <c r="AF112" s="141"/>
      <c r="AG112" s="141"/>
      <c r="AH112" s="141"/>
      <c r="AI112" s="141"/>
    </row>
    <row r="113" spans="1:35" customFormat="1" ht="14.25" x14ac:dyDescent="0.45">
      <c r="B113" s="14" t="s">
        <v>2590</v>
      </c>
      <c r="C113" s="14" t="s">
        <v>117</v>
      </c>
      <c r="D113" s="15" t="s">
        <v>2669</v>
      </c>
      <c r="E113" s="16" t="s">
        <v>2068</v>
      </c>
      <c r="F113" s="14" t="s">
        <v>2655</v>
      </c>
      <c r="G113" s="17"/>
      <c r="H113" s="128" t="str">
        <f>Settings!$B$3&amp;".mit.wp.frt.amc.no.1"</f>
        <v>egy.mit.wp.frt.amc.no.1</v>
      </c>
      <c r="K113" s="139"/>
      <c r="L113" s="140">
        <f t="shared" ref="L113:AE113" si="12">L$95*EXP(-L$77*L$39)</f>
        <v>0</v>
      </c>
      <c r="M113" s="140">
        <f t="shared" si="12"/>
        <v>0</v>
      </c>
      <c r="N113" s="140">
        <f t="shared" si="12"/>
        <v>0</v>
      </c>
      <c r="O113" s="140">
        <f t="shared" si="12"/>
        <v>0</v>
      </c>
      <c r="P113" s="140">
        <f t="shared" si="12"/>
        <v>0</v>
      </c>
      <c r="Q113" s="140">
        <f t="shared" si="12"/>
        <v>0</v>
      </c>
      <c r="R113" s="140">
        <f t="shared" si="12"/>
        <v>0</v>
      </c>
      <c r="S113" s="140">
        <f t="shared" si="12"/>
        <v>0</v>
      </c>
      <c r="T113" s="140">
        <f t="shared" si="12"/>
        <v>0</v>
      </c>
      <c r="U113" s="140">
        <f t="shared" si="12"/>
        <v>0</v>
      </c>
      <c r="V113" s="140">
        <f t="shared" si="12"/>
        <v>0</v>
      </c>
      <c r="W113" s="140">
        <f t="shared" si="12"/>
        <v>0</v>
      </c>
      <c r="X113" s="140">
        <f t="shared" si="12"/>
        <v>0</v>
      </c>
      <c r="Y113" s="140">
        <f t="shared" si="12"/>
        <v>0</v>
      </c>
      <c r="Z113" s="140">
        <f t="shared" si="12"/>
        <v>0</v>
      </c>
      <c r="AA113" s="140">
        <f t="shared" si="12"/>
        <v>0</v>
      </c>
      <c r="AB113" s="140">
        <f t="shared" si="12"/>
        <v>0</v>
      </c>
      <c r="AC113" s="140">
        <f t="shared" si="12"/>
        <v>0</v>
      </c>
      <c r="AD113" s="140">
        <f t="shared" si="12"/>
        <v>0</v>
      </c>
      <c r="AE113" s="140">
        <f t="shared" si="12"/>
        <v>0</v>
      </c>
      <c r="AF113" s="141"/>
      <c r="AG113" s="141"/>
      <c r="AH113" s="141"/>
      <c r="AI113" s="141"/>
    </row>
    <row r="114" spans="1:35" customFormat="1" ht="14.25" x14ac:dyDescent="0.45">
      <c r="B114" s="14" t="s">
        <v>2592</v>
      </c>
      <c r="C114" s="14" t="s">
        <v>117</v>
      </c>
      <c r="D114" s="15" t="s">
        <v>2670</v>
      </c>
      <c r="E114" s="16" t="s">
        <v>2068</v>
      </c>
      <c r="F114" s="14" t="s">
        <v>2655</v>
      </c>
      <c r="G114" s="17"/>
      <c r="H114" s="128" t="str">
        <f>Settings!$B$3&amp;".mit.wp.frt.ure.no.1"</f>
        <v>egy.mit.wp.frt.ure.no.1</v>
      </c>
      <c r="K114" s="139"/>
      <c r="L114" s="140">
        <f t="shared" ref="L114:AE114" si="13">L$96*EXP(-L$78*L$40)</f>
        <v>0</v>
      </c>
      <c r="M114" s="140">
        <f t="shared" si="13"/>
        <v>0</v>
      </c>
      <c r="N114" s="140">
        <f t="shared" si="13"/>
        <v>0</v>
      </c>
      <c r="O114" s="140">
        <f t="shared" si="13"/>
        <v>0</v>
      </c>
      <c r="P114" s="140">
        <f t="shared" si="13"/>
        <v>0</v>
      </c>
      <c r="Q114" s="140">
        <f t="shared" si="13"/>
        <v>0</v>
      </c>
      <c r="R114" s="140">
        <f t="shared" si="13"/>
        <v>0</v>
      </c>
      <c r="S114" s="140">
        <f t="shared" si="13"/>
        <v>0</v>
      </c>
      <c r="T114" s="140">
        <f t="shared" si="13"/>
        <v>0</v>
      </c>
      <c r="U114" s="140">
        <f t="shared" si="13"/>
        <v>0</v>
      </c>
      <c r="V114" s="140">
        <f t="shared" si="13"/>
        <v>0</v>
      </c>
      <c r="W114" s="140">
        <f t="shared" si="13"/>
        <v>0</v>
      </c>
      <c r="X114" s="140">
        <f t="shared" si="13"/>
        <v>0</v>
      </c>
      <c r="Y114" s="140">
        <f t="shared" si="13"/>
        <v>0</v>
      </c>
      <c r="Z114" s="140">
        <f t="shared" si="13"/>
        <v>0</v>
      </c>
      <c r="AA114" s="140">
        <f t="shared" si="13"/>
        <v>0</v>
      </c>
      <c r="AB114" s="140">
        <f t="shared" si="13"/>
        <v>0</v>
      </c>
      <c r="AC114" s="140">
        <f t="shared" si="13"/>
        <v>0</v>
      </c>
      <c r="AD114" s="140">
        <f t="shared" si="13"/>
        <v>0</v>
      </c>
      <c r="AE114" s="140">
        <f t="shared" si="13"/>
        <v>0</v>
      </c>
      <c r="AF114" s="141"/>
      <c r="AG114" s="141"/>
      <c r="AH114" s="141"/>
      <c r="AI114" s="141"/>
    </row>
    <row r="115" spans="1:35" customFormat="1" ht="14.25" x14ac:dyDescent="0.45">
      <c r="B115" s="14" t="s">
        <v>2594</v>
      </c>
      <c r="C115" s="14" t="s">
        <v>117</v>
      </c>
      <c r="D115" s="15" t="s">
        <v>2671</v>
      </c>
      <c r="E115" s="16" t="s">
        <v>2068</v>
      </c>
      <c r="F115" s="14" t="s">
        <v>2655</v>
      </c>
      <c r="G115" s="17"/>
      <c r="H115" s="128" t="str">
        <f>Settings!$B$3&amp;".mit.wp.frt.nit.no.1"</f>
        <v>egy.mit.wp.frt.nit.no.1</v>
      </c>
      <c r="K115" s="139"/>
      <c r="L115" s="140">
        <f t="shared" ref="L115:AE115" si="14">L$97*EXP(-L$79*L$41)</f>
        <v>0.57123661061347031</v>
      </c>
      <c r="M115" s="140">
        <f t="shared" si="14"/>
        <v>0.58380381604696674</v>
      </c>
      <c r="N115" s="140">
        <f t="shared" si="14"/>
        <v>0.5966475</v>
      </c>
      <c r="O115" s="140">
        <f t="shared" si="14"/>
        <v>0.60977374500000003</v>
      </c>
      <c r="P115" s="140">
        <f t="shared" si="14"/>
        <v>0.62318876738999995</v>
      </c>
      <c r="Q115" s="140">
        <f t="shared" si="14"/>
        <v>0.6368989202725801</v>
      </c>
      <c r="R115" s="140">
        <f t="shared" si="14"/>
        <v>0.65091069651857669</v>
      </c>
      <c r="S115" s="140">
        <f t="shared" si="14"/>
        <v>0.66523073184198556</v>
      </c>
      <c r="T115" s="140">
        <f t="shared" si="14"/>
        <v>0.67986580794250906</v>
      </c>
      <c r="U115" s="140">
        <f t="shared" si="14"/>
        <v>0.69482285571724434</v>
      </c>
      <c r="V115" s="140">
        <f t="shared" si="14"/>
        <v>0.7101089585430238</v>
      </c>
      <c r="W115" s="140">
        <f t="shared" si="14"/>
        <v>0.72573135563097024</v>
      </c>
      <c r="X115" s="140">
        <f t="shared" si="14"/>
        <v>0.74169744545485172</v>
      </c>
      <c r="Y115" s="140">
        <f t="shared" si="14"/>
        <v>0.75801478925485843</v>
      </c>
      <c r="Z115" s="140">
        <f t="shared" si="14"/>
        <v>0.7746911146184654</v>
      </c>
      <c r="AA115" s="140">
        <f t="shared" si="14"/>
        <v>0.79173431914007153</v>
      </c>
      <c r="AB115" s="140">
        <f t="shared" si="14"/>
        <v>0.8091524741611531</v>
      </c>
      <c r="AC115" s="140">
        <f t="shared" si="14"/>
        <v>0.8269538285926985</v>
      </c>
      <c r="AD115" s="140">
        <f t="shared" si="14"/>
        <v>0.84514681282173787</v>
      </c>
      <c r="AE115" s="140">
        <f t="shared" si="14"/>
        <v>0.8637400427038161</v>
      </c>
      <c r="AF115" s="141"/>
      <c r="AG115" s="141"/>
      <c r="AH115" s="141"/>
      <c r="AI115" s="141"/>
    </row>
    <row r="116" spans="1:35" customFormat="1" ht="14.25" x14ac:dyDescent="0.45">
      <c r="B116" s="14" t="s">
        <v>2596</v>
      </c>
      <c r="C116" s="14" t="s">
        <v>115</v>
      </c>
      <c r="D116" s="15" t="s">
        <v>2672</v>
      </c>
      <c r="E116" s="16" t="s">
        <v>2068</v>
      </c>
      <c r="F116" s="14" t="s">
        <v>2655</v>
      </c>
      <c r="G116" s="17"/>
      <c r="H116" s="128" t="str">
        <f>Settings!$B$3&amp;".mit.wp.alu.prp.no.1"</f>
        <v>egy.mit.wp.alu.prp.no.1</v>
      </c>
      <c r="K116" s="139"/>
      <c r="L116" s="140">
        <f t="shared" ref="L116:AE116" si="15">L$98*EXP(-L$80*L$42)</f>
        <v>0.20862065092877519</v>
      </c>
      <c r="M116" s="140">
        <f t="shared" si="15"/>
        <v>0.22009478672985783</v>
      </c>
      <c r="N116" s="140">
        <f t="shared" si="15"/>
        <v>0.23220000000000002</v>
      </c>
      <c r="O116" s="140">
        <f t="shared" si="15"/>
        <v>0.24497099999999999</v>
      </c>
      <c r="P116" s="140">
        <f t="shared" si="15"/>
        <v>0.25844440499999999</v>
      </c>
      <c r="Q116" s="140">
        <f t="shared" si="15"/>
        <v>0.27265884727499995</v>
      </c>
      <c r="R116" s="140">
        <f t="shared" si="15"/>
        <v>0.28765508387512501</v>
      </c>
      <c r="S116" s="140">
        <f t="shared" si="15"/>
        <v>0.30347611348825682</v>
      </c>
      <c r="T116" s="140">
        <f t="shared" si="15"/>
        <v>0.32016729973011093</v>
      </c>
      <c r="U116" s="140">
        <f t="shared" si="15"/>
        <v>0.33777650121526698</v>
      </c>
      <c r="V116" s="140">
        <f t="shared" si="15"/>
        <v>0.35635420878210672</v>
      </c>
      <c r="W116" s="140">
        <f t="shared" si="15"/>
        <v>0.37595369026512254</v>
      </c>
      <c r="X116" s="140">
        <f t="shared" si="15"/>
        <v>0.39663114322970433</v>
      </c>
      <c r="Y116" s="140">
        <f t="shared" si="15"/>
        <v>0.41844585610733798</v>
      </c>
      <c r="Z116" s="140">
        <f t="shared" si="15"/>
        <v>0.44146037819324158</v>
      </c>
      <c r="AA116" s="140">
        <f t="shared" si="15"/>
        <v>0.46574069899386977</v>
      </c>
      <c r="AB116" s="140">
        <f t="shared" si="15"/>
        <v>0.49135643743853269</v>
      </c>
      <c r="AC116" s="140">
        <f t="shared" si="15"/>
        <v>0.51838104149765185</v>
      </c>
      <c r="AD116" s="140">
        <f t="shared" si="15"/>
        <v>0.5468919987800227</v>
      </c>
      <c r="AE116" s="140">
        <f t="shared" si="15"/>
        <v>0.57697105871292398</v>
      </c>
      <c r="AF116" s="141"/>
      <c r="AG116" s="141"/>
      <c r="AH116" s="141"/>
      <c r="AI116" s="141"/>
    </row>
    <row r="117" spans="1:35" x14ac:dyDescent="0.35"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</row>
    <row r="118" spans="1:35" customFormat="1" ht="14.25" x14ac:dyDescent="0.45">
      <c r="A118" s="11"/>
      <c r="B118" s="6"/>
      <c r="C118" s="7" t="s">
        <v>2673</v>
      </c>
      <c r="D118" s="6" t="s">
        <v>1488</v>
      </c>
      <c r="E118" s="7" t="s">
        <v>35</v>
      </c>
      <c r="F118" s="7" t="s">
        <v>45</v>
      </c>
      <c r="G118" s="7" t="s">
        <v>37</v>
      </c>
      <c r="H118" s="12" t="s">
        <v>38</v>
      </c>
      <c r="I118" s="6" t="s">
        <v>39</v>
      </c>
      <c r="J118" s="48">
        <v>1</v>
      </c>
      <c r="K118" s="137">
        <v>2021</v>
      </c>
      <c r="L118" s="138">
        <v>2022</v>
      </c>
      <c r="M118" s="137">
        <v>2023</v>
      </c>
      <c r="N118" s="137">
        <v>2024</v>
      </c>
      <c r="O118" s="137">
        <v>2025</v>
      </c>
      <c r="P118" s="137">
        <v>2026</v>
      </c>
      <c r="Q118" s="137">
        <v>2027</v>
      </c>
      <c r="R118" s="137">
        <v>2028</v>
      </c>
      <c r="S118" s="137">
        <v>2029</v>
      </c>
      <c r="T118" s="137">
        <v>2030</v>
      </c>
      <c r="U118" s="137">
        <v>2031</v>
      </c>
      <c r="V118" s="137">
        <v>2032</v>
      </c>
      <c r="W118" s="137">
        <v>2033</v>
      </c>
      <c r="X118" s="137">
        <v>2034</v>
      </c>
      <c r="Y118" s="137">
        <v>2035</v>
      </c>
      <c r="Z118" s="137">
        <v>2036</v>
      </c>
      <c r="AA118" s="137">
        <v>2037</v>
      </c>
      <c r="AB118" s="137">
        <v>2038</v>
      </c>
      <c r="AC118" s="137">
        <v>2039</v>
      </c>
      <c r="AD118" s="137">
        <v>2040</v>
      </c>
      <c r="AE118" s="137">
        <v>2041</v>
      </c>
      <c r="AF118" s="137">
        <v>2042</v>
      </c>
      <c r="AG118" s="137">
        <v>2043</v>
      </c>
      <c r="AH118" s="137">
        <v>2044</v>
      </c>
      <c r="AI118" s="137">
        <v>2045</v>
      </c>
    </row>
    <row r="119" spans="1:35" customFormat="1" ht="14.25" x14ac:dyDescent="0.45">
      <c r="B119" s="14" t="s">
        <v>2674</v>
      </c>
      <c r="C119" s="14" t="s">
        <v>2675</v>
      </c>
      <c r="D119" s="15" t="s">
        <v>2676</v>
      </c>
      <c r="E119" s="16" t="s">
        <v>1854</v>
      </c>
      <c r="F119" s="14" t="s">
        <v>2674</v>
      </c>
      <c r="G119" s="17"/>
      <c r="H119" s="128" t="str">
        <f>Settings!$B$3&amp;".mit.revf0.cbam.tot.1"</f>
        <v>egy.mit.revf0.cbam.tot.1</v>
      </c>
      <c r="I119" t="s">
        <v>2677</v>
      </c>
      <c r="K119" s="139"/>
      <c r="L119" s="143">
        <f>SUMPRODUCT(L$45:L$52*Mitigation_Industry!$I$330:$I$337*L$17:L$24)</f>
        <v>0</v>
      </c>
      <c r="M119" s="143">
        <f>SUMPRODUCT(M$45:M$52*Mitigation_Industry!$I$330:$I$337*M$17:M$24)</f>
        <v>0</v>
      </c>
      <c r="N119" s="143">
        <f>SUMPRODUCT(N$45:N$52*Mitigation_Industry!$I$330:$I$337*N$17:N$24)</f>
        <v>0</v>
      </c>
      <c r="O119" s="143">
        <f>SUMPRODUCT(O$45:O$52*Mitigation_Industry!$I$330:$I$337*O$17:O$24)</f>
        <v>0</v>
      </c>
      <c r="P119" s="143">
        <f>SUMPRODUCT(P$45:P$52*Mitigation_Industry!$I$330:$I$337*P$17:P$24)</f>
        <v>0</v>
      </c>
      <c r="Q119" s="143">
        <f>SUMPRODUCT(Q$45:Q$52*Mitigation_Industry!$I$330:$I$337*Q$17:Q$24)</f>
        <v>0</v>
      </c>
      <c r="R119" s="143">
        <f>SUMPRODUCT(R$45:R$52*Mitigation_Industry!$I$330:$I$337*R$17:R$24)</f>
        <v>0</v>
      </c>
      <c r="S119" s="143">
        <f>SUMPRODUCT(S$45:S$52*Mitigation_Industry!$I$330:$I$337*S$17:S$24)</f>
        <v>0</v>
      </c>
      <c r="T119" s="143">
        <f>SUMPRODUCT(T$45:T$52*Mitigation_Industry!$I$330:$I$337*T$17:T$24)</f>
        <v>0</v>
      </c>
      <c r="U119" s="143">
        <f>SUMPRODUCT(U$45:U$52*Mitigation_Industry!$I$330:$I$337*U$17:U$24)</f>
        <v>0</v>
      </c>
      <c r="V119" s="143">
        <f>SUMPRODUCT(V$45:V$52*Mitigation_Industry!$I$330:$I$337*V$17:V$24)</f>
        <v>0</v>
      </c>
      <c r="W119" s="143">
        <f>SUMPRODUCT(W$45:W$52*Mitigation_Industry!$I$330:$I$337*W$17:W$24)</f>
        <v>0</v>
      </c>
      <c r="X119" s="143">
        <f>SUMPRODUCT(X$45:X$52*Mitigation_Industry!$I$330:$I$337*X$17:X$24)</f>
        <v>0</v>
      </c>
      <c r="Y119" s="143">
        <f>SUMPRODUCT(Y$45:Y$52*Mitigation_Industry!$I$330:$I$337*Y$17:Y$24)</f>
        <v>0</v>
      </c>
      <c r="Z119" s="143">
        <f>SUMPRODUCT(Z$45:Z$52*Mitigation_Industry!$I$330:$I$337*Z$17:Z$24)</f>
        <v>0</v>
      </c>
      <c r="AA119" s="143">
        <f>SUMPRODUCT(AA$45:AA$52*Mitigation_Industry!$I$330:$I$337*AA$17:AA$24)</f>
        <v>0</v>
      </c>
      <c r="AB119" s="143">
        <f>SUMPRODUCT(AB$45:AB$52*Mitigation_Industry!$I$330:$I$337*AB$17:AB$24)</f>
        <v>0</v>
      </c>
      <c r="AC119" s="143">
        <f>SUMPRODUCT(AC$45:AC$52*Mitigation_Industry!$I$330:$I$337*AC$17:AC$24)</f>
        <v>0</v>
      </c>
      <c r="AD119" s="143">
        <f>SUMPRODUCT(AD$45:AD$52*Mitigation_Industry!$I$330:$I$337*AD$17:AD$24)</f>
        <v>0</v>
      </c>
      <c r="AE119" s="143">
        <f>SUMPRODUCT(AE$45:AE$52*Mitigation_Industry!$I$330:$I$337*AE$17:AE$24)</f>
        <v>0</v>
      </c>
      <c r="AF119" s="141"/>
      <c r="AG119" s="141"/>
      <c r="AH119" s="141"/>
      <c r="AI119" s="141"/>
    </row>
    <row r="120" spans="1:35" customFormat="1" ht="14.25" x14ac:dyDescent="0.45">
      <c r="B120" s="14" t="s">
        <v>2678</v>
      </c>
      <c r="C120" s="14" t="s">
        <v>2675</v>
      </c>
      <c r="D120" s="15" t="s">
        <v>2679</v>
      </c>
      <c r="E120" s="16" t="s">
        <v>1854</v>
      </c>
      <c r="F120" s="14" t="s">
        <v>2678</v>
      </c>
      <c r="G120" s="17"/>
      <c r="H120" s="128" t="str">
        <f>Settings!$B$3&amp;".mit.revp0.cbam.tot.1"</f>
        <v>egy.mit.revp0.cbam.tot.1</v>
      </c>
      <c r="I120" t="s">
        <v>2680</v>
      </c>
      <c r="K120" s="139"/>
      <c r="L120" s="143">
        <f>SUMPRODUCT(Mitigation_Industry!L$341:L$348*Mitigation_Industry!$J$330:$J$337*L$27:L$34)-SUMPRODUCT((L$83:L$98-L$101:L$116)*L$27:L$42)</f>
        <v>0</v>
      </c>
      <c r="M120" s="143">
        <f>SUMPRODUCT(Mitigation_Industry!M$341:M$348*Mitigation_Industry!$J$330:$J$337*M$27:M$34)-SUMPRODUCT((M$83:M$98-M$101:M$116)*M$27:M$42)</f>
        <v>0</v>
      </c>
      <c r="N120" s="143">
        <f>SUMPRODUCT(Mitigation_Industry!N$341:N$348*Mitigation_Industry!$J$330:$J$337*N$27:N$34)-SUMPRODUCT((N$83:N$98-N$101:N$116)*N$27:N$42)</f>
        <v>0</v>
      </c>
      <c r="O120" s="143">
        <f>SUMPRODUCT(Mitigation_Industry!O$341:O$348*Mitigation_Industry!$J$330:$J$337*O$27:O$34)-SUMPRODUCT((O$83:O$98-O$101:O$116)*O$27:O$42)</f>
        <v>0</v>
      </c>
      <c r="P120" s="143">
        <f>SUMPRODUCT(Mitigation_Industry!P$341:P$348*Mitigation_Industry!$J$330:$J$337*P$27:P$34)-SUMPRODUCT((P$83:P$98-P$101:P$116)*P$27:P$42)</f>
        <v>0</v>
      </c>
      <c r="Q120" s="143">
        <f>SUMPRODUCT(Mitigation_Industry!Q$341:Q$348*Mitigation_Industry!$J$330:$J$337*Q$27:Q$34)-SUMPRODUCT((Q$83:Q$98-Q$101:Q$116)*Q$27:Q$42)</f>
        <v>0</v>
      </c>
      <c r="R120" s="143">
        <f>SUMPRODUCT(Mitigation_Industry!R$341:R$348*Mitigation_Industry!$J$330:$J$337*R$27:R$34)-SUMPRODUCT((R$83:R$98-R$101:R$116)*R$27:R$42)</f>
        <v>0</v>
      </c>
      <c r="S120" s="143">
        <f>SUMPRODUCT(Mitigation_Industry!S$341:S$348*Mitigation_Industry!$J$330:$J$337*S$27:S$34)-SUMPRODUCT((S$83:S$98-S$101:S$116)*S$27:S$42)</f>
        <v>0</v>
      </c>
      <c r="T120" s="143">
        <f>SUMPRODUCT(Mitigation_Industry!T$341:T$348*Mitigation_Industry!$J$330:$J$337*T$27:T$34)-SUMPRODUCT((T$83:T$98-T$101:T$116)*T$27:T$42)</f>
        <v>0</v>
      </c>
      <c r="U120" s="143">
        <f>SUMPRODUCT(Mitigation_Industry!U$341:U$348*Mitigation_Industry!$J$330:$J$337*U$27:U$34)-SUMPRODUCT((U$83:U$98-U$101:U$116)*U$27:U$42)</f>
        <v>0</v>
      </c>
      <c r="V120" s="143">
        <f>SUMPRODUCT(Mitigation_Industry!V$341:V$348*Mitigation_Industry!$J$330:$J$337*V$27:V$34)-SUMPRODUCT((V$83:V$98-V$101:V$116)*V$27:V$42)</f>
        <v>0</v>
      </c>
      <c r="W120" s="143">
        <f>SUMPRODUCT(Mitigation_Industry!W$341:W$348*Mitigation_Industry!$J$330:$J$337*W$27:W$34)-SUMPRODUCT((W$83:W$98-W$101:W$116)*W$27:W$42)</f>
        <v>0</v>
      </c>
      <c r="X120" s="143">
        <f>SUMPRODUCT(Mitigation_Industry!X$341:X$348*Mitigation_Industry!$J$330:$J$337*X$27:X$34)-SUMPRODUCT((X$83:X$98-X$101:X$116)*X$27:X$42)</f>
        <v>0</v>
      </c>
      <c r="Y120" s="143">
        <f>SUMPRODUCT(Mitigation_Industry!Y$341:Y$348*Mitigation_Industry!$J$330:$J$337*Y$27:Y$34)-SUMPRODUCT((Y$83:Y$98-Y$101:Y$116)*Y$27:Y$42)</f>
        <v>0</v>
      </c>
      <c r="Z120" s="143">
        <f>SUMPRODUCT(Mitigation_Industry!Z$341:Z$348*Mitigation_Industry!$J$330:$J$337*Z$27:Z$34)-SUMPRODUCT((Z$83:Z$98-Z$101:Z$116)*Z$27:Z$42)</f>
        <v>0</v>
      </c>
      <c r="AA120" s="143">
        <f>SUMPRODUCT(Mitigation_Industry!AA$341:AA$348*Mitigation_Industry!$J$330:$J$337*AA$27:AA$34)-SUMPRODUCT((AA$83:AA$98-AA$101:AA$116)*AA$27:AA$42)</f>
        <v>0</v>
      </c>
      <c r="AB120" s="143">
        <f>SUMPRODUCT(Mitigation_Industry!AB$341:AB$348*Mitigation_Industry!$J$330:$J$337*AB$27:AB$34)-SUMPRODUCT((AB$83:AB$98-AB$101:AB$116)*AB$27:AB$42)</f>
        <v>0</v>
      </c>
      <c r="AC120" s="143">
        <f>SUMPRODUCT(Mitigation_Industry!AC$341:AC$348*Mitigation_Industry!$J$330:$J$337*AC$27:AC$34)-SUMPRODUCT((AC$83:AC$98-AC$101:AC$116)*AC$27:AC$42)</f>
        <v>0</v>
      </c>
      <c r="AD120" s="143">
        <f>SUMPRODUCT(Mitigation_Industry!AD$341:AD$348*Mitigation_Industry!$J$330:$J$337*AD$27:AD$34)-SUMPRODUCT((AD$83:AD$98-AD$101:AD$116)*AD$27:AD$42)</f>
        <v>0</v>
      </c>
      <c r="AE120" s="143">
        <f>SUMPRODUCT(Mitigation_Industry!AE$341:AE$348*Mitigation_Industry!$J$330:$J$337*AE$27:AE$34)-SUMPRODUCT((AE$83:AE$98-AE$101:AE$116)*AE$27:AE$42)</f>
        <v>0</v>
      </c>
      <c r="AF120" s="141"/>
      <c r="AG120" s="141"/>
      <c r="AH120" s="141"/>
      <c r="AI120" s="141"/>
    </row>
    <row r="121" spans="1:35" customFormat="1" ht="14.25" x14ac:dyDescent="0.45">
      <c r="B121" s="14" t="s">
        <v>2681</v>
      </c>
      <c r="C121" s="14" t="s">
        <v>2675</v>
      </c>
      <c r="D121" s="15" t="s">
        <v>2682</v>
      </c>
      <c r="E121" s="16" t="s">
        <v>1854</v>
      </c>
      <c r="F121" s="14" t="s">
        <v>2681</v>
      </c>
      <c r="G121" s="17"/>
      <c r="H121" s="128" t="str">
        <f>Settings!$B$3&amp;".mit.rev0.cbam.tot.1"</f>
        <v>egy.mit.rev0.cbam.tot.1</v>
      </c>
      <c r="I121" t="s">
        <v>2683</v>
      </c>
      <c r="K121" s="139"/>
      <c r="L121" s="143">
        <f t="shared" ref="L121:AE121" si="16">L119+L120</f>
        <v>0</v>
      </c>
      <c r="M121" s="143">
        <f t="shared" si="16"/>
        <v>0</v>
      </c>
      <c r="N121" s="143">
        <f t="shared" si="16"/>
        <v>0</v>
      </c>
      <c r="O121" s="143">
        <f t="shared" si="16"/>
        <v>0</v>
      </c>
      <c r="P121" s="143">
        <f t="shared" si="16"/>
        <v>0</v>
      </c>
      <c r="Q121" s="143">
        <f t="shared" si="16"/>
        <v>0</v>
      </c>
      <c r="R121" s="143">
        <f t="shared" si="16"/>
        <v>0</v>
      </c>
      <c r="S121" s="143">
        <f t="shared" si="16"/>
        <v>0</v>
      </c>
      <c r="T121" s="143">
        <f t="shared" si="16"/>
        <v>0</v>
      </c>
      <c r="U121" s="143">
        <f t="shared" si="16"/>
        <v>0</v>
      </c>
      <c r="V121" s="143">
        <f t="shared" si="16"/>
        <v>0</v>
      </c>
      <c r="W121" s="143">
        <f t="shared" si="16"/>
        <v>0</v>
      </c>
      <c r="X121" s="143">
        <f t="shared" si="16"/>
        <v>0</v>
      </c>
      <c r="Y121" s="143">
        <f t="shared" si="16"/>
        <v>0</v>
      </c>
      <c r="Z121" s="143">
        <f t="shared" si="16"/>
        <v>0</v>
      </c>
      <c r="AA121" s="143">
        <f t="shared" si="16"/>
        <v>0</v>
      </c>
      <c r="AB121" s="143">
        <f t="shared" si="16"/>
        <v>0</v>
      </c>
      <c r="AC121" s="143">
        <f t="shared" si="16"/>
        <v>0</v>
      </c>
      <c r="AD121" s="143">
        <f t="shared" si="16"/>
        <v>0</v>
      </c>
      <c r="AE121" s="143">
        <f t="shared" si="16"/>
        <v>0</v>
      </c>
      <c r="AF121" s="141"/>
      <c r="AG121" s="141"/>
      <c r="AH121" s="141"/>
      <c r="AI121" s="141"/>
    </row>
    <row r="122" spans="1:35" customFormat="1" ht="14.25" x14ac:dyDescent="0.45">
      <c r="B122" s="14" t="s">
        <v>2673</v>
      </c>
      <c r="C122" s="14" t="s">
        <v>2675</v>
      </c>
      <c r="D122" s="15" t="s">
        <v>2684</v>
      </c>
      <c r="E122" s="16" t="s">
        <v>1854</v>
      </c>
      <c r="F122" s="14" t="s">
        <v>2673</v>
      </c>
      <c r="G122" s="17"/>
      <c r="H122" s="128" t="str">
        <f>Settings!$B$3&amp;".mit.fund.cbam.tot.1"</f>
        <v>egy.mit.fund.cbam.tot.1</v>
      </c>
      <c r="I122" t="s">
        <v>2685</v>
      </c>
      <c r="K122" s="139"/>
      <c r="L122" s="143">
        <f t="shared" ref="L122:AE122" si="17">L$11*L121</f>
        <v>0</v>
      </c>
      <c r="M122" s="143">
        <f t="shared" si="17"/>
        <v>0</v>
      </c>
      <c r="N122" s="143">
        <f t="shared" si="17"/>
        <v>0</v>
      </c>
      <c r="O122" s="143">
        <f t="shared" si="17"/>
        <v>0</v>
      </c>
      <c r="P122" s="143">
        <f t="shared" si="17"/>
        <v>0</v>
      </c>
      <c r="Q122" s="143">
        <f t="shared" si="17"/>
        <v>0</v>
      </c>
      <c r="R122" s="143">
        <f t="shared" si="17"/>
        <v>0</v>
      </c>
      <c r="S122" s="143">
        <f t="shared" si="17"/>
        <v>0</v>
      </c>
      <c r="T122" s="143">
        <f t="shared" si="17"/>
        <v>0</v>
      </c>
      <c r="U122" s="143">
        <f t="shared" si="17"/>
        <v>0</v>
      </c>
      <c r="V122" s="143">
        <f t="shared" si="17"/>
        <v>0</v>
      </c>
      <c r="W122" s="143">
        <f t="shared" si="17"/>
        <v>0</v>
      </c>
      <c r="X122" s="143">
        <f t="shared" si="17"/>
        <v>0</v>
      </c>
      <c r="Y122" s="143">
        <f t="shared" si="17"/>
        <v>0</v>
      </c>
      <c r="Z122" s="143">
        <f t="shared" si="17"/>
        <v>0</v>
      </c>
      <c r="AA122" s="143">
        <f t="shared" si="17"/>
        <v>0</v>
      </c>
      <c r="AB122" s="143">
        <f t="shared" si="17"/>
        <v>0</v>
      </c>
      <c r="AC122" s="143">
        <f t="shared" si="17"/>
        <v>0</v>
      </c>
      <c r="AD122" s="143">
        <f t="shared" si="17"/>
        <v>0</v>
      </c>
      <c r="AE122" s="143">
        <f t="shared" si="17"/>
        <v>0</v>
      </c>
      <c r="AF122" s="141"/>
      <c r="AG122" s="141"/>
      <c r="AH122" s="141"/>
      <c r="AI122" s="141"/>
    </row>
    <row r="123" spans="1:35" customFormat="1" ht="14.25" x14ac:dyDescent="0.45">
      <c r="B123" s="14" t="s">
        <v>2686</v>
      </c>
      <c r="C123" s="14" t="s">
        <v>2675</v>
      </c>
      <c r="D123" s="15" t="s">
        <v>2687</v>
      </c>
      <c r="E123" s="16" t="s">
        <v>2068</v>
      </c>
      <c r="F123" s="14" t="s">
        <v>2686</v>
      </c>
      <c r="G123" s="17"/>
      <c r="H123" s="128" t="str">
        <f>Settings!$B$3&amp;".mit.emrp0.cbam.tot.1"</f>
        <v>egy.mit.emrp0.cbam.tot.1</v>
      </c>
      <c r="I123" t="s">
        <v>2688</v>
      </c>
      <c r="K123" s="139"/>
      <c r="L123" s="140">
        <f t="shared" ref="L123:AE123" si="18">SUM(L$101:L$116)-SUM(L$83:L$98)</f>
        <v>0</v>
      </c>
      <c r="M123" s="140">
        <f t="shared" si="18"/>
        <v>0</v>
      </c>
      <c r="N123" s="140">
        <f t="shared" si="18"/>
        <v>0</v>
      </c>
      <c r="O123" s="140">
        <f t="shared" si="18"/>
        <v>0</v>
      </c>
      <c r="P123" s="140">
        <f t="shared" si="18"/>
        <v>0</v>
      </c>
      <c r="Q123" s="140">
        <f t="shared" si="18"/>
        <v>0</v>
      </c>
      <c r="R123" s="140">
        <f t="shared" si="18"/>
        <v>0</v>
      </c>
      <c r="S123" s="140">
        <f t="shared" si="18"/>
        <v>0</v>
      </c>
      <c r="T123" s="140">
        <f t="shared" si="18"/>
        <v>0</v>
      </c>
      <c r="U123" s="140">
        <f t="shared" si="18"/>
        <v>0</v>
      </c>
      <c r="V123" s="140">
        <f t="shared" si="18"/>
        <v>0</v>
      </c>
      <c r="W123" s="140">
        <f t="shared" si="18"/>
        <v>0</v>
      </c>
      <c r="X123" s="140">
        <f t="shared" si="18"/>
        <v>0</v>
      </c>
      <c r="Y123" s="140">
        <f t="shared" si="18"/>
        <v>0</v>
      </c>
      <c r="Z123" s="140">
        <f t="shared" si="18"/>
        <v>0</v>
      </c>
      <c r="AA123" s="140">
        <f t="shared" si="18"/>
        <v>0</v>
      </c>
      <c r="AB123" s="140">
        <f t="shared" si="18"/>
        <v>0</v>
      </c>
      <c r="AC123" s="140">
        <f t="shared" si="18"/>
        <v>0</v>
      </c>
      <c r="AD123" s="140">
        <f t="shared" si="18"/>
        <v>0</v>
      </c>
      <c r="AE123" s="140">
        <f t="shared" si="18"/>
        <v>0</v>
      </c>
      <c r="AF123" s="141"/>
      <c r="AG123" s="141"/>
      <c r="AH123" s="141"/>
      <c r="AI123" s="141"/>
    </row>
    <row r="124" spans="1:35" customFormat="1" ht="14.25" x14ac:dyDescent="0.45">
      <c r="B124" s="14" t="s">
        <v>2689</v>
      </c>
      <c r="C124" s="14" t="s">
        <v>2675</v>
      </c>
      <c r="D124" s="15" t="s">
        <v>2690</v>
      </c>
      <c r="E124" s="16" t="s">
        <v>2691</v>
      </c>
      <c r="F124" s="14" t="s">
        <v>2689</v>
      </c>
      <c r="G124" s="17"/>
      <c r="H124" s="17"/>
      <c r="I124" t="s">
        <v>2692</v>
      </c>
      <c r="K124" s="139"/>
      <c r="L124" s="142">
        <f t="shared" ref="L124:AE124" si="19">SUMPRODUCT(L$45:L$52*L$55:L$62)+SUMPRODUCT(L$101:L$116*L$65:L$80)</f>
        <v>0.11343980799323071</v>
      </c>
      <c r="M124" s="142">
        <f t="shared" si="19"/>
        <v>0.11712329976149224</v>
      </c>
      <c r="N124" s="142">
        <f t="shared" si="19"/>
        <v>0.12092889969856549</v>
      </c>
      <c r="O124" s="142">
        <f t="shared" si="19"/>
        <v>0.12486074250600086</v>
      </c>
      <c r="P124" s="142">
        <f t="shared" si="19"/>
        <v>0.1289231063134835</v>
      </c>
      <c r="Q124" s="142">
        <f t="shared" si="19"/>
        <v>0.13312041780294456</v>
      </c>
      <c r="R124" s="142">
        <f t="shared" si="19"/>
        <v>0.13745725752256618</v>
      </c>
      <c r="S124" s="142">
        <f t="shared" si="19"/>
        <v>0.14193836539803825</v>
      </c>
      <c r="T124" s="142">
        <f t="shared" si="19"/>
        <v>0.14656864644872269</v>
      </c>
      <c r="U124" s="142">
        <f t="shared" si="19"/>
        <v>0.15135317671669662</v>
      </c>
      <c r="V124" s="142">
        <f t="shared" si="19"/>
        <v>0.1562972094169694</v>
      </c>
      <c r="W124" s="142">
        <f t="shared" si="19"/>
        <v>0.1614061813175115</v>
      </c>
      <c r="X124" s="142">
        <f t="shared" si="19"/>
        <v>0.16668571935808552</v>
      </c>
      <c r="Y124" s="142">
        <f t="shared" si="19"/>
        <v>0.17214164751724373</v>
      </c>
      <c r="Z124" s="142">
        <f t="shared" si="19"/>
        <v>0.17777999393723931</v>
      </c>
      <c r="AA124" s="142">
        <f t="shared" si="19"/>
        <v>0.18360699831700622</v>
      </c>
      <c r="AB124" s="142">
        <f t="shared" si="19"/>
        <v>0.18962911958377954</v>
      </c>
      <c r="AC124" s="142">
        <f t="shared" si="19"/>
        <v>0.19585304385437208</v>
      </c>
      <c r="AD124" s="142">
        <f t="shared" si="19"/>
        <v>0.20228569269757843</v>
      </c>
      <c r="AE124" s="142">
        <f t="shared" si="19"/>
        <v>0.20893423170965852</v>
      </c>
      <c r="AF124" s="141"/>
      <c r="AG124" s="141"/>
      <c r="AH124" s="141"/>
      <c r="AI124" s="141"/>
    </row>
    <row r="125" spans="1:35" customFormat="1" ht="14.25" x14ac:dyDescent="0.45">
      <c r="B125" s="14" t="s">
        <v>2693</v>
      </c>
      <c r="C125" s="14" t="s">
        <v>2675</v>
      </c>
      <c r="D125" s="15" t="s">
        <v>2694</v>
      </c>
      <c r="E125" s="16" t="s">
        <v>1398</v>
      </c>
      <c r="F125" s="14" t="s">
        <v>2693</v>
      </c>
      <c r="G125" s="17"/>
      <c r="H125" s="17"/>
      <c r="K125" s="139"/>
      <c r="L125" s="140">
        <f t="shared" ref="L125:AE125" si="20">IF(OR(L$122&lt;=0,L$124&lt;=0),0,MIN($F$5,SQRT(L$122/L$124*IF($F$4="COST",2,1))))</f>
        <v>0</v>
      </c>
      <c r="M125" s="140">
        <f t="shared" si="20"/>
        <v>0</v>
      </c>
      <c r="N125" s="140">
        <f t="shared" si="20"/>
        <v>0</v>
      </c>
      <c r="O125" s="140">
        <f t="shared" si="20"/>
        <v>0</v>
      </c>
      <c r="P125" s="140">
        <f t="shared" si="20"/>
        <v>0</v>
      </c>
      <c r="Q125" s="140">
        <f t="shared" si="20"/>
        <v>0</v>
      </c>
      <c r="R125" s="140">
        <f t="shared" si="20"/>
        <v>0</v>
      </c>
      <c r="S125" s="140">
        <f t="shared" si="20"/>
        <v>0</v>
      </c>
      <c r="T125" s="140">
        <f t="shared" si="20"/>
        <v>0</v>
      </c>
      <c r="U125" s="140">
        <f t="shared" si="20"/>
        <v>0</v>
      </c>
      <c r="V125" s="140">
        <f t="shared" si="20"/>
        <v>0</v>
      </c>
      <c r="W125" s="140">
        <f t="shared" si="20"/>
        <v>0</v>
      </c>
      <c r="X125" s="140">
        <f t="shared" si="20"/>
        <v>0</v>
      </c>
      <c r="Y125" s="140">
        <f t="shared" si="20"/>
        <v>0</v>
      </c>
      <c r="Z125" s="140">
        <f t="shared" si="20"/>
        <v>0</v>
      </c>
      <c r="AA125" s="140">
        <f t="shared" si="20"/>
        <v>0</v>
      </c>
      <c r="AB125" s="140">
        <f t="shared" si="20"/>
        <v>0</v>
      </c>
      <c r="AC125" s="140">
        <f t="shared" si="20"/>
        <v>0</v>
      </c>
      <c r="AD125" s="140">
        <f t="shared" si="20"/>
        <v>0</v>
      </c>
      <c r="AE125" s="140">
        <f t="shared" si="20"/>
        <v>0</v>
      </c>
      <c r="AF125" s="141"/>
      <c r="AG125" s="141"/>
      <c r="AH125" s="141"/>
      <c r="AI125" s="141"/>
    </row>
    <row r="126" spans="1:35" x14ac:dyDescent="0.35"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</row>
    <row r="127" spans="1:35" customFormat="1" ht="14.25" x14ac:dyDescent="0.45">
      <c r="A127" s="11"/>
      <c r="B127" s="6"/>
      <c r="C127" s="7" t="s">
        <v>2695</v>
      </c>
      <c r="D127" s="6" t="s">
        <v>1488</v>
      </c>
      <c r="E127" s="7" t="s">
        <v>35</v>
      </c>
      <c r="F127" s="7" t="s">
        <v>45</v>
      </c>
      <c r="G127" s="7" t="s">
        <v>37</v>
      </c>
      <c r="H127" s="12" t="s">
        <v>38</v>
      </c>
      <c r="I127" s="6" t="s">
        <v>2696</v>
      </c>
      <c r="J127" s="48">
        <v>1</v>
      </c>
      <c r="K127" s="137">
        <v>2021</v>
      </c>
      <c r="L127" s="138">
        <v>2022</v>
      </c>
      <c r="M127" s="137">
        <v>2023</v>
      </c>
      <c r="N127" s="137">
        <v>2024</v>
      </c>
      <c r="O127" s="137">
        <v>2025</v>
      </c>
      <c r="P127" s="137">
        <v>2026</v>
      </c>
      <c r="Q127" s="137">
        <v>2027</v>
      </c>
      <c r="R127" s="137">
        <v>2028</v>
      </c>
      <c r="S127" s="137">
        <v>2029</v>
      </c>
      <c r="T127" s="137">
        <v>2030</v>
      </c>
      <c r="U127" s="137">
        <v>2031</v>
      </c>
      <c r="V127" s="137">
        <v>2032</v>
      </c>
      <c r="W127" s="137">
        <v>2033</v>
      </c>
      <c r="X127" s="137">
        <v>2034</v>
      </c>
      <c r="Y127" s="137">
        <v>2035</v>
      </c>
      <c r="Z127" s="137">
        <v>2036</v>
      </c>
      <c r="AA127" s="137">
        <v>2037</v>
      </c>
      <c r="AB127" s="137">
        <v>2038</v>
      </c>
      <c r="AC127" s="137">
        <v>2039</v>
      </c>
      <c r="AD127" s="137">
        <v>2040</v>
      </c>
      <c r="AE127" s="137">
        <v>2041</v>
      </c>
      <c r="AF127" s="137">
        <v>2042</v>
      </c>
      <c r="AG127" s="137">
        <v>2043</v>
      </c>
      <c r="AH127" s="137">
        <v>2044</v>
      </c>
      <c r="AI127" s="137">
        <v>2045</v>
      </c>
    </row>
    <row r="128" spans="1:35" customFormat="1" ht="14.25" x14ac:dyDescent="0.45">
      <c r="B128" s="14" t="s">
        <v>2697</v>
      </c>
      <c r="C128" s="14" t="s">
        <v>2675</v>
      </c>
      <c r="D128" s="15" t="s">
        <v>2698</v>
      </c>
      <c r="E128" s="16" t="s">
        <v>2068</v>
      </c>
      <c r="F128" s="14" t="s">
        <v>2699</v>
      </c>
      <c r="G128" s="17"/>
      <c r="H128" s="17"/>
      <c r="K128" s="139"/>
      <c r="L128" s="142">
        <f t="shared" ref="L128:AE128" si="21">SUMPRODUCT(L$45:L$52*(1-EXP(-L$55:L$62*L$125)))+SUMPRODUCT(L$101:L$116*(1-EXP(-L$65:L$80*L$125)))</f>
        <v>0</v>
      </c>
      <c r="M128" s="142">
        <f t="shared" si="21"/>
        <v>0</v>
      </c>
      <c r="N128" s="142">
        <f t="shared" si="21"/>
        <v>0</v>
      </c>
      <c r="O128" s="142">
        <f t="shared" si="21"/>
        <v>0</v>
      </c>
      <c r="P128" s="142">
        <f t="shared" si="21"/>
        <v>0</v>
      </c>
      <c r="Q128" s="142">
        <f t="shared" si="21"/>
        <v>0</v>
      </c>
      <c r="R128" s="142">
        <f t="shared" si="21"/>
        <v>0</v>
      </c>
      <c r="S128" s="142">
        <f t="shared" si="21"/>
        <v>0</v>
      </c>
      <c r="T128" s="142">
        <f t="shared" si="21"/>
        <v>0</v>
      </c>
      <c r="U128" s="142">
        <f t="shared" si="21"/>
        <v>0</v>
      </c>
      <c r="V128" s="142">
        <f t="shared" si="21"/>
        <v>0</v>
      </c>
      <c r="W128" s="142">
        <f t="shared" si="21"/>
        <v>0</v>
      </c>
      <c r="X128" s="142">
        <f t="shared" si="21"/>
        <v>0</v>
      </c>
      <c r="Y128" s="142">
        <f t="shared" si="21"/>
        <v>0</v>
      </c>
      <c r="Z128" s="142">
        <f t="shared" si="21"/>
        <v>0</v>
      </c>
      <c r="AA128" s="142">
        <f t="shared" si="21"/>
        <v>0</v>
      </c>
      <c r="AB128" s="142">
        <f t="shared" si="21"/>
        <v>0</v>
      </c>
      <c r="AC128" s="142">
        <f t="shared" si="21"/>
        <v>0</v>
      </c>
      <c r="AD128" s="142">
        <f t="shared" si="21"/>
        <v>0</v>
      </c>
      <c r="AE128" s="142">
        <f t="shared" si="21"/>
        <v>0</v>
      </c>
      <c r="AF128" s="141"/>
      <c r="AG128" s="141"/>
      <c r="AH128" s="141"/>
      <c r="AI128" s="141"/>
    </row>
    <row r="129" spans="2:35" customFormat="1" ht="14.25" x14ac:dyDescent="0.45">
      <c r="B129" s="14" t="s">
        <v>2700</v>
      </c>
      <c r="C129" s="14" t="s">
        <v>2675</v>
      </c>
      <c r="D129" s="15" t="s">
        <v>2701</v>
      </c>
      <c r="E129" s="16" t="s">
        <v>1854</v>
      </c>
      <c r="F129" s="14" t="s">
        <v>2702</v>
      </c>
      <c r="G129" s="17"/>
      <c r="H129" s="17"/>
      <c r="K129" s="139"/>
      <c r="L129" s="140">
        <f t="shared" ref="L129:AE129" si="22">IF($F$4="COST",(SUMPRODUCT(L$45:L$52*((1-EXP(-L$55:L$62*L$125))/(L$55:L$62+(L$55:L$62=0))-L$125*EXP(-L$55:L$62*L$125)*(L$55:L$62&lt;&gt;0)))+SUMPRODUCT(L$101:L$116*((1-EXP(-L$65:L$80*L$125))/(L$65:L$80+(L$65:L$80=0))-L$125*EXP(-L$65:L$80*L$125)*(L$65:L$80&lt;&gt;0)))),L$125*L$128)</f>
        <v>0</v>
      </c>
      <c r="M129" s="140">
        <f t="shared" si="22"/>
        <v>0</v>
      </c>
      <c r="N129" s="140">
        <f t="shared" si="22"/>
        <v>0</v>
      </c>
      <c r="O129" s="140">
        <f t="shared" si="22"/>
        <v>0</v>
      </c>
      <c r="P129" s="140">
        <f t="shared" si="22"/>
        <v>0</v>
      </c>
      <c r="Q129" s="140">
        <f t="shared" si="22"/>
        <v>0</v>
      </c>
      <c r="R129" s="140">
        <f t="shared" si="22"/>
        <v>0</v>
      </c>
      <c r="S129" s="140">
        <f t="shared" si="22"/>
        <v>0</v>
      </c>
      <c r="T129" s="140">
        <f t="shared" si="22"/>
        <v>0</v>
      </c>
      <c r="U129" s="140">
        <f t="shared" si="22"/>
        <v>0</v>
      </c>
      <c r="V129" s="140">
        <f t="shared" si="22"/>
        <v>0</v>
      </c>
      <c r="W129" s="140">
        <f t="shared" si="22"/>
        <v>0</v>
      </c>
      <c r="X129" s="140">
        <f t="shared" si="22"/>
        <v>0</v>
      </c>
      <c r="Y129" s="140">
        <f t="shared" si="22"/>
        <v>0</v>
      </c>
      <c r="Z129" s="140">
        <f t="shared" si="22"/>
        <v>0</v>
      </c>
      <c r="AA129" s="140">
        <f t="shared" si="22"/>
        <v>0</v>
      </c>
      <c r="AB129" s="140">
        <f t="shared" si="22"/>
        <v>0</v>
      </c>
      <c r="AC129" s="140">
        <f t="shared" si="22"/>
        <v>0</v>
      </c>
      <c r="AD129" s="140">
        <f t="shared" si="22"/>
        <v>0</v>
      </c>
      <c r="AE129" s="140">
        <f t="shared" si="22"/>
        <v>0</v>
      </c>
      <c r="AF129" s="141"/>
      <c r="AG129" s="141"/>
      <c r="AH129" s="141"/>
      <c r="AI129" s="141"/>
    </row>
    <row r="130" spans="2:35" customFormat="1" ht="14.25" x14ac:dyDescent="0.45">
      <c r="B130" s="14" t="s">
        <v>2703</v>
      </c>
      <c r="C130" s="14" t="s">
        <v>2675</v>
      </c>
      <c r="D130" s="15" t="s">
        <v>2704</v>
      </c>
      <c r="E130" s="16" t="s">
        <v>2705</v>
      </c>
      <c r="F130" s="14" t="s">
        <v>2706</v>
      </c>
      <c r="G130" s="17"/>
      <c r="H130" s="17"/>
      <c r="K130" s="139"/>
      <c r="L130" s="142">
        <f t="shared" ref="L130:AE130" si="23">IF($F$4="COST",L$125*(SUMPRODUCT(L$45:L$52*L$55:L$62*EXP(-L$55:L$62*L$125))+SUMPRODUCT(L$101:L$116*L$65:L$80*EXP(-L$65:L$80*L$125))),L$128+L$125*(SUMPRODUCT(L$45:L$52*L$55:L$62*EXP(-L$55:L$62*L$125))+SUMPRODUCT(L$101:L$116*L$65:L$80*EXP(-L$65:L$80*L$125))))</f>
        <v>0</v>
      </c>
      <c r="M130" s="142">
        <f t="shared" si="23"/>
        <v>0</v>
      </c>
      <c r="N130" s="142">
        <f t="shared" si="23"/>
        <v>0</v>
      </c>
      <c r="O130" s="142">
        <f t="shared" si="23"/>
        <v>0</v>
      </c>
      <c r="P130" s="142">
        <f t="shared" si="23"/>
        <v>0</v>
      </c>
      <c r="Q130" s="142">
        <f t="shared" si="23"/>
        <v>0</v>
      </c>
      <c r="R130" s="142">
        <f t="shared" si="23"/>
        <v>0</v>
      </c>
      <c r="S130" s="142">
        <f t="shared" si="23"/>
        <v>0</v>
      </c>
      <c r="T130" s="142">
        <f t="shared" si="23"/>
        <v>0</v>
      </c>
      <c r="U130" s="142">
        <f t="shared" si="23"/>
        <v>0</v>
      </c>
      <c r="V130" s="142">
        <f t="shared" si="23"/>
        <v>0</v>
      </c>
      <c r="W130" s="142">
        <f t="shared" si="23"/>
        <v>0</v>
      </c>
      <c r="X130" s="142">
        <f t="shared" si="23"/>
        <v>0</v>
      </c>
      <c r="Y130" s="142">
        <f t="shared" si="23"/>
        <v>0</v>
      </c>
      <c r="Z130" s="142">
        <f t="shared" si="23"/>
        <v>0</v>
      </c>
      <c r="AA130" s="142">
        <f t="shared" si="23"/>
        <v>0</v>
      </c>
      <c r="AB130" s="142">
        <f t="shared" si="23"/>
        <v>0</v>
      </c>
      <c r="AC130" s="142">
        <f t="shared" si="23"/>
        <v>0</v>
      </c>
      <c r="AD130" s="142">
        <f t="shared" si="23"/>
        <v>0</v>
      </c>
      <c r="AE130" s="142">
        <f t="shared" si="23"/>
        <v>0</v>
      </c>
      <c r="AF130" s="141"/>
      <c r="AG130" s="141"/>
      <c r="AH130" s="141"/>
      <c r="AI130" s="141"/>
    </row>
    <row r="131" spans="2:35" customFormat="1" ht="14.25" x14ac:dyDescent="0.45">
      <c r="B131" s="14" t="s">
        <v>2707</v>
      </c>
      <c r="C131" s="14" t="s">
        <v>2675</v>
      </c>
      <c r="D131" s="15" t="s">
        <v>2708</v>
      </c>
      <c r="E131" s="16" t="s">
        <v>1398</v>
      </c>
      <c r="F131" s="14" t="s">
        <v>2709</v>
      </c>
      <c r="G131" s="17"/>
      <c r="H131" s="17"/>
      <c r="K131" s="139"/>
      <c r="L131" s="140">
        <f t="shared" ref="L131:AE131" si="24">IF(L$122&lt;=0,0,IF(L$130&lt;=0,L$125,MIN($F$5,IF(L$125-(L$129-L$122)/L$130&lt;=0,L$125/2,L$125-(L$129-L$122)/L$130))))</f>
        <v>0</v>
      </c>
      <c r="M131" s="140">
        <f t="shared" si="24"/>
        <v>0</v>
      </c>
      <c r="N131" s="140">
        <f t="shared" si="24"/>
        <v>0</v>
      </c>
      <c r="O131" s="140">
        <f t="shared" si="24"/>
        <v>0</v>
      </c>
      <c r="P131" s="140">
        <f t="shared" si="24"/>
        <v>0</v>
      </c>
      <c r="Q131" s="140">
        <f t="shared" si="24"/>
        <v>0</v>
      </c>
      <c r="R131" s="140">
        <f t="shared" si="24"/>
        <v>0</v>
      </c>
      <c r="S131" s="140">
        <f t="shared" si="24"/>
        <v>0</v>
      </c>
      <c r="T131" s="140">
        <f t="shared" si="24"/>
        <v>0</v>
      </c>
      <c r="U131" s="140">
        <f t="shared" si="24"/>
        <v>0</v>
      </c>
      <c r="V131" s="140">
        <f t="shared" si="24"/>
        <v>0</v>
      </c>
      <c r="W131" s="140">
        <f t="shared" si="24"/>
        <v>0</v>
      </c>
      <c r="X131" s="140">
        <f t="shared" si="24"/>
        <v>0</v>
      </c>
      <c r="Y131" s="140">
        <f t="shared" si="24"/>
        <v>0</v>
      </c>
      <c r="Z131" s="140">
        <f t="shared" si="24"/>
        <v>0</v>
      </c>
      <c r="AA131" s="140">
        <f t="shared" si="24"/>
        <v>0</v>
      </c>
      <c r="AB131" s="140">
        <f t="shared" si="24"/>
        <v>0</v>
      </c>
      <c r="AC131" s="140">
        <f t="shared" si="24"/>
        <v>0</v>
      </c>
      <c r="AD131" s="140">
        <f t="shared" si="24"/>
        <v>0</v>
      </c>
      <c r="AE131" s="140">
        <f t="shared" si="24"/>
        <v>0</v>
      </c>
      <c r="AF131" s="141"/>
      <c r="AG131" s="141"/>
      <c r="AH131" s="141"/>
      <c r="AI131" s="141"/>
    </row>
    <row r="132" spans="2:35" customFormat="1" ht="14.25" x14ac:dyDescent="0.45">
      <c r="B132" s="14" t="s">
        <v>2710</v>
      </c>
      <c r="C132" s="14" t="s">
        <v>2675</v>
      </c>
      <c r="D132" s="15" t="s">
        <v>2711</v>
      </c>
      <c r="E132" s="16" t="s">
        <v>2068</v>
      </c>
      <c r="F132" s="14" t="s">
        <v>2699</v>
      </c>
      <c r="G132" s="17"/>
      <c r="H132" s="17"/>
      <c r="K132" s="139"/>
      <c r="L132" s="142">
        <f t="shared" ref="L132:AE132" si="25">SUMPRODUCT(L$45:L$52*(1-EXP(-L$55:L$62*L$131)))+SUMPRODUCT(L$101:L$116*(1-EXP(-L$65:L$80*L$131)))</f>
        <v>0</v>
      </c>
      <c r="M132" s="142">
        <f t="shared" si="25"/>
        <v>0</v>
      </c>
      <c r="N132" s="142">
        <f t="shared" si="25"/>
        <v>0</v>
      </c>
      <c r="O132" s="142">
        <f t="shared" si="25"/>
        <v>0</v>
      </c>
      <c r="P132" s="142">
        <f t="shared" si="25"/>
        <v>0</v>
      </c>
      <c r="Q132" s="142">
        <f t="shared" si="25"/>
        <v>0</v>
      </c>
      <c r="R132" s="142">
        <f t="shared" si="25"/>
        <v>0</v>
      </c>
      <c r="S132" s="142">
        <f t="shared" si="25"/>
        <v>0</v>
      </c>
      <c r="T132" s="142">
        <f t="shared" si="25"/>
        <v>0</v>
      </c>
      <c r="U132" s="142">
        <f t="shared" si="25"/>
        <v>0</v>
      </c>
      <c r="V132" s="142">
        <f t="shared" si="25"/>
        <v>0</v>
      </c>
      <c r="W132" s="142">
        <f t="shared" si="25"/>
        <v>0</v>
      </c>
      <c r="X132" s="142">
        <f t="shared" si="25"/>
        <v>0</v>
      </c>
      <c r="Y132" s="142">
        <f t="shared" si="25"/>
        <v>0</v>
      </c>
      <c r="Z132" s="142">
        <f t="shared" si="25"/>
        <v>0</v>
      </c>
      <c r="AA132" s="142">
        <f t="shared" si="25"/>
        <v>0</v>
      </c>
      <c r="AB132" s="142">
        <f t="shared" si="25"/>
        <v>0</v>
      </c>
      <c r="AC132" s="142">
        <f t="shared" si="25"/>
        <v>0</v>
      </c>
      <c r="AD132" s="142">
        <f t="shared" si="25"/>
        <v>0</v>
      </c>
      <c r="AE132" s="142">
        <f t="shared" si="25"/>
        <v>0</v>
      </c>
      <c r="AF132" s="141"/>
      <c r="AG132" s="141"/>
      <c r="AH132" s="141"/>
      <c r="AI132" s="141"/>
    </row>
    <row r="133" spans="2:35" customFormat="1" ht="14.25" x14ac:dyDescent="0.45">
      <c r="B133" s="14" t="s">
        <v>2712</v>
      </c>
      <c r="C133" s="14" t="s">
        <v>2675</v>
      </c>
      <c r="D133" s="15" t="s">
        <v>2713</v>
      </c>
      <c r="E133" s="16" t="s">
        <v>1854</v>
      </c>
      <c r="F133" s="14" t="s">
        <v>2702</v>
      </c>
      <c r="G133" s="17"/>
      <c r="H133" s="17"/>
      <c r="K133" s="139"/>
      <c r="L133" s="140">
        <f t="shared" ref="L133:AE133" si="26">IF($F$4="COST",(SUMPRODUCT(L$45:L$52*((1-EXP(-L$55:L$62*L$131))/(L$55:L$62+(L$55:L$62=0))-L$131*EXP(-L$55:L$62*L$131)*(L$55:L$62&lt;&gt;0)))+SUMPRODUCT(L$101:L$116*((1-EXP(-L$65:L$80*L$131))/(L$65:L$80+(L$65:L$80=0))-L$131*EXP(-L$65:L$80*L$131)*(L$65:L$80&lt;&gt;0)))),L$131*L$132)</f>
        <v>0</v>
      </c>
      <c r="M133" s="140">
        <f t="shared" si="26"/>
        <v>0</v>
      </c>
      <c r="N133" s="140">
        <f t="shared" si="26"/>
        <v>0</v>
      </c>
      <c r="O133" s="140">
        <f t="shared" si="26"/>
        <v>0</v>
      </c>
      <c r="P133" s="140">
        <f t="shared" si="26"/>
        <v>0</v>
      </c>
      <c r="Q133" s="140">
        <f t="shared" si="26"/>
        <v>0</v>
      </c>
      <c r="R133" s="140">
        <f t="shared" si="26"/>
        <v>0</v>
      </c>
      <c r="S133" s="140">
        <f t="shared" si="26"/>
        <v>0</v>
      </c>
      <c r="T133" s="140">
        <f t="shared" si="26"/>
        <v>0</v>
      </c>
      <c r="U133" s="140">
        <f t="shared" si="26"/>
        <v>0</v>
      </c>
      <c r="V133" s="140">
        <f t="shared" si="26"/>
        <v>0</v>
      </c>
      <c r="W133" s="140">
        <f t="shared" si="26"/>
        <v>0</v>
      </c>
      <c r="X133" s="140">
        <f t="shared" si="26"/>
        <v>0</v>
      </c>
      <c r="Y133" s="140">
        <f t="shared" si="26"/>
        <v>0</v>
      </c>
      <c r="Z133" s="140">
        <f t="shared" si="26"/>
        <v>0</v>
      </c>
      <c r="AA133" s="140">
        <f t="shared" si="26"/>
        <v>0</v>
      </c>
      <c r="AB133" s="140">
        <f t="shared" si="26"/>
        <v>0</v>
      </c>
      <c r="AC133" s="140">
        <f t="shared" si="26"/>
        <v>0</v>
      </c>
      <c r="AD133" s="140">
        <f t="shared" si="26"/>
        <v>0</v>
      </c>
      <c r="AE133" s="140">
        <f t="shared" si="26"/>
        <v>0</v>
      </c>
      <c r="AF133" s="141"/>
      <c r="AG133" s="141"/>
      <c r="AH133" s="141"/>
      <c r="AI133" s="141"/>
    </row>
    <row r="134" spans="2:35" customFormat="1" ht="14.25" x14ac:dyDescent="0.45">
      <c r="B134" s="14" t="s">
        <v>2714</v>
      </c>
      <c r="C134" s="14" t="s">
        <v>2675</v>
      </c>
      <c r="D134" s="15" t="s">
        <v>2715</v>
      </c>
      <c r="E134" s="16" t="s">
        <v>2705</v>
      </c>
      <c r="F134" s="14" t="s">
        <v>2706</v>
      </c>
      <c r="G134" s="17"/>
      <c r="H134" s="17"/>
      <c r="K134" s="139"/>
      <c r="L134" s="142">
        <f t="shared" ref="L134:AE134" si="27">IF($F$4="COST",L$131*(SUMPRODUCT(L$45:L$52*L$55:L$62*EXP(-L$55:L$62*L$131))+SUMPRODUCT(L$101:L$116*L$65:L$80*EXP(-L$65:L$80*L$131))),L$132+L$131*(SUMPRODUCT(L$45:L$52*L$55:L$62*EXP(-L$55:L$62*L$131))+SUMPRODUCT(L$101:L$116*L$65:L$80*EXP(-L$65:L$80*L$131))))</f>
        <v>0</v>
      </c>
      <c r="M134" s="142">
        <f t="shared" si="27"/>
        <v>0</v>
      </c>
      <c r="N134" s="142">
        <f t="shared" si="27"/>
        <v>0</v>
      </c>
      <c r="O134" s="142">
        <f t="shared" si="27"/>
        <v>0</v>
      </c>
      <c r="P134" s="142">
        <f t="shared" si="27"/>
        <v>0</v>
      </c>
      <c r="Q134" s="142">
        <f t="shared" si="27"/>
        <v>0</v>
      </c>
      <c r="R134" s="142">
        <f t="shared" si="27"/>
        <v>0</v>
      </c>
      <c r="S134" s="142">
        <f t="shared" si="27"/>
        <v>0</v>
      </c>
      <c r="T134" s="142">
        <f t="shared" si="27"/>
        <v>0</v>
      </c>
      <c r="U134" s="142">
        <f t="shared" si="27"/>
        <v>0</v>
      </c>
      <c r="V134" s="142">
        <f t="shared" si="27"/>
        <v>0</v>
      </c>
      <c r="W134" s="142">
        <f t="shared" si="27"/>
        <v>0</v>
      </c>
      <c r="X134" s="142">
        <f t="shared" si="27"/>
        <v>0</v>
      </c>
      <c r="Y134" s="142">
        <f t="shared" si="27"/>
        <v>0</v>
      </c>
      <c r="Z134" s="142">
        <f t="shared" si="27"/>
        <v>0</v>
      </c>
      <c r="AA134" s="142">
        <f t="shared" si="27"/>
        <v>0</v>
      </c>
      <c r="AB134" s="142">
        <f t="shared" si="27"/>
        <v>0</v>
      </c>
      <c r="AC134" s="142">
        <f t="shared" si="27"/>
        <v>0</v>
      </c>
      <c r="AD134" s="142">
        <f t="shared" si="27"/>
        <v>0</v>
      </c>
      <c r="AE134" s="142">
        <f t="shared" si="27"/>
        <v>0</v>
      </c>
      <c r="AF134" s="141"/>
      <c r="AG134" s="141"/>
      <c r="AH134" s="141"/>
      <c r="AI134" s="141"/>
    </row>
    <row r="135" spans="2:35" customFormat="1" ht="14.25" x14ac:dyDescent="0.45">
      <c r="B135" s="14" t="s">
        <v>2716</v>
      </c>
      <c r="C135" s="14" t="s">
        <v>2675</v>
      </c>
      <c r="D135" s="15" t="s">
        <v>2717</v>
      </c>
      <c r="E135" s="16" t="s">
        <v>1398</v>
      </c>
      <c r="F135" s="14" t="s">
        <v>2709</v>
      </c>
      <c r="G135" s="17"/>
      <c r="H135" s="17"/>
      <c r="K135" s="139"/>
      <c r="L135" s="140">
        <f t="shared" ref="L135:AE135" si="28">IF(L$122&lt;=0,0,IF(L$134&lt;=0,L$131,MIN($F$5,IF(L$131-(L$133-L$122)/L$134&lt;=0,L$131/2,L$131-(L$133-L$122)/L$134))))</f>
        <v>0</v>
      </c>
      <c r="M135" s="140">
        <f t="shared" si="28"/>
        <v>0</v>
      </c>
      <c r="N135" s="140">
        <f t="shared" si="28"/>
        <v>0</v>
      </c>
      <c r="O135" s="140">
        <f t="shared" si="28"/>
        <v>0</v>
      </c>
      <c r="P135" s="140">
        <f t="shared" si="28"/>
        <v>0</v>
      </c>
      <c r="Q135" s="140">
        <f t="shared" si="28"/>
        <v>0</v>
      </c>
      <c r="R135" s="140">
        <f t="shared" si="28"/>
        <v>0</v>
      </c>
      <c r="S135" s="140">
        <f t="shared" si="28"/>
        <v>0</v>
      </c>
      <c r="T135" s="140">
        <f t="shared" si="28"/>
        <v>0</v>
      </c>
      <c r="U135" s="140">
        <f t="shared" si="28"/>
        <v>0</v>
      </c>
      <c r="V135" s="140">
        <f t="shared" si="28"/>
        <v>0</v>
      </c>
      <c r="W135" s="140">
        <f t="shared" si="28"/>
        <v>0</v>
      </c>
      <c r="X135" s="140">
        <f t="shared" si="28"/>
        <v>0</v>
      </c>
      <c r="Y135" s="140">
        <f t="shared" si="28"/>
        <v>0</v>
      </c>
      <c r="Z135" s="140">
        <f t="shared" si="28"/>
        <v>0</v>
      </c>
      <c r="AA135" s="140">
        <f t="shared" si="28"/>
        <v>0</v>
      </c>
      <c r="AB135" s="140">
        <f t="shared" si="28"/>
        <v>0</v>
      </c>
      <c r="AC135" s="140">
        <f t="shared" si="28"/>
        <v>0</v>
      </c>
      <c r="AD135" s="140">
        <f t="shared" si="28"/>
        <v>0</v>
      </c>
      <c r="AE135" s="140">
        <f t="shared" si="28"/>
        <v>0</v>
      </c>
      <c r="AF135" s="141"/>
      <c r="AG135" s="141"/>
      <c r="AH135" s="141"/>
      <c r="AI135" s="141"/>
    </row>
    <row r="136" spans="2:35" customFormat="1" ht="14.25" x14ac:dyDescent="0.45">
      <c r="B136" s="14" t="s">
        <v>2718</v>
      </c>
      <c r="C136" s="14" t="s">
        <v>2675</v>
      </c>
      <c r="D136" s="15" t="s">
        <v>2719</v>
      </c>
      <c r="E136" s="16" t="s">
        <v>2068</v>
      </c>
      <c r="F136" s="14" t="s">
        <v>2699</v>
      </c>
      <c r="G136" s="17"/>
      <c r="H136" s="17"/>
      <c r="K136" s="139"/>
      <c r="L136" s="142">
        <f t="shared" ref="L136:AE136" si="29">SUMPRODUCT(L$45:L$52*(1-EXP(-L$55:L$62*L$135)))+SUMPRODUCT(L$101:L$116*(1-EXP(-L$65:L$80*L$135)))</f>
        <v>0</v>
      </c>
      <c r="M136" s="142">
        <f t="shared" si="29"/>
        <v>0</v>
      </c>
      <c r="N136" s="142">
        <f t="shared" si="29"/>
        <v>0</v>
      </c>
      <c r="O136" s="142">
        <f t="shared" si="29"/>
        <v>0</v>
      </c>
      <c r="P136" s="142">
        <f t="shared" si="29"/>
        <v>0</v>
      </c>
      <c r="Q136" s="142">
        <f t="shared" si="29"/>
        <v>0</v>
      </c>
      <c r="R136" s="142">
        <f t="shared" si="29"/>
        <v>0</v>
      </c>
      <c r="S136" s="142">
        <f t="shared" si="29"/>
        <v>0</v>
      </c>
      <c r="T136" s="142">
        <f t="shared" si="29"/>
        <v>0</v>
      </c>
      <c r="U136" s="142">
        <f t="shared" si="29"/>
        <v>0</v>
      </c>
      <c r="V136" s="142">
        <f t="shared" si="29"/>
        <v>0</v>
      </c>
      <c r="W136" s="142">
        <f t="shared" si="29"/>
        <v>0</v>
      </c>
      <c r="X136" s="142">
        <f t="shared" si="29"/>
        <v>0</v>
      </c>
      <c r="Y136" s="142">
        <f t="shared" si="29"/>
        <v>0</v>
      </c>
      <c r="Z136" s="142">
        <f t="shared" si="29"/>
        <v>0</v>
      </c>
      <c r="AA136" s="142">
        <f t="shared" si="29"/>
        <v>0</v>
      </c>
      <c r="AB136" s="142">
        <f t="shared" si="29"/>
        <v>0</v>
      </c>
      <c r="AC136" s="142">
        <f t="shared" si="29"/>
        <v>0</v>
      </c>
      <c r="AD136" s="142">
        <f t="shared" si="29"/>
        <v>0</v>
      </c>
      <c r="AE136" s="142">
        <f t="shared" si="29"/>
        <v>0</v>
      </c>
      <c r="AF136" s="141"/>
      <c r="AG136" s="141"/>
      <c r="AH136" s="141"/>
      <c r="AI136" s="141"/>
    </row>
    <row r="137" spans="2:35" customFormat="1" ht="14.25" x14ac:dyDescent="0.45">
      <c r="B137" s="14" t="s">
        <v>2720</v>
      </c>
      <c r="C137" s="14" t="s">
        <v>2675</v>
      </c>
      <c r="D137" s="15" t="s">
        <v>2721</v>
      </c>
      <c r="E137" s="16" t="s">
        <v>1854</v>
      </c>
      <c r="F137" s="14" t="s">
        <v>2702</v>
      </c>
      <c r="G137" s="17"/>
      <c r="H137" s="17"/>
      <c r="K137" s="139"/>
      <c r="L137" s="140">
        <f t="shared" ref="L137:AE137" si="30">IF($F$4="COST",(SUMPRODUCT(L$45:L$52*((1-EXP(-L$55:L$62*L$135))/(L$55:L$62+(L$55:L$62=0))-L$135*EXP(-L$55:L$62*L$135)*(L$55:L$62&lt;&gt;0)))+SUMPRODUCT(L$101:L$116*((1-EXP(-L$65:L$80*L$135))/(L$65:L$80+(L$65:L$80=0))-L$135*EXP(-L$65:L$80*L$135)*(L$65:L$80&lt;&gt;0)))),L$135*L$136)</f>
        <v>0</v>
      </c>
      <c r="M137" s="140">
        <f t="shared" si="30"/>
        <v>0</v>
      </c>
      <c r="N137" s="140">
        <f t="shared" si="30"/>
        <v>0</v>
      </c>
      <c r="O137" s="140">
        <f t="shared" si="30"/>
        <v>0</v>
      </c>
      <c r="P137" s="140">
        <f t="shared" si="30"/>
        <v>0</v>
      </c>
      <c r="Q137" s="140">
        <f t="shared" si="30"/>
        <v>0</v>
      </c>
      <c r="R137" s="140">
        <f t="shared" si="30"/>
        <v>0</v>
      </c>
      <c r="S137" s="140">
        <f t="shared" si="30"/>
        <v>0</v>
      </c>
      <c r="T137" s="140">
        <f t="shared" si="30"/>
        <v>0</v>
      </c>
      <c r="U137" s="140">
        <f t="shared" si="30"/>
        <v>0</v>
      </c>
      <c r="V137" s="140">
        <f t="shared" si="30"/>
        <v>0</v>
      </c>
      <c r="W137" s="140">
        <f t="shared" si="30"/>
        <v>0</v>
      </c>
      <c r="X137" s="140">
        <f t="shared" si="30"/>
        <v>0</v>
      </c>
      <c r="Y137" s="140">
        <f t="shared" si="30"/>
        <v>0</v>
      </c>
      <c r="Z137" s="140">
        <f t="shared" si="30"/>
        <v>0</v>
      </c>
      <c r="AA137" s="140">
        <f t="shared" si="30"/>
        <v>0</v>
      </c>
      <c r="AB137" s="140">
        <f t="shared" si="30"/>
        <v>0</v>
      </c>
      <c r="AC137" s="140">
        <f t="shared" si="30"/>
        <v>0</v>
      </c>
      <c r="AD137" s="140">
        <f t="shared" si="30"/>
        <v>0</v>
      </c>
      <c r="AE137" s="140">
        <f t="shared" si="30"/>
        <v>0</v>
      </c>
      <c r="AF137" s="141"/>
      <c r="AG137" s="141"/>
      <c r="AH137" s="141"/>
      <c r="AI137" s="141"/>
    </row>
    <row r="138" spans="2:35" customFormat="1" ht="14.25" x14ac:dyDescent="0.45">
      <c r="B138" s="14" t="s">
        <v>2722</v>
      </c>
      <c r="C138" s="14" t="s">
        <v>2675</v>
      </c>
      <c r="D138" s="15" t="s">
        <v>2723</v>
      </c>
      <c r="E138" s="16" t="s">
        <v>2705</v>
      </c>
      <c r="F138" s="14" t="s">
        <v>2706</v>
      </c>
      <c r="G138" s="17"/>
      <c r="H138" s="17"/>
      <c r="K138" s="139"/>
      <c r="L138" s="142">
        <f t="shared" ref="L138:AE138" si="31">IF($F$4="COST",L$135*(SUMPRODUCT(L$45:L$52*L$55:L$62*EXP(-L$55:L$62*L$135))+SUMPRODUCT(L$101:L$116*L$65:L$80*EXP(-L$65:L$80*L$135))),L$136+L$135*(SUMPRODUCT(L$45:L$52*L$55:L$62*EXP(-L$55:L$62*L$135))+SUMPRODUCT(L$101:L$116*L$65:L$80*EXP(-L$65:L$80*L$135))))</f>
        <v>0</v>
      </c>
      <c r="M138" s="142">
        <f t="shared" si="31"/>
        <v>0</v>
      </c>
      <c r="N138" s="142">
        <f t="shared" si="31"/>
        <v>0</v>
      </c>
      <c r="O138" s="142">
        <f t="shared" si="31"/>
        <v>0</v>
      </c>
      <c r="P138" s="142">
        <f t="shared" si="31"/>
        <v>0</v>
      </c>
      <c r="Q138" s="142">
        <f t="shared" si="31"/>
        <v>0</v>
      </c>
      <c r="R138" s="142">
        <f t="shared" si="31"/>
        <v>0</v>
      </c>
      <c r="S138" s="142">
        <f t="shared" si="31"/>
        <v>0</v>
      </c>
      <c r="T138" s="142">
        <f t="shared" si="31"/>
        <v>0</v>
      </c>
      <c r="U138" s="142">
        <f t="shared" si="31"/>
        <v>0</v>
      </c>
      <c r="V138" s="142">
        <f t="shared" si="31"/>
        <v>0</v>
      </c>
      <c r="W138" s="142">
        <f t="shared" si="31"/>
        <v>0</v>
      </c>
      <c r="X138" s="142">
        <f t="shared" si="31"/>
        <v>0</v>
      </c>
      <c r="Y138" s="142">
        <f t="shared" si="31"/>
        <v>0</v>
      </c>
      <c r="Z138" s="142">
        <f t="shared" si="31"/>
        <v>0</v>
      </c>
      <c r="AA138" s="142">
        <f t="shared" si="31"/>
        <v>0</v>
      </c>
      <c r="AB138" s="142">
        <f t="shared" si="31"/>
        <v>0</v>
      </c>
      <c r="AC138" s="142">
        <f t="shared" si="31"/>
        <v>0</v>
      </c>
      <c r="AD138" s="142">
        <f t="shared" si="31"/>
        <v>0</v>
      </c>
      <c r="AE138" s="142">
        <f t="shared" si="31"/>
        <v>0</v>
      </c>
      <c r="AF138" s="141"/>
      <c r="AG138" s="141"/>
      <c r="AH138" s="141"/>
      <c r="AI138" s="141"/>
    </row>
    <row r="139" spans="2:35" customFormat="1" ht="14.25" x14ac:dyDescent="0.45">
      <c r="B139" s="14" t="s">
        <v>2724</v>
      </c>
      <c r="C139" s="14" t="s">
        <v>2675</v>
      </c>
      <c r="D139" s="15" t="s">
        <v>2725</v>
      </c>
      <c r="E139" s="16" t="s">
        <v>1398</v>
      </c>
      <c r="F139" s="14" t="s">
        <v>2709</v>
      </c>
      <c r="G139" s="17"/>
      <c r="H139" s="17"/>
      <c r="K139" s="139"/>
      <c r="L139" s="140">
        <f t="shared" ref="L139:AE139" si="32">IF(L$122&lt;=0,0,IF(L$138&lt;=0,L$135,MIN($F$5,IF(L$135-(L$137-L$122)/L$138&lt;=0,L$135/2,L$135-(L$137-L$122)/L$138))))</f>
        <v>0</v>
      </c>
      <c r="M139" s="140">
        <f t="shared" si="32"/>
        <v>0</v>
      </c>
      <c r="N139" s="140">
        <f t="shared" si="32"/>
        <v>0</v>
      </c>
      <c r="O139" s="140">
        <f t="shared" si="32"/>
        <v>0</v>
      </c>
      <c r="P139" s="140">
        <f t="shared" si="32"/>
        <v>0</v>
      </c>
      <c r="Q139" s="140">
        <f t="shared" si="32"/>
        <v>0</v>
      </c>
      <c r="R139" s="140">
        <f t="shared" si="32"/>
        <v>0</v>
      </c>
      <c r="S139" s="140">
        <f t="shared" si="32"/>
        <v>0</v>
      </c>
      <c r="T139" s="140">
        <f t="shared" si="32"/>
        <v>0</v>
      </c>
      <c r="U139" s="140">
        <f t="shared" si="32"/>
        <v>0</v>
      </c>
      <c r="V139" s="140">
        <f t="shared" si="32"/>
        <v>0</v>
      </c>
      <c r="W139" s="140">
        <f t="shared" si="32"/>
        <v>0</v>
      </c>
      <c r="X139" s="140">
        <f t="shared" si="32"/>
        <v>0</v>
      </c>
      <c r="Y139" s="140">
        <f t="shared" si="32"/>
        <v>0</v>
      </c>
      <c r="Z139" s="140">
        <f t="shared" si="32"/>
        <v>0</v>
      </c>
      <c r="AA139" s="140">
        <f t="shared" si="32"/>
        <v>0</v>
      </c>
      <c r="AB139" s="140">
        <f t="shared" si="32"/>
        <v>0</v>
      </c>
      <c r="AC139" s="140">
        <f t="shared" si="32"/>
        <v>0</v>
      </c>
      <c r="AD139" s="140">
        <f t="shared" si="32"/>
        <v>0</v>
      </c>
      <c r="AE139" s="140">
        <f t="shared" si="32"/>
        <v>0</v>
      </c>
      <c r="AF139" s="141"/>
      <c r="AG139" s="141"/>
      <c r="AH139" s="141"/>
      <c r="AI139" s="141"/>
    </row>
    <row r="140" spans="2:35" customFormat="1" ht="14.25" x14ac:dyDescent="0.45">
      <c r="B140" s="14" t="s">
        <v>2726</v>
      </c>
      <c r="C140" s="14" t="s">
        <v>2675</v>
      </c>
      <c r="D140" s="15" t="s">
        <v>2727</v>
      </c>
      <c r="E140" s="16" t="s">
        <v>2068</v>
      </c>
      <c r="F140" s="14" t="s">
        <v>2699</v>
      </c>
      <c r="G140" s="17"/>
      <c r="H140" s="17"/>
      <c r="K140" s="139"/>
      <c r="L140" s="142">
        <f t="shared" ref="L140:AE140" si="33">SUMPRODUCT(L$45:L$52*(1-EXP(-L$55:L$62*L$139)))+SUMPRODUCT(L$101:L$116*(1-EXP(-L$65:L$80*L$139)))</f>
        <v>0</v>
      </c>
      <c r="M140" s="142">
        <f t="shared" si="33"/>
        <v>0</v>
      </c>
      <c r="N140" s="142">
        <f t="shared" si="33"/>
        <v>0</v>
      </c>
      <c r="O140" s="142">
        <f t="shared" si="33"/>
        <v>0</v>
      </c>
      <c r="P140" s="142">
        <f t="shared" si="33"/>
        <v>0</v>
      </c>
      <c r="Q140" s="142">
        <f t="shared" si="33"/>
        <v>0</v>
      </c>
      <c r="R140" s="142">
        <f t="shared" si="33"/>
        <v>0</v>
      </c>
      <c r="S140" s="142">
        <f t="shared" si="33"/>
        <v>0</v>
      </c>
      <c r="T140" s="142">
        <f t="shared" si="33"/>
        <v>0</v>
      </c>
      <c r="U140" s="142">
        <f t="shared" si="33"/>
        <v>0</v>
      </c>
      <c r="V140" s="142">
        <f t="shared" si="33"/>
        <v>0</v>
      </c>
      <c r="W140" s="142">
        <f t="shared" si="33"/>
        <v>0</v>
      </c>
      <c r="X140" s="142">
        <f t="shared" si="33"/>
        <v>0</v>
      </c>
      <c r="Y140" s="142">
        <f t="shared" si="33"/>
        <v>0</v>
      </c>
      <c r="Z140" s="142">
        <f t="shared" si="33"/>
        <v>0</v>
      </c>
      <c r="AA140" s="142">
        <f t="shared" si="33"/>
        <v>0</v>
      </c>
      <c r="AB140" s="142">
        <f t="shared" si="33"/>
        <v>0</v>
      </c>
      <c r="AC140" s="142">
        <f t="shared" si="33"/>
        <v>0</v>
      </c>
      <c r="AD140" s="142">
        <f t="shared" si="33"/>
        <v>0</v>
      </c>
      <c r="AE140" s="142">
        <f t="shared" si="33"/>
        <v>0</v>
      </c>
      <c r="AF140" s="141"/>
      <c r="AG140" s="141"/>
      <c r="AH140" s="141"/>
      <c r="AI140" s="141"/>
    </row>
    <row r="141" spans="2:35" customFormat="1" ht="14.25" x14ac:dyDescent="0.45">
      <c r="B141" s="14" t="s">
        <v>2728</v>
      </c>
      <c r="C141" s="14" t="s">
        <v>2675</v>
      </c>
      <c r="D141" s="15" t="s">
        <v>2729</v>
      </c>
      <c r="E141" s="16" t="s">
        <v>1854</v>
      </c>
      <c r="F141" s="14" t="s">
        <v>2702</v>
      </c>
      <c r="G141" s="17"/>
      <c r="H141" s="17"/>
      <c r="K141" s="139"/>
      <c r="L141" s="140">
        <f t="shared" ref="L141:AE141" si="34">IF($F$4="COST",(SUMPRODUCT(L$45:L$52*((1-EXP(-L$55:L$62*L$139))/(L$55:L$62+(L$55:L$62=0))-L$139*EXP(-L$55:L$62*L$139)*(L$55:L$62&lt;&gt;0)))+SUMPRODUCT(L$101:L$116*((1-EXP(-L$65:L$80*L$139))/(L$65:L$80+(L$65:L$80=0))-L$139*EXP(-L$65:L$80*L$139)*(L$65:L$80&lt;&gt;0)))),L$139*L$140)</f>
        <v>0</v>
      </c>
      <c r="M141" s="140">
        <f t="shared" si="34"/>
        <v>0</v>
      </c>
      <c r="N141" s="140">
        <f t="shared" si="34"/>
        <v>0</v>
      </c>
      <c r="O141" s="140">
        <f t="shared" si="34"/>
        <v>0</v>
      </c>
      <c r="P141" s="140">
        <f t="shared" si="34"/>
        <v>0</v>
      </c>
      <c r="Q141" s="140">
        <f t="shared" si="34"/>
        <v>0</v>
      </c>
      <c r="R141" s="140">
        <f t="shared" si="34"/>
        <v>0</v>
      </c>
      <c r="S141" s="140">
        <f t="shared" si="34"/>
        <v>0</v>
      </c>
      <c r="T141" s="140">
        <f t="shared" si="34"/>
        <v>0</v>
      </c>
      <c r="U141" s="140">
        <f t="shared" si="34"/>
        <v>0</v>
      </c>
      <c r="V141" s="140">
        <f t="shared" si="34"/>
        <v>0</v>
      </c>
      <c r="W141" s="140">
        <f t="shared" si="34"/>
        <v>0</v>
      </c>
      <c r="X141" s="140">
        <f t="shared" si="34"/>
        <v>0</v>
      </c>
      <c r="Y141" s="140">
        <f t="shared" si="34"/>
        <v>0</v>
      </c>
      <c r="Z141" s="140">
        <f t="shared" si="34"/>
        <v>0</v>
      </c>
      <c r="AA141" s="140">
        <f t="shared" si="34"/>
        <v>0</v>
      </c>
      <c r="AB141" s="140">
        <f t="shared" si="34"/>
        <v>0</v>
      </c>
      <c r="AC141" s="140">
        <f t="shared" si="34"/>
        <v>0</v>
      </c>
      <c r="AD141" s="140">
        <f t="shared" si="34"/>
        <v>0</v>
      </c>
      <c r="AE141" s="140">
        <f t="shared" si="34"/>
        <v>0</v>
      </c>
      <c r="AF141" s="141"/>
      <c r="AG141" s="141"/>
      <c r="AH141" s="141"/>
      <c r="AI141" s="141"/>
    </row>
    <row r="142" spans="2:35" customFormat="1" ht="14.25" x14ac:dyDescent="0.45">
      <c r="B142" s="14" t="s">
        <v>2730</v>
      </c>
      <c r="C142" s="14" t="s">
        <v>2675</v>
      </c>
      <c r="D142" s="15" t="s">
        <v>2731</v>
      </c>
      <c r="E142" s="16" t="s">
        <v>2705</v>
      </c>
      <c r="F142" s="14" t="s">
        <v>2706</v>
      </c>
      <c r="G142" s="17"/>
      <c r="H142" s="17"/>
      <c r="K142" s="139"/>
      <c r="L142" s="142">
        <f t="shared" ref="L142:AE142" si="35">IF($F$4="COST",L$139*(SUMPRODUCT(L$45:L$52*L$55:L$62*EXP(-L$55:L$62*L$139))+SUMPRODUCT(L$101:L$116*L$65:L$80*EXP(-L$65:L$80*L$139))),L$140+L$139*(SUMPRODUCT(L$45:L$52*L$55:L$62*EXP(-L$55:L$62*L$139))+SUMPRODUCT(L$101:L$116*L$65:L$80*EXP(-L$65:L$80*L$139))))</f>
        <v>0</v>
      </c>
      <c r="M142" s="142">
        <f t="shared" si="35"/>
        <v>0</v>
      </c>
      <c r="N142" s="142">
        <f t="shared" si="35"/>
        <v>0</v>
      </c>
      <c r="O142" s="142">
        <f t="shared" si="35"/>
        <v>0</v>
      </c>
      <c r="P142" s="142">
        <f t="shared" si="35"/>
        <v>0</v>
      </c>
      <c r="Q142" s="142">
        <f t="shared" si="35"/>
        <v>0</v>
      </c>
      <c r="R142" s="142">
        <f t="shared" si="35"/>
        <v>0</v>
      </c>
      <c r="S142" s="142">
        <f t="shared" si="35"/>
        <v>0</v>
      </c>
      <c r="T142" s="142">
        <f t="shared" si="35"/>
        <v>0</v>
      </c>
      <c r="U142" s="142">
        <f t="shared" si="35"/>
        <v>0</v>
      </c>
      <c r="V142" s="142">
        <f t="shared" si="35"/>
        <v>0</v>
      </c>
      <c r="W142" s="142">
        <f t="shared" si="35"/>
        <v>0</v>
      </c>
      <c r="X142" s="142">
        <f t="shared" si="35"/>
        <v>0</v>
      </c>
      <c r="Y142" s="142">
        <f t="shared" si="35"/>
        <v>0</v>
      </c>
      <c r="Z142" s="142">
        <f t="shared" si="35"/>
        <v>0</v>
      </c>
      <c r="AA142" s="142">
        <f t="shared" si="35"/>
        <v>0</v>
      </c>
      <c r="AB142" s="142">
        <f t="shared" si="35"/>
        <v>0</v>
      </c>
      <c r="AC142" s="142">
        <f t="shared" si="35"/>
        <v>0</v>
      </c>
      <c r="AD142" s="142">
        <f t="shared" si="35"/>
        <v>0</v>
      </c>
      <c r="AE142" s="142">
        <f t="shared" si="35"/>
        <v>0</v>
      </c>
      <c r="AF142" s="141"/>
      <c r="AG142" s="141"/>
      <c r="AH142" s="141"/>
      <c r="AI142" s="141"/>
    </row>
    <row r="143" spans="2:35" customFormat="1" ht="14.25" x14ac:dyDescent="0.45">
      <c r="B143" s="14" t="s">
        <v>2732</v>
      </c>
      <c r="C143" s="14" t="s">
        <v>2675</v>
      </c>
      <c r="D143" s="15" t="s">
        <v>2733</v>
      </c>
      <c r="E143" s="16" t="s">
        <v>1398</v>
      </c>
      <c r="F143" s="14" t="s">
        <v>2709</v>
      </c>
      <c r="G143" s="17"/>
      <c r="H143" s="17"/>
      <c r="K143" s="139"/>
      <c r="L143" s="140">
        <f t="shared" ref="L143:AE143" si="36">IF(L$122&lt;=0,0,IF(L$142&lt;=0,L$139,MIN($F$5,IF(L$139-(L$141-L$122)/L$142&lt;=0,L$139/2,L$139-(L$141-L$122)/L$142))))</f>
        <v>0</v>
      </c>
      <c r="M143" s="140">
        <f t="shared" si="36"/>
        <v>0</v>
      </c>
      <c r="N143" s="140">
        <f t="shared" si="36"/>
        <v>0</v>
      </c>
      <c r="O143" s="140">
        <f t="shared" si="36"/>
        <v>0</v>
      </c>
      <c r="P143" s="140">
        <f t="shared" si="36"/>
        <v>0</v>
      </c>
      <c r="Q143" s="140">
        <f t="shared" si="36"/>
        <v>0</v>
      </c>
      <c r="R143" s="140">
        <f t="shared" si="36"/>
        <v>0</v>
      </c>
      <c r="S143" s="140">
        <f t="shared" si="36"/>
        <v>0</v>
      </c>
      <c r="T143" s="140">
        <f t="shared" si="36"/>
        <v>0</v>
      </c>
      <c r="U143" s="140">
        <f t="shared" si="36"/>
        <v>0</v>
      </c>
      <c r="V143" s="140">
        <f t="shared" si="36"/>
        <v>0</v>
      </c>
      <c r="W143" s="140">
        <f t="shared" si="36"/>
        <v>0</v>
      </c>
      <c r="X143" s="140">
        <f t="shared" si="36"/>
        <v>0</v>
      </c>
      <c r="Y143" s="140">
        <f t="shared" si="36"/>
        <v>0</v>
      </c>
      <c r="Z143" s="140">
        <f t="shared" si="36"/>
        <v>0</v>
      </c>
      <c r="AA143" s="140">
        <f t="shared" si="36"/>
        <v>0</v>
      </c>
      <c r="AB143" s="140">
        <f t="shared" si="36"/>
        <v>0</v>
      </c>
      <c r="AC143" s="140">
        <f t="shared" si="36"/>
        <v>0</v>
      </c>
      <c r="AD143" s="140">
        <f t="shared" si="36"/>
        <v>0</v>
      </c>
      <c r="AE143" s="140">
        <f t="shared" si="36"/>
        <v>0</v>
      </c>
      <c r="AF143" s="141"/>
      <c r="AG143" s="141"/>
      <c r="AH143" s="141"/>
      <c r="AI143" s="141"/>
    </row>
    <row r="144" spans="2:35" customFormat="1" ht="14.25" x14ac:dyDescent="0.45">
      <c r="B144" s="14" t="s">
        <v>2734</v>
      </c>
      <c r="C144" s="14" t="s">
        <v>2675</v>
      </c>
      <c r="D144" s="15" t="s">
        <v>2735</v>
      </c>
      <c r="E144" s="16" t="s">
        <v>2068</v>
      </c>
      <c r="F144" s="14" t="s">
        <v>2699</v>
      </c>
      <c r="G144" s="17"/>
      <c r="H144" s="17"/>
      <c r="K144" s="139"/>
      <c r="L144" s="142">
        <f t="shared" ref="L144:AE144" si="37">SUMPRODUCT(L$45:L$52*(1-EXP(-L$55:L$62*L$143)))+SUMPRODUCT(L$101:L$116*(1-EXP(-L$65:L$80*L$143)))</f>
        <v>0</v>
      </c>
      <c r="M144" s="142">
        <f t="shared" si="37"/>
        <v>0</v>
      </c>
      <c r="N144" s="142">
        <f t="shared" si="37"/>
        <v>0</v>
      </c>
      <c r="O144" s="142">
        <f t="shared" si="37"/>
        <v>0</v>
      </c>
      <c r="P144" s="142">
        <f t="shared" si="37"/>
        <v>0</v>
      </c>
      <c r="Q144" s="142">
        <f t="shared" si="37"/>
        <v>0</v>
      </c>
      <c r="R144" s="142">
        <f t="shared" si="37"/>
        <v>0</v>
      </c>
      <c r="S144" s="142">
        <f t="shared" si="37"/>
        <v>0</v>
      </c>
      <c r="T144" s="142">
        <f t="shared" si="37"/>
        <v>0</v>
      </c>
      <c r="U144" s="142">
        <f t="shared" si="37"/>
        <v>0</v>
      </c>
      <c r="V144" s="142">
        <f t="shared" si="37"/>
        <v>0</v>
      </c>
      <c r="W144" s="142">
        <f t="shared" si="37"/>
        <v>0</v>
      </c>
      <c r="X144" s="142">
        <f t="shared" si="37"/>
        <v>0</v>
      </c>
      <c r="Y144" s="142">
        <f t="shared" si="37"/>
        <v>0</v>
      </c>
      <c r="Z144" s="142">
        <f t="shared" si="37"/>
        <v>0</v>
      </c>
      <c r="AA144" s="142">
        <f t="shared" si="37"/>
        <v>0</v>
      </c>
      <c r="AB144" s="142">
        <f t="shared" si="37"/>
        <v>0</v>
      </c>
      <c r="AC144" s="142">
        <f t="shared" si="37"/>
        <v>0</v>
      </c>
      <c r="AD144" s="142">
        <f t="shared" si="37"/>
        <v>0</v>
      </c>
      <c r="AE144" s="142">
        <f t="shared" si="37"/>
        <v>0</v>
      </c>
      <c r="AF144" s="141"/>
      <c r="AG144" s="141"/>
      <c r="AH144" s="141"/>
      <c r="AI144" s="141"/>
    </row>
    <row r="145" spans="2:35" customFormat="1" ht="14.25" x14ac:dyDescent="0.45">
      <c r="B145" s="14" t="s">
        <v>2736</v>
      </c>
      <c r="C145" s="14" t="s">
        <v>2675</v>
      </c>
      <c r="D145" s="15" t="s">
        <v>2737</v>
      </c>
      <c r="E145" s="16" t="s">
        <v>1854</v>
      </c>
      <c r="F145" s="14" t="s">
        <v>2702</v>
      </c>
      <c r="G145" s="17"/>
      <c r="H145" s="17"/>
      <c r="K145" s="139"/>
      <c r="L145" s="140">
        <f t="shared" ref="L145:AE145" si="38">IF($F$4="COST",(SUMPRODUCT(L$45:L$52*((1-EXP(-L$55:L$62*L$143))/(L$55:L$62+(L$55:L$62=0))-L$143*EXP(-L$55:L$62*L$143)*(L$55:L$62&lt;&gt;0)))+SUMPRODUCT(L$101:L$116*((1-EXP(-L$65:L$80*L$143))/(L$65:L$80+(L$65:L$80=0))-L$143*EXP(-L$65:L$80*L$143)*(L$65:L$80&lt;&gt;0)))),L$143*L$144)</f>
        <v>0</v>
      </c>
      <c r="M145" s="140">
        <f t="shared" si="38"/>
        <v>0</v>
      </c>
      <c r="N145" s="140">
        <f t="shared" si="38"/>
        <v>0</v>
      </c>
      <c r="O145" s="140">
        <f t="shared" si="38"/>
        <v>0</v>
      </c>
      <c r="P145" s="140">
        <f t="shared" si="38"/>
        <v>0</v>
      </c>
      <c r="Q145" s="140">
        <f t="shared" si="38"/>
        <v>0</v>
      </c>
      <c r="R145" s="140">
        <f t="shared" si="38"/>
        <v>0</v>
      </c>
      <c r="S145" s="140">
        <f t="shared" si="38"/>
        <v>0</v>
      </c>
      <c r="T145" s="140">
        <f t="shared" si="38"/>
        <v>0</v>
      </c>
      <c r="U145" s="140">
        <f t="shared" si="38"/>
        <v>0</v>
      </c>
      <c r="V145" s="140">
        <f t="shared" si="38"/>
        <v>0</v>
      </c>
      <c r="W145" s="140">
        <f t="shared" si="38"/>
        <v>0</v>
      </c>
      <c r="X145" s="140">
        <f t="shared" si="38"/>
        <v>0</v>
      </c>
      <c r="Y145" s="140">
        <f t="shared" si="38"/>
        <v>0</v>
      </c>
      <c r="Z145" s="140">
        <f t="shared" si="38"/>
        <v>0</v>
      </c>
      <c r="AA145" s="140">
        <f t="shared" si="38"/>
        <v>0</v>
      </c>
      <c r="AB145" s="140">
        <f t="shared" si="38"/>
        <v>0</v>
      </c>
      <c r="AC145" s="140">
        <f t="shared" si="38"/>
        <v>0</v>
      </c>
      <c r="AD145" s="140">
        <f t="shared" si="38"/>
        <v>0</v>
      </c>
      <c r="AE145" s="140">
        <f t="shared" si="38"/>
        <v>0</v>
      </c>
      <c r="AF145" s="141"/>
      <c r="AG145" s="141"/>
      <c r="AH145" s="141"/>
      <c r="AI145" s="141"/>
    </row>
    <row r="146" spans="2:35" customFormat="1" ht="14.25" x14ac:dyDescent="0.45">
      <c r="B146" s="14" t="s">
        <v>2738</v>
      </c>
      <c r="C146" s="14" t="s">
        <v>2675</v>
      </c>
      <c r="D146" s="15" t="s">
        <v>2739</v>
      </c>
      <c r="E146" s="16" t="s">
        <v>2705</v>
      </c>
      <c r="F146" s="14" t="s">
        <v>2706</v>
      </c>
      <c r="G146" s="17"/>
      <c r="H146" s="17"/>
      <c r="K146" s="139"/>
      <c r="L146" s="142">
        <f t="shared" ref="L146:AE146" si="39">IF($F$4="COST",L$143*(SUMPRODUCT(L$45:L$52*L$55:L$62*EXP(-L$55:L$62*L$143))+SUMPRODUCT(L$101:L$116*L$65:L$80*EXP(-L$65:L$80*L$143))),L$144+L$143*(SUMPRODUCT(L$45:L$52*L$55:L$62*EXP(-L$55:L$62*L$143))+SUMPRODUCT(L$101:L$116*L$65:L$80*EXP(-L$65:L$80*L$143))))</f>
        <v>0</v>
      </c>
      <c r="M146" s="142">
        <f t="shared" si="39"/>
        <v>0</v>
      </c>
      <c r="N146" s="142">
        <f t="shared" si="39"/>
        <v>0</v>
      </c>
      <c r="O146" s="142">
        <f t="shared" si="39"/>
        <v>0</v>
      </c>
      <c r="P146" s="142">
        <f t="shared" si="39"/>
        <v>0</v>
      </c>
      <c r="Q146" s="142">
        <f t="shared" si="39"/>
        <v>0</v>
      </c>
      <c r="R146" s="142">
        <f t="shared" si="39"/>
        <v>0</v>
      </c>
      <c r="S146" s="142">
        <f t="shared" si="39"/>
        <v>0</v>
      </c>
      <c r="T146" s="142">
        <f t="shared" si="39"/>
        <v>0</v>
      </c>
      <c r="U146" s="142">
        <f t="shared" si="39"/>
        <v>0</v>
      </c>
      <c r="V146" s="142">
        <f t="shared" si="39"/>
        <v>0</v>
      </c>
      <c r="W146" s="142">
        <f t="shared" si="39"/>
        <v>0</v>
      </c>
      <c r="X146" s="142">
        <f t="shared" si="39"/>
        <v>0</v>
      </c>
      <c r="Y146" s="142">
        <f t="shared" si="39"/>
        <v>0</v>
      </c>
      <c r="Z146" s="142">
        <f t="shared" si="39"/>
        <v>0</v>
      </c>
      <c r="AA146" s="142">
        <f t="shared" si="39"/>
        <v>0</v>
      </c>
      <c r="AB146" s="142">
        <f t="shared" si="39"/>
        <v>0</v>
      </c>
      <c r="AC146" s="142">
        <f t="shared" si="39"/>
        <v>0</v>
      </c>
      <c r="AD146" s="142">
        <f t="shared" si="39"/>
        <v>0</v>
      </c>
      <c r="AE146" s="142">
        <f t="shared" si="39"/>
        <v>0</v>
      </c>
      <c r="AF146" s="141"/>
      <c r="AG146" s="141"/>
      <c r="AH146" s="141"/>
      <c r="AI146" s="141"/>
    </row>
    <row r="147" spans="2:35" customFormat="1" ht="14.25" x14ac:dyDescent="0.45">
      <c r="B147" s="14" t="s">
        <v>2740</v>
      </c>
      <c r="C147" s="14" t="s">
        <v>2675</v>
      </c>
      <c r="D147" s="15" t="s">
        <v>2741</v>
      </c>
      <c r="E147" s="16" t="s">
        <v>1398</v>
      </c>
      <c r="F147" s="14" t="s">
        <v>2709</v>
      </c>
      <c r="G147" s="17"/>
      <c r="H147" s="17"/>
      <c r="K147" s="139"/>
      <c r="L147" s="140">
        <f t="shared" ref="L147:AE147" si="40">IF(L$122&lt;=0,0,IF(L$146&lt;=0,L$143,MIN($F$5,IF(L$143-(L$145-L$122)/L$146&lt;=0,L$143/2,L$143-(L$145-L$122)/L$146))))</f>
        <v>0</v>
      </c>
      <c r="M147" s="140">
        <f t="shared" si="40"/>
        <v>0</v>
      </c>
      <c r="N147" s="140">
        <f t="shared" si="40"/>
        <v>0</v>
      </c>
      <c r="O147" s="140">
        <f t="shared" si="40"/>
        <v>0</v>
      </c>
      <c r="P147" s="140">
        <f t="shared" si="40"/>
        <v>0</v>
      </c>
      <c r="Q147" s="140">
        <f t="shared" si="40"/>
        <v>0</v>
      </c>
      <c r="R147" s="140">
        <f t="shared" si="40"/>
        <v>0</v>
      </c>
      <c r="S147" s="140">
        <f t="shared" si="40"/>
        <v>0</v>
      </c>
      <c r="T147" s="140">
        <f t="shared" si="40"/>
        <v>0</v>
      </c>
      <c r="U147" s="140">
        <f t="shared" si="40"/>
        <v>0</v>
      </c>
      <c r="V147" s="140">
        <f t="shared" si="40"/>
        <v>0</v>
      </c>
      <c r="W147" s="140">
        <f t="shared" si="40"/>
        <v>0</v>
      </c>
      <c r="X147" s="140">
        <f t="shared" si="40"/>
        <v>0</v>
      </c>
      <c r="Y147" s="140">
        <f t="shared" si="40"/>
        <v>0</v>
      </c>
      <c r="Z147" s="140">
        <f t="shared" si="40"/>
        <v>0</v>
      </c>
      <c r="AA147" s="140">
        <f t="shared" si="40"/>
        <v>0</v>
      </c>
      <c r="AB147" s="140">
        <f t="shared" si="40"/>
        <v>0</v>
      </c>
      <c r="AC147" s="140">
        <f t="shared" si="40"/>
        <v>0</v>
      </c>
      <c r="AD147" s="140">
        <f t="shared" si="40"/>
        <v>0</v>
      </c>
      <c r="AE147" s="140">
        <f t="shared" si="40"/>
        <v>0</v>
      </c>
      <c r="AF147" s="141"/>
      <c r="AG147" s="141"/>
      <c r="AH147" s="141"/>
      <c r="AI147" s="141"/>
    </row>
    <row r="148" spans="2:35" customFormat="1" ht="14.25" x14ac:dyDescent="0.45">
      <c r="B148" s="14" t="s">
        <v>2742</v>
      </c>
      <c r="C148" s="14" t="s">
        <v>2675</v>
      </c>
      <c r="D148" s="15" t="s">
        <v>2743</v>
      </c>
      <c r="E148" s="16" t="s">
        <v>2068</v>
      </c>
      <c r="F148" s="14" t="s">
        <v>2699</v>
      </c>
      <c r="G148" s="17"/>
      <c r="H148" s="17"/>
      <c r="K148" s="139"/>
      <c r="L148" s="142">
        <f t="shared" ref="L148:AE148" si="41">SUMPRODUCT(L$45:L$52*(1-EXP(-L$55:L$62*L$147)))+SUMPRODUCT(L$101:L$116*(1-EXP(-L$65:L$80*L$147)))</f>
        <v>0</v>
      </c>
      <c r="M148" s="142">
        <f t="shared" si="41"/>
        <v>0</v>
      </c>
      <c r="N148" s="142">
        <f t="shared" si="41"/>
        <v>0</v>
      </c>
      <c r="O148" s="142">
        <f t="shared" si="41"/>
        <v>0</v>
      </c>
      <c r="P148" s="142">
        <f t="shared" si="41"/>
        <v>0</v>
      </c>
      <c r="Q148" s="142">
        <f t="shared" si="41"/>
        <v>0</v>
      </c>
      <c r="R148" s="142">
        <f t="shared" si="41"/>
        <v>0</v>
      </c>
      <c r="S148" s="142">
        <f t="shared" si="41"/>
        <v>0</v>
      </c>
      <c r="T148" s="142">
        <f t="shared" si="41"/>
        <v>0</v>
      </c>
      <c r="U148" s="142">
        <f t="shared" si="41"/>
        <v>0</v>
      </c>
      <c r="V148" s="142">
        <f t="shared" si="41"/>
        <v>0</v>
      </c>
      <c r="W148" s="142">
        <f t="shared" si="41"/>
        <v>0</v>
      </c>
      <c r="X148" s="142">
        <f t="shared" si="41"/>
        <v>0</v>
      </c>
      <c r="Y148" s="142">
        <f t="shared" si="41"/>
        <v>0</v>
      </c>
      <c r="Z148" s="142">
        <f t="shared" si="41"/>
        <v>0</v>
      </c>
      <c r="AA148" s="142">
        <f t="shared" si="41"/>
        <v>0</v>
      </c>
      <c r="AB148" s="142">
        <f t="shared" si="41"/>
        <v>0</v>
      </c>
      <c r="AC148" s="142">
        <f t="shared" si="41"/>
        <v>0</v>
      </c>
      <c r="AD148" s="142">
        <f t="shared" si="41"/>
        <v>0</v>
      </c>
      <c r="AE148" s="142">
        <f t="shared" si="41"/>
        <v>0</v>
      </c>
      <c r="AF148" s="141"/>
      <c r="AG148" s="141"/>
      <c r="AH148" s="141"/>
      <c r="AI148" s="141"/>
    </row>
    <row r="149" spans="2:35" customFormat="1" ht="14.25" x14ac:dyDescent="0.45">
      <c r="B149" s="14" t="s">
        <v>2744</v>
      </c>
      <c r="C149" s="14" t="s">
        <v>2675</v>
      </c>
      <c r="D149" s="15" t="s">
        <v>2745</v>
      </c>
      <c r="E149" s="16" t="s">
        <v>1854</v>
      </c>
      <c r="F149" s="14" t="s">
        <v>2702</v>
      </c>
      <c r="G149" s="17"/>
      <c r="H149" s="17"/>
      <c r="K149" s="139"/>
      <c r="L149" s="140">
        <f t="shared" ref="L149:AE149" si="42">IF($F$4="COST",(SUMPRODUCT(L$45:L$52*((1-EXP(-L$55:L$62*L$147))/(L$55:L$62+(L$55:L$62=0))-L$147*EXP(-L$55:L$62*L$147)*(L$55:L$62&lt;&gt;0)))+SUMPRODUCT(L$101:L$116*((1-EXP(-L$65:L$80*L$147))/(L$65:L$80+(L$65:L$80=0))-L$147*EXP(-L$65:L$80*L$147)*(L$65:L$80&lt;&gt;0)))),L$147*L$148)</f>
        <v>0</v>
      </c>
      <c r="M149" s="140">
        <f t="shared" si="42"/>
        <v>0</v>
      </c>
      <c r="N149" s="140">
        <f t="shared" si="42"/>
        <v>0</v>
      </c>
      <c r="O149" s="140">
        <f t="shared" si="42"/>
        <v>0</v>
      </c>
      <c r="P149" s="140">
        <f t="shared" si="42"/>
        <v>0</v>
      </c>
      <c r="Q149" s="140">
        <f t="shared" si="42"/>
        <v>0</v>
      </c>
      <c r="R149" s="140">
        <f t="shared" si="42"/>
        <v>0</v>
      </c>
      <c r="S149" s="140">
        <f t="shared" si="42"/>
        <v>0</v>
      </c>
      <c r="T149" s="140">
        <f t="shared" si="42"/>
        <v>0</v>
      </c>
      <c r="U149" s="140">
        <f t="shared" si="42"/>
        <v>0</v>
      </c>
      <c r="V149" s="140">
        <f t="shared" si="42"/>
        <v>0</v>
      </c>
      <c r="W149" s="140">
        <f t="shared" si="42"/>
        <v>0</v>
      </c>
      <c r="X149" s="140">
        <f t="shared" si="42"/>
        <v>0</v>
      </c>
      <c r="Y149" s="140">
        <f t="shared" si="42"/>
        <v>0</v>
      </c>
      <c r="Z149" s="140">
        <f t="shared" si="42"/>
        <v>0</v>
      </c>
      <c r="AA149" s="140">
        <f t="shared" si="42"/>
        <v>0</v>
      </c>
      <c r="AB149" s="140">
        <f t="shared" si="42"/>
        <v>0</v>
      </c>
      <c r="AC149" s="140">
        <f t="shared" si="42"/>
        <v>0</v>
      </c>
      <c r="AD149" s="140">
        <f t="shared" si="42"/>
        <v>0</v>
      </c>
      <c r="AE149" s="140">
        <f t="shared" si="42"/>
        <v>0</v>
      </c>
      <c r="AF149" s="141"/>
      <c r="AG149" s="141"/>
      <c r="AH149" s="141"/>
      <c r="AI149" s="141"/>
    </row>
    <row r="150" spans="2:35" customFormat="1" ht="14.25" x14ac:dyDescent="0.45">
      <c r="B150" s="14" t="s">
        <v>2746</v>
      </c>
      <c r="C150" s="14" t="s">
        <v>2675</v>
      </c>
      <c r="D150" s="15" t="s">
        <v>2747</v>
      </c>
      <c r="E150" s="16" t="s">
        <v>2705</v>
      </c>
      <c r="F150" s="14" t="s">
        <v>2706</v>
      </c>
      <c r="G150" s="17"/>
      <c r="H150" s="17"/>
      <c r="K150" s="139"/>
      <c r="L150" s="142">
        <f t="shared" ref="L150:AE150" si="43">IF($F$4="COST",L$147*(SUMPRODUCT(L$45:L$52*L$55:L$62*EXP(-L$55:L$62*L$147))+SUMPRODUCT(L$101:L$116*L$65:L$80*EXP(-L$65:L$80*L$147))),L$148+L$147*(SUMPRODUCT(L$45:L$52*L$55:L$62*EXP(-L$55:L$62*L$147))+SUMPRODUCT(L$101:L$116*L$65:L$80*EXP(-L$65:L$80*L$147))))</f>
        <v>0</v>
      </c>
      <c r="M150" s="142">
        <f t="shared" si="43"/>
        <v>0</v>
      </c>
      <c r="N150" s="142">
        <f t="shared" si="43"/>
        <v>0</v>
      </c>
      <c r="O150" s="142">
        <f t="shared" si="43"/>
        <v>0</v>
      </c>
      <c r="P150" s="142">
        <f t="shared" si="43"/>
        <v>0</v>
      </c>
      <c r="Q150" s="142">
        <f t="shared" si="43"/>
        <v>0</v>
      </c>
      <c r="R150" s="142">
        <f t="shared" si="43"/>
        <v>0</v>
      </c>
      <c r="S150" s="142">
        <f t="shared" si="43"/>
        <v>0</v>
      </c>
      <c r="T150" s="142">
        <f t="shared" si="43"/>
        <v>0</v>
      </c>
      <c r="U150" s="142">
        <f t="shared" si="43"/>
        <v>0</v>
      </c>
      <c r="V150" s="142">
        <f t="shared" si="43"/>
        <v>0</v>
      </c>
      <c r="W150" s="142">
        <f t="shared" si="43"/>
        <v>0</v>
      </c>
      <c r="X150" s="142">
        <f t="shared" si="43"/>
        <v>0</v>
      </c>
      <c r="Y150" s="142">
        <f t="shared" si="43"/>
        <v>0</v>
      </c>
      <c r="Z150" s="142">
        <f t="shared" si="43"/>
        <v>0</v>
      </c>
      <c r="AA150" s="142">
        <f t="shared" si="43"/>
        <v>0</v>
      </c>
      <c r="AB150" s="142">
        <f t="shared" si="43"/>
        <v>0</v>
      </c>
      <c r="AC150" s="142">
        <f t="shared" si="43"/>
        <v>0</v>
      </c>
      <c r="AD150" s="142">
        <f t="shared" si="43"/>
        <v>0</v>
      </c>
      <c r="AE150" s="142">
        <f t="shared" si="43"/>
        <v>0</v>
      </c>
      <c r="AF150" s="141"/>
      <c r="AG150" s="141"/>
      <c r="AH150" s="141"/>
      <c r="AI150" s="141"/>
    </row>
    <row r="151" spans="2:35" customFormat="1" ht="14.25" x14ac:dyDescent="0.45">
      <c r="B151" s="14" t="s">
        <v>2748</v>
      </c>
      <c r="C151" s="14" t="s">
        <v>2675</v>
      </c>
      <c r="D151" s="15" t="s">
        <v>2749</v>
      </c>
      <c r="E151" s="16" t="s">
        <v>1398</v>
      </c>
      <c r="F151" s="14" t="s">
        <v>2709</v>
      </c>
      <c r="G151" s="17"/>
      <c r="H151" s="17"/>
      <c r="K151" s="139"/>
      <c r="L151" s="140">
        <f t="shared" ref="L151:AE151" si="44">IF(L$122&lt;=0,0,IF(L$150&lt;=0,L$147,MIN($F$5,IF(L$147-(L$149-L$122)/L$150&lt;=0,L$147/2,L$147-(L$149-L$122)/L$150))))</f>
        <v>0</v>
      </c>
      <c r="M151" s="140">
        <f t="shared" si="44"/>
        <v>0</v>
      </c>
      <c r="N151" s="140">
        <f t="shared" si="44"/>
        <v>0</v>
      </c>
      <c r="O151" s="140">
        <f t="shared" si="44"/>
        <v>0</v>
      </c>
      <c r="P151" s="140">
        <f t="shared" si="44"/>
        <v>0</v>
      </c>
      <c r="Q151" s="140">
        <f t="shared" si="44"/>
        <v>0</v>
      </c>
      <c r="R151" s="140">
        <f t="shared" si="44"/>
        <v>0</v>
      </c>
      <c r="S151" s="140">
        <f t="shared" si="44"/>
        <v>0</v>
      </c>
      <c r="T151" s="140">
        <f t="shared" si="44"/>
        <v>0</v>
      </c>
      <c r="U151" s="140">
        <f t="shared" si="44"/>
        <v>0</v>
      </c>
      <c r="V151" s="140">
        <f t="shared" si="44"/>
        <v>0</v>
      </c>
      <c r="W151" s="140">
        <f t="shared" si="44"/>
        <v>0</v>
      </c>
      <c r="X151" s="140">
        <f t="shared" si="44"/>
        <v>0</v>
      </c>
      <c r="Y151" s="140">
        <f t="shared" si="44"/>
        <v>0</v>
      </c>
      <c r="Z151" s="140">
        <f t="shared" si="44"/>
        <v>0</v>
      </c>
      <c r="AA151" s="140">
        <f t="shared" si="44"/>
        <v>0</v>
      </c>
      <c r="AB151" s="140">
        <f t="shared" si="44"/>
        <v>0</v>
      </c>
      <c r="AC151" s="140">
        <f t="shared" si="44"/>
        <v>0</v>
      </c>
      <c r="AD151" s="140">
        <f t="shared" si="44"/>
        <v>0</v>
      </c>
      <c r="AE151" s="140">
        <f t="shared" si="44"/>
        <v>0</v>
      </c>
      <c r="AF151" s="141"/>
      <c r="AG151" s="141"/>
      <c r="AH151" s="141"/>
      <c r="AI151" s="141"/>
    </row>
    <row r="152" spans="2:35" customFormat="1" ht="14.25" x14ac:dyDescent="0.45">
      <c r="B152" s="14" t="s">
        <v>2750</v>
      </c>
      <c r="C152" s="14" t="s">
        <v>2675</v>
      </c>
      <c r="D152" s="15" t="s">
        <v>2751</v>
      </c>
      <c r="E152" s="16" t="s">
        <v>2068</v>
      </c>
      <c r="F152" s="14" t="s">
        <v>2699</v>
      </c>
      <c r="G152" s="17"/>
      <c r="H152" s="17"/>
      <c r="K152" s="139"/>
      <c r="L152" s="142">
        <f t="shared" ref="L152:AE152" si="45">SUMPRODUCT(L$45:L$52*(1-EXP(-L$55:L$62*L$151)))+SUMPRODUCT(L$101:L$116*(1-EXP(-L$65:L$80*L$151)))</f>
        <v>0</v>
      </c>
      <c r="M152" s="142">
        <f t="shared" si="45"/>
        <v>0</v>
      </c>
      <c r="N152" s="142">
        <f t="shared" si="45"/>
        <v>0</v>
      </c>
      <c r="O152" s="142">
        <f t="shared" si="45"/>
        <v>0</v>
      </c>
      <c r="P152" s="142">
        <f t="shared" si="45"/>
        <v>0</v>
      </c>
      <c r="Q152" s="142">
        <f t="shared" si="45"/>
        <v>0</v>
      </c>
      <c r="R152" s="142">
        <f t="shared" si="45"/>
        <v>0</v>
      </c>
      <c r="S152" s="142">
        <f t="shared" si="45"/>
        <v>0</v>
      </c>
      <c r="T152" s="142">
        <f t="shared" si="45"/>
        <v>0</v>
      </c>
      <c r="U152" s="142">
        <f t="shared" si="45"/>
        <v>0</v>
      </c>
      <c r="V152" s="142">
        <f t="shared" si="45"/>
        <v>0</v>
      </c>
      <c r="W152" s="142">
        <f t="shared" si="45"/>
        <v>0</v>
      </c>
      <c r="X152" s="142">
        <f t="shared" si="45"/>
        <v>0</v>
      </c>
      <c r="Y152" s="142">
        <f t="shared" si="45"/>
        <v>0</v>
      </c>
      <c r="Z152" s="142">
        <f t="shared" si="45"/>
        <v>0</v>
      </c>
      <c r="AA152" s="142">
        <f t="shared" si="45"/>
        <v>0</v>
      </c>
      <c r="AB152" s="142">
        <f t="shared" si="45"/>
        <v>0</v>
      </c>
      <c r="AC152" s="142">
        <f t="shared" si="45"/>
        <v>0</v>
      </c>
      <c r="AD152" s="142">
        <f t="shared" si="45"/>
        <v>0</v>
      </c>
      <c r="AE152" s="142">
        <f t="shared" si="45"/>
        <v>0</v>
      </c>
      <c r="AF152" s="141"/>
      <c r="AG152" s="141"/>
      <c r="AH152" s="141"/>
      <c r="AI152" s="141"/>
    </row>
    <row r="153" spans="2:35" customFormat="1" ht="14.25" x14ac:dyDescent="0.45">
      <c r="B153" s="14" t="s">
        <v>2752</v>
      </c>
      <c r="C153" s="14" t="s">
        <v>2675</v>
      </c>
      <c r="D153" s="15" t="s">
        <v>2753</v>
      </c>
      <c r="E153" s="16" t="s">
        <v>1854</v>
      </c>
      <c r="F153" s="14" t="s">
        <v>2702</v>
      </c>
      <c r="G153" s="17"/>
      <c r="H153" s="17"/>
      <c r="K153" s="139"/>
      <c r="L153" s="140">
        <f t="shared" ref="L153:AE153" si="46">IF($F$4="COST",(SUMPRODUCT(L$45:L$52*((1-EXP(-L$55:L$62*L$151))/(L$55:L$62+(L$55:L$62=0))-L$151*EXP(-L$55:L$62*L$151)*(L$55:L$62&lt;&gt;0)))+SUMPRODUCT(L$101:L$116*((1-EXP(-L$65:L$80*L$151))/(L$65:L$80+(L$65:L$80=0))-L$151*EXP(-L$65:L$80*L$151)*(L$65:L$80&lt;&gt;0)))),L$151*L$152)</f>
        <v>0</v>
      </c>
      <c r="M153" s="140">
        <f t="shared" si="46"/>
        <v>0</v>
      </c>
      <c r="N153" s="140">
        <f t="shared" si="46"/>
        <v>0</v>
      </c>
      <c r="O153" s="140">
        <f t="shared" si="46"/>
        <v>0</v>
      </c>
      <c r="P153" s="140">
        <f t="shared" si="46"/>
        <v>0</v>
      </c>
      <c r="Q153" s="140">
        <f t="shared" si="46"/>
        <v>0</v>
      </c>
      <c r="R153" s="140">
        <f t="shared" si="46"/>
        <v>0</v>
      </c>
      <c r="S153" s="140">
        <f t="shared" si="46"/>
        <v>0</v>
      </c>
      <c r="T153" s="140">
        <f t="shared" si="46"/>
        <v>0</v>
      </c>
      <c r="U153" s="140">
        <f t="shared" si="46"/>
        <v>0</v>
      </c>
      <c r="V153" s="140">
        <f t="shared" si="46"/>
        <v>0</v>
      </c>
      <c r="W153" s="140">
        <f t="shared" si="46"/>
        <v>0</v>
      </c>
      <c r="X153" s="140">
        <f t="shared" si="46"/>
        <v>0</v>
      </c>
      <c r="Y153" s="140">
        <f t="shared" si="46"/>
        <v>0</v>
      </c>
      <c r="Z153" s="140">
        <f t="shared" si="46"/>
        <v>0</v>
      </c>
      <c r="AA153" s="140">
        <f t="shared" si="46"/>
        <v>0</v>
      </c>
      <c r="AB153" s="140">
        <f t="shared" si="46"/>
        <v>0</v>
      </c>
      <c r="AC153" s="140">
        <f t="shared" si="46"/>
        <v>0</v>
      </c>
      <c r="AD153" s="140">
        <f t="shared" si="46"/>
        <v>0</v>
      </c>
      <c r="AE153" s="140">
        <f t="shared" si="46"/>
        <v>0</v>
      </c>
      <c r="AF153" s="141"/>
      <c r="AG153" s="141"/>
      <c r="AH153" s="141"/>
      <c r="AI153" s="141"/>
    </row>
    <row r="154" spans="2:35" customFormat="1" ht="14.25" x14ac:dyDescent="0.45">
      <c r="B154" s="14" t="s">
        <v>2754</v>
      </c>
      <c r="C154" s="14" t="s">
        <v>2675</v>
      </c>
      <c r="D154" s="15" t="s">
        <v>2755</v>
      </c>
      <c r="E154" s="16" t="s">
        <v>2705</v>
      </c>
      <c r="F154" s="14" t="s">
        <v>2706</v>
      </c>
      <c r="G154" s="17"/>
      <c r="H154" s="17"/>
      <c r="K154" s="139"/>
      <c r="L154" s="142">
        <f t="shared" ref="L154:AE154" si="47">IF($F$4="COST",L$151*(SUMPRODUCT(L$45:L$52*L$55:L$62*EXP(-L$55:L$62*L$151))+SUMPRODUCT(L$101:L$116*L$65:L$80*EXP(-L$65:L$80*L$151))),L$152+L$151*(SUMPRODUCT(L$45:L$52*L$55:L$62*EXP(-L$55:L$62*L$151))+SUMPRODUCT(L$101:L$116*L$65:L$80*EXP(-L$65:L$80*L$151))))</f>
        <v>0</v>
      </c>
      <c r="M154" s="142">
        <f t="shared" si="47"/>
        <v>0</v>
      </c>
      <c r="N154" s="142">
        <f t="shared" si="47"/>
        <v>0</v>
      </c>
      <c r="O154" s="142">
        <f t="shared" si="47"/>
        <v>0</v>
      </c>
      <c r="P154" s="142">
        <f t="shared" si="47"/>
        <v>0</v>
      </c>
      <c r="Q154" s="142">
        <f t="shared" si="47"/>
        <v>0</v>
      </c>
      <c r="R154" s="142">
        <f t="shared" si="47"/>
        <v>0</v>
      </c>
      <c r="S154" s="142">
        <f t="shared" si="47"/>
        <v>0</v>
      </c>
      <c r="T154" s="142">
        <f t="shared" si="47"/>
        <v>0</v>
      </c>
      <c r="U154" s="142">
        <f t="shared" si="47"/>
        <v>0</v>
      </c>
      <c r="V154" s="142">
        <f t="shared" si="47"/>
        <v>0</v>
      </c>
      <c r="W154" s="142">
        <f t="shared" si="47"/>
        <v>0</v>
      </c>
      <c r="X154" s="142">
        <f t="shared" si="47"/>
        <v>0</v>
      </c>
      <c r="Y154" s="142">
        <f t="shared" si="47"/>
        <v>0</v>
      </c>
      <c r="Z154" s="142">
        <f t="shared" si="47"/>
        <v>0</v>
      </c>
      <c r="AA154" s="142">
        <f t="shared" si="47"/>
        <v>0</v>
      </c>
      <c r="AB154" s="142">
        <f t="shared" si="47"/>
        <v>0</v>
      </c>
      <c r="AC154" s="142">
        <f t="shared" si="47"/>
        <v>0</v>
      </c>
      <c r="AD154" s="142">
        <f t="shared" si="47"/>
        <v>0</v>
      </c>
      <c r="AE154" s="142">
        <f t="shared" si="47"/>
        <v>0</v>
      </c>
      <c r="AF154" s="141"/>
      <c r="AG154" s="141"/>
      <c r="AH154" s="141"/>
      <c r="AI154" s="141"/>
    </row>
    <row r="155" spans="2:35" customFormat="1" ht="14.25" x14ac:dyDescent="0.45">
      <c r="B155" s="14" t="s">
        <v>2756</v>
      </c>
      <c r="C155" s="14" t="s">
        <v>2675</v>
      </c>
      <c r="D155" s="15" t="s">
        <v>2757</v>
      </c>
      <c r="E155" s="16" t="s">
        <v>1398</v>
      </c>
      <c r="F155" s="14" t="s">
        <v>2709</v>
      </c>
      <c r="G155" s="17"/>
      <c r="H155" s="17"/>
      <c r="K155" s="139"/>
      <c r="L155" s="140">
        <f t="shared" ref="L155:AE155" si="48">IF(L$122&lt;=0,0,IF(L$154&lt;=0,L$151,MIN($F$5,IF(L$151-(L$153-L$122)/L$154&lt;=0,L$151/2,L$151-(L$153-L$122)/L$154))))</f>
        <v>0</v>
      </c>
      <c r="M155" s="140">
        <f t="shared" si="48"/>
        <v>0</v>
      </c>
      <c r="N155" s="140">
        <f t="shared" si="48"/>
        <v>0</v>
      </c>
      <c r="O155" s="140">
        <f t="shared" si="48"/>
        <v>0</v>
      </c>
      <c r="P155" s="140">
        <f t="shared" si="48"/>
        <v>0</v>
      </c>
      <c r="Q155" s="140">
        <f t="shared" si="48"/>
        <v>0</v>
      </c>
      <c r="R155" s="140">
        <f t="shared" si="48"/>
        <v>0</v>
      </c>
      <c r="S155" s="140">
        <f t="shared" si="48"/>
        <v>0</v>
      </c>
      <c r="T155" s="140">
        <f t="shared" si="48"/>
        <v>0</v>
      </c>
      <c r="U155" s="140">
        <f t="shared" si="48"/>
        <v>0</v>
      </c>
      <c r="V155" s="140">
        <f t="shared" si="48"/>
        <v>0</v>
      </c>
      <c r="W155" s="140">
        <f t="shared" si="48"/>
        <v>0</v>
      </c>
      <c r="X155" s="140">
        <f t="shared" si="48"/>
        <v>0</v>
      </c>
      <c r="Y155" s="140">
        <f t="shared" si="48"/>
        <v>0</v>
      </c>
      <c r="Z155" s="140">
        <f t="shared" si="48"/>
        <v>0</v>
      </c>
      <c r="AA155" s="140">
        <f t="shared" si="48"/>
        <v>0</v>
      </c>
      <c r="AB155" s="140">
        <f t="shared" si="48"/>
        <v>0</v>
      </c>
      <c r="AC155" s="140">
        <f t="shared" si="48"/>
        <v>0</v>
      </c>
      <c r="AD155" s="140">
        <f t="shared" si="48"/>
        <v>0</v>
      </c>
      <c r="AE155" s="140">
        <f t="shared" si="48"/>
        <v>0</v>
      </c>
      <c r="AF155" s="141"/>
      <c r="AG155" s="141"/>
      <c r="AH155" s="141"/>
      <c r="AI155" s="141"/>
    </row>
    <row r="156" spans="2:35" customFormat="1" ht="14.25" x14ac:dyDescent="0.45">
      <c r="B156" s="14" t="s">
        <v>2758</v>
      </c>
      <c r="C156" s="14" t="s">
        <v>2675</v>
      </c>
      <c r="D156" s="15" t="s">
        <v>2759</v>
      </c>
      <c r="E156" s="16" t="s">
        <v>2068</v>
      </c>
      <c r="F156" s="14" t="s">
        <v>2699</v>
      </c>
      <c r="G156" s="17"/>
      <c r="H156" s="17"/>
      <c r="K156" s="139"/>
      <c r="L156" s="142">
        <f t="shared" ref="L156:AE156" si="49">SUMPRODUCT(L$45:L$52*(1-EXP(-L$55:L$62*L$155)))+SUMPRODUCT(L$101:L$116*(1-EXP(-L$65:L$80*L$155)))</f>
        <v>0</v>
      </c>
      <c r="M156" s="142">
        <f t="shared" si="49"/>
        <v>0</v>
      </c>
      <c r="N156" s="142">
        <f t="shared" si="49"/>
        <v>0</v>
      </c>
      <c r="O156" s="142">
        <f t="shared" si="49"/>
        <v>0</v>
      </c>
      <c r="P156" s="142">
        <f t="shared" si="49"/>
        <v>0</v>
      </c>
      <c r="Q156" s="142">
        <f t="shared" si="49"/>
        <v>0</v>
      </c>
      <c r="R156" s="142">
        <f t="shared" si="49"/>
        <v>0</v>
      </c>
      <c r="S156" s="142">
        <f t="shared" si="49"/>
        <v>0</v>
      </c>
      <c r="T156" s="142">
        <f t="shared" si="49"/>
        <v>0</v>
      </c>
      <c r="U156" s="142">
        <f t="shared" si="49"/>
        <v>0</v>
      </c>
      <c r="V156" s="142">
        <f t="shared" si="49"/>
        <v>0</v>
      </c>
      <c r="W156" s="142">
        <f t="shared" si="49"/>
        <v>0</v>
      </c>
      <c r="X156" s="142">
        <f t="shared" si="49"/>
        <v>0</v>
      </c>
      <c r="Y156" s="142">
        <f t="shared" si="49"/>
        <v>0</v>
      </c>
      <c r="Z156" s="142">
        <f t="shared" si="49"/>
        <v>0</v>
      </c>
      <c r="AA156" s="142">
        <f t="shared" si="49"/>
        <v>0</v>
      </c>
      <c r="AB156" s="142">
        <f t="shared" si="49"/>
        <v>0</v>
      </c>
      <c r="AC156" s="142">
        <f t="shared" si="49"/>
        <v>0</v>
      </c>
      <c r="AD156" s="142">
        <f t="shared" si="49"/>
        <v>0</v>
      </c>
      <c r="AE156" s="142">
        <f t="shared" si="49"/>
        <v>0</v>
      </c>
      <c r="AF156" s="141"/>
      <c r="AG156" s="141"/>
      <c r="AH156" s="141"/>
      <c r="AI156" s="141"/>
    </row>
    <row r="157" spans="2:35" customFormat="1" ht="14.25" x14ac:dyDescent="0.45">
      <c r="B157" s="14" t="s">
        <v>2760</v>
      </c>
      <c r="C157" s="14" t="s">
        <v>2675</v>
      </c>
      <c r="D157" s="15" t="s">
        <v>2761</v>
      </c>
      <c r="E157" s="16" t="s">
        <v>1854</v>
      </c>
      <c r="F157" s="14" t="s">
        <v>2702</v>
      </c>
      <c r="G157" s="17"/>
      <c r="H157" s="17"/>
      <c r="K157" s="139"/>
      <c r="L157" s="140">
        <f t="shared" ref="L157:AE157" si="50">IF($F$4="COST",(SUMPRODUCT(L$45:L$52*((1-EXP(-L$55:L$62*L$155))/(L$55:L$62+(L$55:L$62=0))-L$155*EXP(-L$55:L$62*L$155)*(L$55:L$62&lt;&gt;0)))+SUMPRODUCT(L$101:L$116*((1-EXP(-L$65:L$80*L$155))/(L$65:L$80+(L$65:L$80=0))-L$155*EXP(-L$65:L$80*L$155)*(L$65:L$80&lt;&gt;0)))),L$155*L$156)</f>
        <v>0</v>
      </c>
      <c r="M157" s="140">
        <f t="shared" si="50"/>
        <v>0</v>
      </c>
      <c r="N157" s="140">
        <f t="shared" si="50"/>
        <v>0</v>
      </c>
      <c r="O157" s="140">
        <f t="shared" si="50"/>
        <v>0</v>
      </c>
      <c r="P157" s="140">
        <f t="shared" si="50"/>
        <v>0</v>
      </c>
      <c r="Q157" s="140">
        <f t="shared" si="50"/>
        <v>0</v>
      </c>
      <c r="R157" s="140">
        <f t="shared" si="50"/>
        <v>0</v>
      </c>
      <c r="S157" s="140">
        <f t="shared" si="50"/>
        <v>0</v>
      </c>
      <c r="T157" s="140">
        <f t="shared" si="50"/>
        <v>0</v>
      </c>
      <c r="U157" s="140">
        <f t="shared" si="50"/>
        <v>0</v>
      </c>
      <c r="V157" s="140">
        <f t="shared" si="50"/>
        <v>0</v>
      </c>
      <c r="W157" s="140">
        <f t="shared" si="50"/>
        <v>0</v>
      </c>
      <c r="X157" s="140">
        <f t="shared" si="50"/>
        <v>0</v>
      </c>
      <c r="Y157" s="140">
        <f t="shared" si="50"/>
        <v>0</v>
      </c>
      <c r="Z157" s="140">
        <f t="shared" si="50"/>
        <v>0</v>
      </c>
      <c r="AA157" s="140">
        <f t="shared" si="50"/>
        <v>0</v>
      </c>
      <c r="AB157" s="140">
        <f t="shared" si="50"/>
        <v>0</v>
      </c>
      <c r="AC157" s="140">
        <f t="shared" si="50"/>
        <v>0</v>
      </c>
      <c r="AD157" s="140">
        <f t="shared" si="50"/>
        <v>0</v>
      </c>
      <c r="AE157" s="140">
        <f t="shared" si="50"/>
        <v>0</v>
      </c>
      <c r="AF157" s="141"/>
      <c r="AG157" s="141"/>
      <c r="AH157" s="141"/>
      <c r="AI157" s="141"/>
    </row>
    <row r="158" spans="2:35" customFormat="1" ht="14.25" x14ac:dyDescent="0.45">
      <c r="B158" s="14" t="s">
        <v>2762</v>
      </c>
      <c r="C158" s="14" t="s">
        <v>2675</v>
      </c>
      <c r="D158" s="15" t="s">
        <v>2763</v>
      </c>
      <c r="E158" s="16" t="s">
        <v>2705</v>
      </c>
      <c r="F158" s="14" t="s">
        <v>2706</v>
      </c>
      <c r="G158" s="17"/>
      <c r="H158" s="17"/>
      <c r="K158" s="139"/>
      <c r="L158" s="142">
        <f t="shared" ref="L158:AE158" si="51">IF($F$4="COST",L$155*(SUMPRODUCT(L$45:L$52*L$55:L$62*EXP(-L$55:L$62*L$155))+SUMPRODUCT(L$101:L$116*L$65:L$80*EXP(-L$65:L$80*L$155))),L$156+L$155*(SUMPRODUCT(L$45:L$52*L$55:L$62*EXP(-L$55:L$62*L$155))+SUMPRODUCT(L$101:L$116*L$65:L$80*EXP(-L$65:L$80*L$155))))</f>
        <v>0</v>
      </c>
      <c r="M158" s="142">
        <f t="shared" si="51"/>
        <v>0</v>
      </c>
      <c r="N158" s="142">
        <f t="shared" si="51"/>
        <v>0</v>
      </c>
      <c r="O158" s="142">
        <f t="shared" si="51"/>
        <v>0</v>
      </c>
      <c r="P158" s="142">
        <f t="shared" si="51"/>
        <v>0</v>
      </c>
      <c r="Q158" s="142">
        <f t="shared" si="51"/>
        <v>0</v>
      </c>
      <c r="R158" s="142">
        <f t="shared" si="51"/>
        <v>0</v>
      </c>
      <c r="S158" s="142">
        <f t="shared" si="51"/>
        <v>0</v>
      </c>
      <c r="T158" s="142">
        <f t="shared" si="51"/>
        <v>0</v>
      </c>
      <c r="U158" s="142">
        <f t="shared" si="51"/>
        <v>0</v>
      </c>
      <c r="V158" s="142">
        <f t="shared" si="51"/>
        <v>0</v>
      </c>
      <c r="W158" s="142">
        <f t="shared" si="51"/>
        <v>0</v>
      </c>
      <c r="X158" s="142">
        <f t="shared" si="51"/>
        <v>0</v>
      </c>
      <c r="Y158" s="142">
        <f t="shared" si="51"/>
        <v>0</v>
      </c>
      <c r="Z158" s="142">
        <f t="shared" si="51"/>
        <v>0</v>
      </c>
      <c r="AA158" s="142">
        <f t="shared" si="51"/>
        <v>0</v>
      </c>
      <c r="AB158" s="142">
        <f t="shared" si="51"/>
        <v>0</v>
      </c>
      <c r="AC158" s="142">
        <f t="shared" si="51"/>
        <v>0</v>
      </c>
      <c r="AD158" s="142">
        <f t="shared" si="51"/>
        <v>0</v>
      </c>
      <c r="AE158" s="142">
        <f t="shared" si="51"/>
        <v>0</v>
      </c>
      <c r="AF158" s="141"/>
      <c r="AG158" s="141"/>
      <c r="AH158" s="141"/>
      <c r="AI158" s="141"/>
    </row>
    <row r="159" spans="2:35" customFormat="1" ht="14.25" x14ac:dyDescent="0.45">
      <c r="B159" s="14" t="s">
        <v>2764</v>
      </c>
      <c r="C159" s="14" t="s">
        <v>2675</v>
      </c>
      <c r="D159" s="15" t="s">
        <v>2765</v>
      </c>
      <c r="E159" s="16" t="s">
        <v>1398</v>
      </c>
      <c r="F159" s="14" t="s">
        <v>2709</v>
      </c>
      <c r="G159" s="17"/>
      <c r="H159" s="17"/>
      <c r="K159" s="139"/>
      <c r="L159" s="140">
        <f t="shared" ref="L159:AE159" si="52">IF(L$122&lt;=0,0,IF(L$158&lt;=0,L$155,MIN($F$5,IF(L$155-(L$157-L$122)/L$158&lt;=0,L$155/2,L$155-(L$157-L$122)/L$158))))</f>
        <v>0</v>
      </c>
      <c r="M159" s="140">
        <f t="shared" si="52"/>
        <v>0</v>
      </c>
      <c r="N159" s="140">
        <f t="shared" si="52"/>
        <v>0</v>
      </c>
      <c r="O159" s="140">
        <f t="shared" si="52"/>
        <v>0</v>
      </c>
      <c r="P159" s="140">
        <f t="shared" si="52"/>
        <v>0</v>
      </c>
      <c r="Q159" s="140">
        <f t="shared" si="52"/>
        <v>0</v>
      </c>
      <c r="R159" s="140">
        <f t="shared" si="52"/>
        <v>0</v>
      </c>
      <c r="S159" s="140">
        <f t="shared" si="52"/>
        <v>0</v>
      </c>
      <c r="T159" s="140">
        <f t="shared" si="52"/>
        <v>0</v>
      </c>
      <c r="U159" s="140">
        <f t="shared" si="52"/>
        <v>0</v>
      </c>
      <c r="V159" s="140">
        <f t="shared" si="52"/>
        <v>0</v>
      </c>
      <c r="W159" s="140">
        <f t="shared" si="52"/>
        <v>0</v>
      </c>
      <c r="X159" s="140">
        <f t="shared" si="52"/>
        <v>0</v>
      </c>
      <c r="Y159" s="140">
        <f t="shared" si="52"/>
        <v>0</v>
      </c>
      <c r="Z159" s="140">
        <f t="shared" si="52"/>
        <v>0</v>
      </c>
      <c r="AA159" s="140">
        <f t="shared" si="52"/>
        <v>0</v>
      </c>
      <c r="AB159" s="140">
        <f t="shared" si="52"/>
        <v>0</v>
      </c>
      <c r="AC159" s="140">
        <f t="shared" si="52"/>
        <v>0</v>
      </c>
      <c r="AD159" s="140">
        <f t="shared" si="52"/>
        <v>0</v>
      </c>
      <c r="AE159" s="140">
        <f t="shared" si="52"/>
        <v>0</v>
      </c>
      <c r="AF159" s="141"/>
      <c r="AG159" s="141"/>
      <c r="AH159" s="141"/>
      <c r="AI159" s="141"/>
    </row>
    <row r="160" spans="2:35" customFormat="1" ht="14.25" x14ac:dyDescent="0.45">
      <c r="B160" s="14" t="s">
        <v>2766</v>
      </c>
      <c r="C160" s="14" t="s">
        <v>2675</v>
      </c>
      <c r="D160" s="15" t="s">
        <v>2767</v>
      </c>
      <c r="E160" s="16" t="s">
        <v>2068</v>
      </c>
      <c r="F160" s="14" t="s">
        <v>2699</v>
      </c>
      <c r="G160" s="17"/>
      <c r="H160" s="17"/>
      <c r="K160" s="139"/>
      <c r="L160" s="142">
        <f t="shared" ref="L160:AE160" si="53">SUMPRODUCT(L$45:L$52*(1-EXP(-L$55:L$62*L$159)))+SUMPRODUCT(L$101:L$116*(1-EXP(-L$65:L$80*L$159)))</f>
        <v>0</v>
      </c>
      <c r="M160" s="142">
        <f t="shared" si="53"/>
        <v>0</v>
      </c>
      <c r="N160" s="142">
        <f t="shared" si="53"/>
        <v>0</v>
      </c>
      <c r="O160" s="142">
        <f t="shared" si="53"/>
        <v>0</v>
      </c>
      <c r="P160" s="142">
        <f t="shared" si="53"/>
        <v>0</v>
      </c>
      <c r="Q160" s="142">
        <f t="shared" si="53"/>
        <v>0</v>
      </c>
      <c r="R160" s="142">
        <f t="shared" si="53"/>
        <v>0</v>
      </c>
      <c r="S160" s="142">
        <f t="shared" si="53"/>
        <v>0</v>
      </c>
      <c r="T160" s="142">
        <f t="shared" si="53"/>
        <v>0</v>
      </c>
      <c r="U160" s="142">
        <f t="shared" si="53"/>
        <v>0</v>
      </c>
      <c r="V160" s="142">
        <f t="shared" si="53"/>
        <v>0</v>
      </c>
      <c r="W160" s="142">
        <f t="shared" si="53"/>
        <v>0</v>
      </c>
      <c r="X160" s="142">
        <f t="shared" si="53"/>
        <v>0</v>
      </c>
      <c r="Y160" s="142">
        <f t="shared" si="53"/>
        <v>0</v>
      </c>
      <c r="Z160" s="142">
        <f t="shared" si="53"/>
        <v>0</v>
      </c>
      <c r="AA160" s="142">
        <f t="shared" si="53"/>
        <v>0</v>
      </c>
      <c r="AB160" s="142">
        <f t="shared" si="53"/>
        <v>0</v>
      </c>
      <c r="AC160" s="142">
        <f t="shared" si="53"/>
        <v>0</v>
      </c>
      <c r="AD160" s="142">
        <f t="shared" si="53"/>
        <v>0</v>
      </c>
      <c r="AE160" s="142">
        <f t="shared" si="53"/>
        <v>0</v>
      </c>
      <c r="AF160" s="141"/>
      <c r="AG160" s="141"/>
      <c r="AH160" s="141"/>
      <c r="AI160" s="141"/>
    </row>
    <row r="161" spans="2:35" customFormat="1" ht="14.25" x14ac:dyDescent="0.45">
      <c r="B161" s="14" t="s">
        <v>2768</v>
      </c>
      <c r="C161" s="14" t="s">
        <v>2675</v>
      </c>
      <c r="D161" s="15" t="s">
        <v>2769</v>
      </c>
      <c r="E161" s="16" t="s">
        <v>1854</v>
      </c>
      <c r="F161" s="14" t="s">
        <v>2702</v>
      </c>
      <c r="G161" s="17"/>
      <c r="H161" s="17"/>
      <c r="K161" s="139"/>
      <c r="L161" s="140">
        <f t="shared" ref="L161:AE161" si="54">IF($F$4="COST",(SUMPRODUCT(L$45:L$52*((1-EXP(-L$55:L$62*L$159))/(L$55:L$62+(L$55:L$62=0))-L$159*EXP(-L$55:L$62*L$159)*(L$55:L$62&lt;&gt;0)))+SUMPRODUCT(L$101:L$116*((1-EXP(-L$65:L$80*L$159))/(L$65:L$80+(L$65:L$80=0))-L$159*EXP(-L$65:L$80*L$159)*(L$65:L$80&lt;&gt;0)))),L$159*L$160)</f>
        <v>0</v>
      </c>
      <c r="M161" s="140">
        <f t="shared" si="54"/>
        <v>0</v>
      </c>
      <c r="N161" s="140">
        <f t="shared" si="54"/>
        <v>0</v>
      </c>
      <c r="O161" s="140">
        <f t="shared" si="54"/>
        <v>0</v>
      </c>
      <c r="P161" s="140">
        <f t="shared" si="54"/>
        <v>0</v>
      </c>
      <c r="Q161" s="140">
        <f t="shared" si="54"/>
        <v>0</v>
      </c>
      <c r="R161" s="140">
        <f t="shared" si="54"/>
        <v>0</v>
      </c>
      <c r="S161" s="140">
        <f t="shared" si="54"/>
        <v>0</v>
      </c>
      <c r="T161" s="140">
        <f t="shared" si="54"/>
        <v>0</v>
      </c>
      <c r="U161" s="140">
        <f t="shared" si="54"/>
        <v>0</v>
      </c>
      <c r="V161" s="140">
        <f t="shared" si="54"/>
        <v>0</v>
      </c>
      <c r="W161" s="140">
        <f t="shared" si="54"/>
        <v>0</v>
      </c>
      <c r="X161" s="140">
        <f t="shared" si="54"/>
        <v>0</v>
      </c>
      <c r="Y161" s="140">
        <f t="shared" si="54"/>
        <v>0</v>
      </c>
      <c r="Z161" s="140">
        <f t="shared" si="54"/>
        <v>0</v>
      </c>
      <c r="AA161" s="140">
        <f t="shared" si="54"/>
        <v>0</v>
      </c>
      <c r="AB161" s="140">
        <f t="shared" si="54"/>
        <v>0</v>
      </c>
      <c r="AC161" s="140">
        <f t="shared" si="54"/>
        <v>0</v>
      </c>
      <c r="AD161" s="140">
        <f t="shared" si="54"/>
        <v>0</v>
      </c>
      <c r="AE161" s="140">
        <f t="shared" si="54"/>
        <v>0</v>
      </c>
      <c r="AF161" s="141"/>
      <c r="AG161" s="141"/>
      <c r="AH161" s="141"/>
      <c r="AI161" s="141"/>
    </row>
    <row r="162" spans="2:35" customFormat="1" ht="14.25" x14ac:dyDescent="0.45">
      <c r="B162" s="14" t="s">
        <v>2770</v>
      </c>
      <c r="C162" s="14" t="s">
        <v>2675</v>
      </c>
      <c r="D162" s="15" t="s">
        <v>2771</v>
      </c>
      <c r="E162" s="16" t="s">
        <v>2705</v>
      </c>
      <c r="F162" s="14" t="s">
        <v>2706</v>
      </c>
      <c r="G162" s="17"/>
      <c r="H162" s="17"/>
      <c r="K162" s="139"/>
      <c r="L162" s="142">
        <f t="shared" ref="L162:AE162" si="55">IF($F$4="COST",L$159*(SUMPRODUCT(L$45:L$52*L$55:L$62*EXP(-L$55:L$62*L$159))+SUMPRODUCT(L$101:L$116*L$65:L$80*EXP(-L$65:L$80*L$159))),L$160+L$159*(SUMPRODUCT(L$45:L$52*L$55:L$62*EXP(-L$55:L$62*L$159))+SUMPRODUCT(L$101:L$116*L$65:L$80*EXP(-L$65:L$80*L$159))))</f>
        <v>0</v>
      </c>
      <c r="M162" s="142">
        <f t="shared" si="55"/>
        <v>0</v>
      </c>
      <c r="N162" s="142">
        <f t="shared" si="55"/>
        <v>0</v>
      </c>
      <c r="O162" s="142">
        <f t="shared" si="55"/>
        <v>0</v>
      </c>
      <c r="P162" s="142">
        <f t="shared" si="55"/>
        <v>0</v>
      </c>
      <c r="Q162" s="142">
        <f t="shared" si="55"/>
        <v>0</v>
      </c>
      <c r="R162" s="142">
        <f t="shared" si="55"/>
        <v>0</v>
      </c>
      <c r="S162" s="142">
        <f t="shared" si="55"/>
        <v>0</v>
      </c>
      <c r="T162" s="142">
        <f t="shared" si="55"/>
        <v>0</v>
      </c>
      <c r="U162" s="142">
        <f t="shared" si="55"/>
        <v>0</v>
      </c>
      <c r="V162" s="142">
        <f t="shared" si="55"/>
        <v>0</v>
      </c>
      <c r="W162" s="142">
        <f t="shared" si="55"/>
        <v>0</v>
      </c>
      <c r="X162" s="142">
        <f t="shared" si="55"/>
        <v>0</v>
      </c>
      <c r="Y162" s="142">
        <f t="shared" si="55"/>
        <v>0</v>
      </c>
      <c r="Z162" s="142">
        <f t="shared" si="55"/>
        <v>0</v>
      </c>
      <c r="AA162" s="142">
        <f t="shared" si="55"/>
        <v>0</v>
      </c>
      <c r="AB162" s="142">
        <f t="shared" si="55"/>
        <v>0</v>
      </c>
      <c r="AC162" s="142">
        <f t="shared" si="55"/>
        <v>0</v>
      </c>
      <c r="AD162" s="142">
        <f t="shared" si="55"/>
        <v>0</v>
      </c>
      <c r="AE162" s="142">
        <f t="shared" si="55"/>
        <v>0</v>
      </c>
      <c r="AF162" s="141"/>
      <c r="AG162" s="141"/>
      <c r="AH162" s="141"/>
      <c r="AI162" s="141"/>
    </row>
    <row r="163" spans="2:35" customFormat="1" ht="14.25" x14ac:dyDescent="0.45">
      <c r="B163" s="14" t="s">
        <v>2772</v>
      </c>
      <c r="C163" s="14" t="s">
        <v>2675</v>
      </c>
      <c r="D163" s="15" t="s">
        <v>2773</v>
      </c>
      <c r="E163" s="16" t="s">
        <v>1398</v>
      </c>
      <c r="F163" s="14" t="s">
        <v>2709</v>
      </c>
      <c r="G163" s="17"/>
      <c r="H163" s="17"/>
      <c r="K163" s="139"/>
      <c r="L163" s="140">
        <f t="shared" ref="L163:AE163" si="56">IF(L$122&lt;=0,0,IF(L$162&lt;=0,L$159,MIN($F$5,IF(L$159-(L$161-L$122)/L$162&lt;=0,L$159/2,L$159-(L$161-L$122)/L$162))))</f>
        <v>0</v>
      </c>
      <c r="M163" s="140">
        <f t="shared" si="56"/>
        <v>0</v>
      </c>
      <c r="N163" s="140">
        <f t="shared" si="56"/>
        <v>0</v>
      </c>
      <c r="O163" s="140">
        <f t="shared" si="56"/>
        <v>0</v>
      </c>
      <c r="P163" s="140">
        <f t="shared" si="56"/>
        <v>0</v>
      </c>
      <c r="Q163" s="140">
        <f t="shared" si="56"/>
        <v>0</v>
      </c>
      <c r="R163" s="140">
        <f t="shared" si="56"/>
        <v>0</v>
      </c>
      <c r="S163" s="140">
        <f t="shared" si="56"/>
        <v>0</v>
      </c>
      <c r="T163" s="140">
        <f t="shared" si="56"/>
        <v>0</v>
      </c>
      <c r="U163" s="140">
        <f t="shared" si="56"/>
        <v>0</v>
      </c>
      <c r="V163" s="140">
        <f t="shared" si="56"/>
        <v>0</v>
      </c>
      <c r="W163" s="140">
        <f t="shared" si="56"/>
        <v>0</v>
      </c>
      <c r="X163" s="140">
        <f t="shared" si="56"/>
        <v>0</v>
      </c>
      <c r="Y163" s="140">
        <f t="shared" si="56"/>
        <v>0</v>
      </c>
      <c r="Z163" s="140">
        <f t="shared" si="56"/>
        <v>0</v>
      </c>
      <c r="AA163" s="140">
        <f t="shared" si="56"/>
        <v>0</v>
      </c>
      <c r="AB163" s="140">
        <f t="shared" si="56"/>
        <v>0</v>
      </c>
      <c r="AC163" s="140">
        <f t="shared" si="56"/>
        <v>0</v>
      </c>
      <c r="AD163" s="140">
        <f t="shared" si="56"/>
        <v>0</v>
      </c>
      <c r="AE163" s="140">
        <f t="shared" si="56"/>
        <v>0</v>
      </c>
      <c r="AF163" s="141"/>
      <c r="AG163" s="141"/>
      <c r="AH163" s="141"/>
      <c r="AI163" s="141"/>
    </row>
    <row r="164" spans="2:35" customFormat="1" ht="14.25" x14ac:dyDescent="0.45">
      <c r="B164" s="14" t="s">
        <v>2774</v>
      </c>
      <c r="C164" s="14" t="s">
        <v>2675</v>
      </c>
      <c r="D164" s="15" t="s">
        <v>2775</v>
      </c>
      <c r="E164" s="16" t="s">
        <v>2068</v>
      </c>
      <c r="F164" s="14" t="s">
        <v>2699</v>
      </c>
      <c r="G164" s="17"/>
      <c r="H164" s="17"/>
      <c r="K164" s="139"/>
      <c r="L164" s="142">
        <f t="shared" ref="L164:AE164" si="57">SUMPRODUCT(L$45:L$52*(1-EXP(-L$55:L$62*L$163)))+SUMPRODUCT(L$101:L$116*(1-EXP(-L$65:L$80*L$163)))</f>
        <v>0</v>
      </c>
      <c r="M164" s="142">
        <f t="shared" si="57"/>
        <v>0</v>
      </c>
      <c r="N164" s="142">
        <f t="shared" si="57"/>
        <v>0</v>
      </c>
      <c r="O164" s="142">
        <f t="shared" si="57"/>
        <v>0</v>
      </c>
      <c r="P164" s="142">
        <f t="shared" si="57"/>
        <v>0</v>
      </c>
      <c r="Q164" s="142">
        <f t="shared" si="57"/>
        <v>0</v>
      </c>
      <c r="R164" s="142">
        <f t="shared" si="57"/>
        <v>0</v>
      </c>
      <c r="S164" s="142">
        <f t="shared" si="57"/>
        <v>0</v>
      </c>
      <c r="T164" s="142">
        <f t="shared" si="57"/>
        <v>0</v>
      </c>
      <c r="U164" s="142">
        <f t="shared" si="57"/>
        <v>0</v>
      </c>
      <c r="V164" s="142">
        <f t="shared" si="57"/>
        <v>0</v>
      </c>
      <c r="W164" s="142">
        <f t="shared" si="57"/>
        <v>0</v>
      </c>
      <c r="X164" s="142">
        <f t="shared" si="57"/>
        <v>0</v>
      </c>
      <c r="Y164" s="142">
        <f t="shared" si="57"/>
        <v>0</v>
      </c>
      <c r="Z164" s="142">
        <f t="shared" si="57"/>
        <v>0</v>
      </c>
      <c r="AA164" s="142">
        <f t="shared" si="57"/>
        <v>0</v>
      </c>
      <c r="AB164" s="142">
        <f t="shared" si="57"/>
        <v>0</v>
      </c>
      <c r="AC164" s="142">
        <f t="shared" si="57"/>
        <v>0</v>
      </c>
      <c r="AD164" s="142">
        <f t="shared" si="57"/>
        <v>0</v>
      </c>
      <c r="AE164" s="142">
        <f t="shared" si="57"/>
        <v>0</v>
      </c>
      <c r="AF164" s="141"/>
      <c r="AG164" s="141"/>
      <c r="AH164" s="141"/>
      <c r="AI164" s="141"/>
    </row>
    <row r="165" spans="2:35" customFormat="1" ht="14.25" x14ac:dyDescent="0.45">
      <c r="B165" s="14" t="s">
        <v>2776</v>
      </c>
      <c r="C165" s="14" t="s">
        <v>2675</v>
      </c>
      <c r="D165" s="15" t="s">
        <v>2777</v>
      </c>
      <c r="E165" s="16" t="s">
        <v>1854</v>
      </c>
      <c r="F165" s="14" t="s">
        <v>2702</v>
      </c>
      <c r="G165" s="17"/>
      <c r="H165" s="17"/>
      <c r="K165" s="139"/>
      <c r="L165" s="140">
        <f t="shared" ref="L165:AE165" si="58">IF($F$4="COST",(SUMPRODUCT(L$45:L$52*((1-EXP(-L$55:L$62*L$163))/(L$55:L$62+(L$55:L$62=0))-L$163*EXP(-L$55:L$62*L$163)*(L$55:L$62&lt;&gt;0)))+SUMPRODUCT(L$101:L$116*((1-EXP(-L$65:L$80*L$163))/(L$65:L$80+(L$65:L$80=0))-L$163*EXP(-L$65:L$80*L$163)*(L$65:L$80&lt;&gt;0)))),L$163*L$164)</f>
        <v>0</v>
      </c>
      <c r="M165" s="140">
        <f t="shared" si="58"/>
        <v>0</v>
      </c>
      <c r="N165" s="140">
        <f t="shared" si="58"/>
        <v>0</v>
      </c>
      <c r="O165" s="140">
        <f t="shared" si="58"/>
        <v>0</v>
      </c>
      <c r="P165" s="140">
        <f t="shared" si="58"/>
        <v>0</v>
      </c>
      <c r="Q165" s="140">
        <f t="shared" si="58"/>
        <v>0</v>
      </c>
      <c r="R165" s="140">
        <f t="shared" si="58"/>
        <v>0</v>
      </c>
      <c r="S165" s="140">
        <f t="shared" si="58"/>
        <v>0</v>
      </c>
      <c r="T165" s="140">
        <f t="shared" si="58"/>
        <v>0</v>
      </c>
      <c r="U165" s="140">
        <f t="shared" si="58"/>
        <v>0</v>
      </c>
      <c r="V165" s="140">
        <f t="shared" si="58"/>
        <v>0</v>
      </c>
      <c r="W165" s="140">
        <f t="shared" si="58"/>
        <v>0</v>
      </c>
      <c r="X165" s="140">
        <f t="shared" si="58"/>
        <v>0</v>
      </c>
      <c r="Y165" s="140">
        <f t="shared" si="58"/>
        <v>0</v>
      </c>
      <c r="Z165" s="140">
        <f t="shared" si="58"/>
        <v>0</v>
      </c>
      <c r="AA165" s="140">
        <f t="shared" si="58"/>
        <v>0</v>
      </c>
      <c r="AB165" s="140">
        <f t="shared" si="58"/>
        <v>0</v>
      </c>
      <c r="AC165" s="140">
        <f t="shared" si="58"/>
        <v>0</v>
      </c>
      <c r="AD165" s="140">
        <f t="shared" si="58"/>
        <v>0</v>
      </c>
      <c r="AE165" s="140">
        <f t="shared" si="58"/>
        <v>0</v>
      </c>
      <c r="AF165" s="141"/>
      <c r="AG165" s="141"/>
      <c r="AH165" s="141"/>
      <c r="AI165" s="141"/>
    </row>
    <row r="166" spans="2:35" customFormat="1" ht="14.25" x14ac:dyDescent="0.45">
      <c r="B166" s="14" t="s">
        <v>2778</v>
      </c>
      <c r="C166" s="14" t="s">
        <v>2675</v>
      </c>
      <c r="D166" s="15" t="s">
        <v>2779</v>
      </c>
      <c r="E166" s="16" t="s">
        <v>2705</v>
      </c>
      <c r="F166" s="14" t="s">
        <v>2706</v>
      </c>
      <c r="G166" s="17"/>
      <c r="H166" s="17"/>
      <c r="K166" s="139"/>
      <c r="L166" s="142">
        <f t="shared" ref="L166:AE166" si="59">IF($F$4="COST",L$163*(SUMPRODUCT(L$45:L$52*L$55:L$62*EXP(-L$55:L$62*L$163))+SUMPRODUCT(L$101:L$116*L$65:L$80*EXP(-L$65:L$80*L$163))),L$164+L$163*(SUMPRODUCT(L$45:L$52*L$55:L$62*EXP(-L$55:L$62*L$163))+SUMPRODUCT(L$101:L$116*L$65:L$80*EXP(-L$65:L$80*L$163))))</f>
        <v>0</v>
      </c>
      <c r="M166" s="142">
        <f t="shared" si="59"/>
        <v>0</v>
      </c>
      <c r="N166" s="142">
        <f t="shared" si="59"/>
        <v>0</v>
      </c>
      <c r="O166" s="142">
        <f t="shared" si="59"/>
        <v>0</v>
      </c>
      <c r="P166" s="142">
        <f t="shared" si="59"/>
        <v>0</v>
      </c>
      <c r="Q166" s="142">
        <f t="shared" si="59"/>
        <v>0</v>
      </c>
      <c r="R166" s="142">
        <f t="shared" si="59"/>
        <v>0</v>
      </c>
      <c r="S166" s="142">
        <f t="shared" si="59"/>
        <v>0</v>
      </c>
      <c r="T166" s="142">
        <f t="shared" si="59"/>
        <v>0</v>
      </c>
      <c r="U166" s="142">
        <f t="shared" si="59"/>
        <v>0</v>
      </c>
      <c r="V166" s="142">
        <f t="shared" si="59"/>
        <v>0</v>
      </c>
      <c r="W166" s="142">
        <f t="shared" si="59"/>
        <v>0</v>
      </c>
      <c r="X166" s="142">
        <f t="shared" si="59"/>
        <v>0</v>
      </c>
      <c r="Y166" s="142">
        <f t="shared" si="59"/>
        <v>0</v>
      </c>
      <c r="Z166" s="142">
        <f t="shared" si="59"/>
        <v>0</v>
      </c>
      <c r="AA166" s="142">
        <f t="shared" si="59"/>
        <v>0</v>
      </c>
      <c r="AB166" s="142">
        <f t="shared" si="59"/>
        <v>0</v>
      </c>
      <c r="AC166" s="142">
        <f t="shared" si="59"/>
        <v>0</v>
      </c>
      <c r="AD166" s="142">
        <f t="shared" si="59"/>
        <v>0</v>
      </c>
      <c r="AE166" s="142">
        <f t="shared" si="59"/>
        <v>0</v>
      </c>
      <c r="AF166" s="141"/>
      <c r="AG166" s="141"/>
      <c r="AH166" s="141"/>
      <c r="AI166" s="141"/>
    </row>
    <row r="167" spans="2:35" customFormat="1" ht="14.25" x14ac:dyDescent="0.45">
      <c r="B167" s="14" t="s">
        <v>2780</v>
      </c>
      <c r="C167" s="14" t="s">
        <v>2675</v>
      </c>
      <c r="D167" s="15" t="s">
        <v>2781</v>
      </c>
      <c r="E167" s="16" t="s">
        <v>1398</v>
      </c>
      <c r="F167" s="14" t="s">
        <v>2709</v>
      </c>
      <c r="G167" s="17"/>
      <c r="H167" s="17"/>
      <c r="K167" s="139"/>
      <c r="L167" s="140">
        <f t="shared" ref="L167:AE167" si="60">IF(L$122&lt;=0,0,IF(L$166&lt;=0,L$163,MIN($F$5,IF(L$163-(L$165-L$122)/L$166&lt;=0,L$163/2,L$163-(L$165-L$122)/L$166))))</f>
        <v>0</v>
      </c>
      <c r="M167" s="140">
        <f t="shared" si="60"/>
        <v>0</v>
      </c>
      <c r="N167" s="140">
        <f t="shared" si="60"/>
        <v>0</v>
      </c>
      <c r="O167" s="140">
        <f t="shared" si="60"/>
        <v>0</v>
      </c>
      <c r="P167" s="140">
        <f t="shared" si="60"/>
        <v>0</v>
      </c>
      <c r="Q167" s="140">
        <f t="shared" si="60"/>
        <v>0</v>
      </c>
      <c r="R167" s="140">
        <f t="shared" si="60"/>
        <v>0</v>
      </c>
      <c r="S167" s="140">
        <f t="shared" si="60"/>
        <v>0</v>
      </c>
      <c r="T167" s="140">
        <f t="shared" si="60"/>
        <v>0</v>
      </c>
      <c r="U167" s="140">
        <f t="shared" si="60"/>
        <v>0</v>
      </c>
      <c r="V167" s="140">
        <f t="shared" si="60"/>
        <v>0</v>
      </c>
      <c r="W167" s="140">
        <f t="shared" si="60"/>
        <v>0</v>
      </c>
      <c r="X167" s="140">
        <f t="shared" si="60"/>
        <v>0</v>
      </c>
      <c r="Y167" s="140">
        <f t="shared" si="60"/>
        <v>0</v>
      </c>
      <c r="Z167" s="140">
        <f t="shared" si="60"/>
        <v>0</v>
      </c>
      <c r="AA167" s="140">
        <f t="shared" si="60"/>
        <v>0</v>
      </c>
      <c r="AB167" s="140">
        <f t="shared" si="60"/>
        <v>0</v>
      </c>
      <c r="AC167" s="140">
        <f t="shared" si="60"/>
        <v>0</v>
      </c>
      <c r="AD167" s="140">
        <f t="shared" si="60"/>
        <v>0</v>
      </c>
      <c r="AE167" s="140">
        <f t="shared" si="60"/>
        <v>0</v>
      </c>
      <c r="AF167" s="141"/>
      <c r="AG167" s="141"/>
      <c r="AH167" s="141"/>
      <c r="AI167" s="141"/>
    </row>
    <row r="168" spans="2:35" customFormat="1" ht="14.25" x14ac:dyDescent="0.45">
      <c r="B168" s="14" t="s">
        <v>2782</v>
      </c>
      <c r="C168" s="14" t="s">
        <v>2675</v>
      </c>
      <c r="D168" s="15" t="s">
        <v>2783</v>
      </c>
      <c r="E168" s="16" t="s">
        <v>2068</v>
      </c>
      <c r="F168" s="14" t="s">
        <v>2699</v>
      </c>
      <c r="G168" s="17"/>
      <c r="H168" s="17"/>
      <c r="K168" s="139"/>
      <c r="L168" s="142">
        <f t="shared" ref="L168:AE168" si="61">SUMPRODUCT(L$45:L$52*(1-EXP(-L$55:L$62*L$167)))+SUMPRODUCT(L$101:L$116*(1-EXP(-L$65:L$80*L$167)))</f>
        <v>0</v>
      </c>
      <c r="M168" s="142">
        <f t="shared" si="61"/>
        <v>0</v>
      </c>
      <c r="N168" s="142">
        <f t="shared" si="61"/>
        <v>0</v>
      </c>
      <c r="O168" s="142">
        <f t="shared" si="61"/>
        <v>0</v>
      </c>
      <c r="P168" s="142">
        <f t="shared" si="61"/>
        <v>0</v>
      </c>
      <c r="Q168" s="142">
        <f t="shared" si="61"/>
        <v>0</v>
      </c>
      <c r="R168" s="142">
        <f t="shared" si="61"/>
        <v>0</v>
      </c>
      <c r="S168" s="142">
        <f t="shared" si="61"/>
        <v>0</v>
      </c>
      <c r="T168" s="142">
        <f t="shared" si="61"/>
        <v>0</v>
      </c>
      <c r="U168" s="142">
        <f t="shared" si="61"/>
        <v>0</v>
      </c>
      <c r="V168" s="142">
        <f t="shared" si="61"/>
        <v>0</v>
      </c>
      <c r="W168" s="142">
        <f t="shared" si="61"/>
        <v>0</v>
      </c>
      <c r="X168" s="142">
        <f t="shared" si="61"/>
        <v>0</v>
      </c>
      <c r="Y168" s="142">
        <f t="shared" si="61"/>
        <v>0</v>
      </c>
      <c r="Z168" s="142">
        <f t="shared" si="61"/>
        <v>0</v>
      </c>
      <c r="AA168" s="142">
        <f t="shared" si="61"/>
        <v>0</v>
      </c>
      <c r="AB168" s="142">
        <f t="shared" si="61"/>
        <v>0</v>
      </c>
      <c r="AC168" s="142">
        <f t="shared" si="61"/>
        <v>0</v>
      </c>
      <c r="AD168" s="142">
        <f t="shared" si="61"/>
        <v>0</v>
      </c>
      <c r="AE168" s="142">
        <f t="shared" si="61"/>
        <v>0</v>
      </c>
      <c r="AF168" s="141"/>
      <c r="AG168" s="141"/>
      <c r="AH168" s="141"/>
      <c r="AI168" s="141"/>
    </row>
    <row r="169" spans="2:35" customFormat="1" ht="14.25" x14ac:dyDescent="0.45">
      <c r="B169" s="14" t="s">
        <v>2784</v>
      </c>
      <c r="C169" s="14" t="s">
        <v>2675</v>
      </c>
      <c r="D169" s="15" t="s">
        <v>2785</v>
      </c>
      <c r="E169" s="16" t="s">
        <v>1854</v>
      </c>
      <c r="F169" s="14" t="s">
        <v>2702</v>
      </c>
      <c r="G169" s="17"/>
      <c r="H169" s="17"/>
      <c r="K169" s="139"/>
      <c r="L169" s="140">
        <f t="shared" ref="L169:AE169" si="62">IF($F$4="COST",(SUMPRODUCT(L$45:L$52*((1-EXP(-L$55:L$62*L$167))/(L$55:L$62+(L$55:L$62=0))-L$167*EXP(-L$55:L$62*L$167)*(L$55:L$62&lt;&gt;0)))+SUMPRODUCT(L$101:L$116*((1-EXP(-L$65:L$80*L$167))/(L$65:L$80+(L$65:L$80=0))-L$167*EXP(-L$65:L$80*L$167)*(L$65:L$80&lt;&gt;0)))),L$167*L$168)</f>
        <v>0</v>
      </c>
      <c r="M169" s="140">
        <f t="shared" si="62"/>
        <v>0</v>
      </c>
      <c r="N169" s="140">
        <f t="shared" si="62"/>
        <v>0</v>
      </c>
      <c r="O169" s="140">
        <f t="shared" si="62"/>
        <v>0</v>
      </c>
      <c r="P169" s="140">
        <f t="shared" si="62"/>
        <v>0</v>
      </c>
      <c r="Q169" s="140">
        <f t="shared" si="62"/>
        <v>0</v>
      </c>
      <c r="R169" s="140">
        <f t="shared" si="62"/>
        <v>0</v>
      </c>
      <c r="S169" s="140">
        <f t="shared" si="62"/>
        <v>0</v>
      </c>
      <c r="T169" s="140">
        <f t="shared" si="62"/>
        <v>0</v>
      </c>
      <c r="U169" s="140">
        <f t="shared" si="62"/>
        <v>0</v>
      </c>
      <c r="V169" s="140">
        <f t="shared" si="62"/>
        <v>0</v>
      </c>
      <c r="W169" s="140">
        <f t="shared" si="62"/>
        <v>0</v>
      </c>
      <c r="X169" s="140">
        <f t="shared" si="62"/>
        <v>0</v>
      </c>
      <c r="Y169" s="140">
        <f t="shared" si="62"/>
        <v>0</v>
      </c>
      <c r="Z169" s="140">
        <f t="shared" si="62"/>
        <v>0</v>
      </c>
      <c r="AA169" s="140">
        <f t="shared" si="62"/>
        <v>0</v>
      </c>
      <c r="AB169" s="140">
        <f t="shared" si="62"/>
        <v>0</v>
      </c>
      <c r="AC169" s="140">
        <f t="shared" si="62"/>
        <v>0</v>
      </c>
      <c r="AD169" s="140">
        <f t="shared" si="62"/>
        <v>0</v>
      </c>
      <c r="AE169" s="140">
        <f t="shared" si="62"/>
        <v>0</v>
      </c>
      <c r="AF169" s="141"/>
      <c r="AG169" s="141"/>
      <c r="AH169" s="141"/>
      <c r="AI169" s="141"/>
    </row>
    <row r="170" spans="2:35" customFormat="1" ht="14.25" x14ac:dyDescent="0.45">
      <c r="B170" s="14" t="s">
        <v>2786</v>
      </c>
      <c r="C170" s="14" t="s">
        <v>2675</v>
      </c>
      <c r="D170" s="15" t="s">
        <v>2787</v>
      </c>
      <c r="E170" s="16" t="s">
        <v>2705</v>
      </c>
      <c r="F170" s="14" t="s">
        <v>2706</v>
      </c>
      <c r="G170" s="17"/>
      <c r="H170" s="17"/>
      <c r="K170" s="139"/>
      <c r="L170" s="142">
        <f t="shared" ref="L170:AE170" si="63">IF($F$4="COST",L$167*(SUMPRODUCT(L$45:L$52*L$55:L$62*EXP(-L$55:L$62*L$167))+SUMPRODUCT(L$101:L$116*L$65:L$80*EXP(-L$65:L$80*L$167))),L$168+L$167*(SUMPRODUCT(L$45:L$52*L$55:L$62*EXP(-L$55:L$62*L$167))+SUMPRODUCT(L$101:L$116*L$65:L$80*EXP(-L$65:L$80*L$167))))</f>
        <v>0</v>
      </c>
      <c r="M170" s="142">
        <f t="shared" si="63"/>
        <v>0</v>
      </c>
      <c r="N170" s="142">
        <f t="shared" si="63"/>
        <v>0</v>
      </c>
      <c r="O170" s="142">
        <f t="shared" si="63"/>
        <v>0</v>
      </c>
      <c r="P170" s="142">
        <f t="shared" si="63"/>
        <v>0</v>
      </c>
      <c r="Q170" s="142">
        <f t="shared" si="63"/>
        <v>0</v>
      </c>
      <c r="R170" s="142">
        <f t="shared" si="63"/>
        <v>0</v>
      </c>
      <c r="S170" s="142">
        <f t="shared" si="63"/>
        <v>0</v>
      </c>
      <c r="T170" s="142">
        <f t="shared" si="63"/>
        <v>0</v>
      </c>
      <c r="U170" s="142">
        <f t="shared" si="63"/>
        <v>0</v>
      </c>
      <c r="V170" s="142">
        <f t="shared" si="63"/>
        <v>0</v>
      </c>
      <c r="W170" s="142">
        <f t="shared" si="63"/>
        <v>0</v>
      </c>
      <c r="X170" s="142">
        <f t="shared" si="63"/>
        <v>0</v>
      </c>
      <c r="Y170" s="142">
        <f t="shared" si="63"/>
        <v>0</v>
      </c>
      <c r="Z170" s="142">
        <f t="shared" si="63"/>
        <v>0</v>
      </c>
      <c r="AA170" s="142">
        <f t="shared" si="63"/>
        <v>0</v>
      </c>
      <c r="AB170" s="142">
        <f t="shared" si="63"/>
        <v>0</v>
      </c>
      <c r="AC170" s="142">
        <f t="shared" si="63"/>
        <v>0</v>
      </c>
      <c r="AD170" s="142">
        <f t="shared" si="63"/>
        <v>0</v>
      </c>
      <c r="AE170" s="142">
        <f t="shared" si="63"/>
        <v>0</v>
      </c>
      <c r="AF170" s="141"/>
      <c r="AG170" s="141"/>
      <c r="AH170" s="141"/>
      <c r="AI170" s="141"/>
    </row>
    <row r="171" spans="2:35" customFormat="1" ht="14.25" x14ac:dyDescent="0.45">
      <c r="B171" s="14" t="s">
        <v>2788</v>
      </c>
      <c r="C171" s="14" t="s">
        <v>2675</v>
      </c>
      <c r="D171" s="15" t="s">
        <v>2789</v>
      </c>
      <c r="E171" s="16" t="s">
        <v>1398</v>
      </c>
      <c r="F171" s="14" t="s">
        <v>2709</v>
      </c>
      <c r="G171" s="17"/>
      <c r="H171" s="17"/>
      <c r="K171" s="139"/>
      <c r="L171" s="140">
        <f t="shared" ref="L171:AE171" si="64">IF(L$122&lt;=0,0,IF(L$170&lt;=0,L$167,MIN($F$5,IF(L$167-(L$169-L$122)/L$170&lt;=0,L$167/2,L$167-(L$169-L$122)/L$170))))</f>
        <v>0</v>
      </c>
      <c r="M171" s="140">
        <f t="shared" si="64"/>
        <v>0</v>
      </c>
      <c r="N171" s="140">
        <f t="shared" si="64"/>
        <v>0</v>
      </c>
      <c r="O171" s="140">
        <f t="shared" si="64"/>
        <v>0</v>
      </c>
      <c r="P171" s="140">
        <f t="shared" si="64"/>
        <v>0</v>
      </c>
      <c r="Q171" s="140">
        <f t="shared" si="64"/>
        <v>0</v>
      </c>
      <c r="R171" s="140">
        <f t="shared" si="64"/>
        <v>0</v>
      </c>
      <c r="S171" s="140">
        <f t="shared" si="64"/>
        <v>0</v>
      </c>
      <c r="T171" s="140">
        <f t="shared" si="64"/>
        <v>0</v>
      </c>
      <c r="U171" s="140">
        <f t="shared" si="64"/>
        <v>0</v>
      </c>
      <c r="V171" s="140">
        <f t="shared" si="64"/>
        <v>0</v>
      </c>
      <c r="W171" s="140">
        <f t="shared" si="64"/>
        <v>0</v>
      </c>
      <c r="X171" s="140">
        <f t="shared" si="64"/>
        <v>0</v>
      </c>
      <c r="Y171" s="140">
        <f t="shared" si="64"/>
        <v>0</v>
      </c>
      <c r="Z171" s="140">
        <f t="shared" si="64"/>
        <v>0</v>
      </c>
      <c r="AA171" s="140">
        <f t="shared" si="64"/>
        <v>0</v>
      </c>
      <c r="AB171" s="140">
        <f t="shared" si="64"/>
        <v>0</v>
      </c>
      <c r="AC171" s="140">
        <f t="shared" si="64"/>
        <v>0</v>
      </c>
      <c r="AD171" s="140">
        <f t="shared" si="64"/>
        <v>0</v>
      </c>
      <c r="AE171" s="140">
        <f t="shared" si="64"/>
        <v>0</v>
      </c>
      <c r="AF171" s="141"/>
      <c r="AG171" s="141"/>
      <c r="AH171" s="141"/>
      <c r="AI171" s="141"/>
    </row>
    <row r="172" spans="2:35" customFormat="1" ht="14.25" x14ac:dyDescent="0.45">
      <c r="B172" s="14" t="s">
        <v>2790</v>
      </c>
      <c r="C172" s="14" t="s">
        <v>2675</v>
      </c>
      <c r="D172" s="15" t="s">
        <v>2791</v>
      </c>
      <c r="E172" s="16" t="s">
        <v>2068</v>
      </c>
      <c r="F172" s="14" t="s">
        <v>2699</v>
      </c>
      <c r="G172" s="17"/>
      <c r="H172" s="17"/>
      <c r="K172" s="139"/>
      <c r="L172" s="142">
        <f t="shared" ref="L172:AE172" si="65">SUMPRODUCT(L$45:L$52*(1-EXP(-L$55:L$62*L$171)))+SUMPRODUCT(L$101:L$116*(1-EXP(-L$65:L$80*L$171)))</f>
        <v>0</v>
      </c>
      <c r="M172" s="142">
        <f t="shared" si="65"/>
        <v>0</v>
      </c>
      <c r="N172" s="142">
        <f t="shared" si="65"/>
        <v>0</v>
      </c>
      <c r="O172" s="142">
        <f t="shared" si="65"/>
        <v>0</v>
      </c>
      <c r="P172" s="142">
        <f t="shared" si="65"/>
        <v>0</v>
      </c>
      <c r="Q172" s="142">
        <f t="shared" si="65"/>
        <v>0</v>
      </c>
      <c r="R172" s="142">
        <f t="shared" si="65"/>
        <v>0</v>
      </c>
      <c r="S172" s="142">
        <f t="shared" si="65"/>
        <v>0</v>
      </c>
      <c r="T172" s="142">
        <f t="shared" si="65"/>
        <v>0</v>
      </c>
      <c r="U172" s="142">
        <f t="shared" si="65"/>
        <v>0</v>
      </c>
      <c r="V172" s="142">
        <f t="shared" si="65"/>
        <v>0</v>
      </c>
      <c r="W172" s="142">
        <f t="shared" si="65"/>
        <v>0</v>
      </c>
      <c r="X172" s="142">
        <f t="shared" si="65"/>
        <v>0</v>
      </c>
      <c r="Y172" s="142">
        <f t="shared" si="65"/>
        <v>0</v>
      </c>
      <c r="Z172" s="142">
        <f t="shared" si="65"/>
        <v>0</v>
      </c>
      <c r="AA172" s="142">
        <f t="shared" si="65"/>
        <v>0</v>
      </c>
      <c r="AB172" s="142">
        <f t="shared" si="65"/>
        <v>0</v>
      </c>
      <c r="AC172" s="142">
        <f t="shared" si="65"/>
        <v>0</v>
      </c>
      <c r="AD172" s="142">
        <f t="shared" si="65"/>
        <v>0</v>
      </c>
      <c r="AE172" s="142">
        <f t="shared" si="65"/>
        <v>0</v>
      </c>
      <c r="AF172" s="141"/>
      <c r="AG172" s="141"/>
      <c r="AH172" s="141"/>
      <c r="AI172" s="141"/>
    </row>
    <row r="173" spans="2:35" customFormat="1" ht="14.25" x14ac:dyDescent="0.45">
      <c r="B173" s="14" t="s">
        <v>2792</v>
      </c>
      <c r="C173" s="14" t="s">
        <v>2675</v>
      </c>
      <c r="D173" s="15" t="s">
        <v>2793</v>
      </c>
      <c r="E173" s="16" t="s">
        <v>1854</v>
      </c>
      <c r="F173" s="14" t="s">
        <v>2702</v>
      </c>
      <c r="G173" s="17"/>
      <c r="H173" s="17"/>
      <c r="K173" s="139"/>
      <c r="L173" s="140">
        <f t="shared" ref="L173:AE173" si="66">IF($F$4="COST",(SUMPRODUCT(L$45:L$52*((1-EXP(-L$55:L$62*L$171))/(L$55:L$62+(L$55:L$62=0))-L$171*EXP(-L$55:L$62*L$171)*(L$55:L$62&lt;&gt;0)))+SUMPRODUCT(L$101:L$116*((1-EXP(-L$65:L$80*L$171))/(L$65:L$80+(L$65:L$80=0))-L$171*EXP(-L$65:L$80*L$171)*(L$65:L$80&lt;&gt;0)))),L$171*L$172)</f>
        <v>0</v>
      </c>
      <c r="M173" s="140">
        <f t="shared" si="66"/>
        <v>0</v>
      </c>
      <c r="N173" s="140">
        <f t="shared" si="66"/>
        <v>0</v>
      </c>
      <c r="O173" s="140">
        <f t="shared" si="66"/>
        <v>0</v>
      </c>
      <c r="P173" s="140">
        <f t="shared" si="66"/>
        <v>0</v>
      </c>
      <c r="Q173" s="140">
        <f t="shared" si="66"/>
        <v>0</v>
      </c>
      <c r="R173" s="140">
        <f t="shared" si="66"/>
        <v>0</v>
      </c>
      <c r="S173" s="140">
        <f t="shared" si="66"/>
        <v>0</v>
      </c>
      <c r="T173" s="140">
        <f t="shared" si="66"/>
        <v>0</v>
      </c>
      <c r="U173" s="140">
        <f t="shared" si="66"/>
        <v>0</v>
      </c>
      <c r="V173" s="140">
        <f t="shared" si="66"/>
        <v>0</v>
      </c>
      <c r="W173" s="140">
        <f t="shared" si="66"/>
        <v>0</v>
      </c>
      <c r="X173" s="140">
        <f t="shared" si="66"/>
        <v>0</v>
      </c>
      <c r="Y173" s="140">
        <f t="shared" si="66"/>
        <v>0</v>
      </c>
      <c r="Z173" s="140">
        <f t="shared" si="66"/>
        <v>0</v>
      </c>
      <c r="AA173" s="140">
        <f t="shared" si="66"/>
        <v>0</v>
      </c>
      <c r="AB173" s="140">
        <f t="shared" si="66"/>
        <v>0</v>
      </c>
      <c r="AC173" s="140">
        <f t="shared" si="66"/>
        <v>0</v>
      </c>
      <c r="AD173" s="140">
        <f t="shared" si="66"/>
        <v>0</v>
      </c>
      <c r="AE173" s="140">
        <f t="shared" si="66"/>
        <v>0</v>
      </c>
      <c r="AF173" s="141"/>
      <c r="AG173" s="141"/>
      <c r="AH173" s="141"/>
      <c r="AI173" s="141"/>
    </row>
    <row r="174" spans="2:35" customFormat="1" ht="14.25" x14ac:dyDescent="0.45">
      <c r="B174" s="14" t="s">
        <v>2794</v>
      </c>
      <c r="C174" s="14" t="s">
        <v>2675</v>
      </c>
      <c r="D174" s="15" t="s">
        <v>2795</v>
      </c>
      <c r="E174" s="16" t="s">
        <v>2705</v>
      </c>
      <c r="F174" s="14" t="s">
        <v>2706</v>
      </c>
      <c r="G174" s="17"/>
      <c r="H174" s="17"/>
      <c r="K174" s="139"/>
      <c r="L174" s="142">
        <f t="shared" ref="L174:AE174" si="67">IF($F$4="COST",L$171*(SUMPRODUCT(L$45:L$52*L$55:L$62*EXP(-L$55:L$62*L$171))+SUMPRODUCT(L$101:L$116*L$65:L$80*EXP(-L$65:L$80*L$171))),L$172+L$171*(SUMPRODUCT(L$45:L$52*L$55:L$62*EXP(-L$55:L$62*L$171))+SUMPRODUCT(L$101:L$116*L$65:L$80*EXP(-L$65:L$80*L$171))))</f>
        <v>0</v>
      </c>
      <c r="M174" s="142">
        <f t="shared" si="67"/>
        <v>0</v>
      </c>
      <c r="N174" s="142">
        <f t="shared" si="67"/>
        <v>0</v>
      </c>
      <c r="O174" s="142">
        <f t="shared" si="67"/>
        <v>0</v>
      </c>
      <c r="P174" s="142">
        <f t="shared" si="67"/>
        <v>0</v>
      </c>
      <c r="Q174" s="142">
        <f t="shared" si="67"/>
        <v>0</v>
      </c>
      <c r="R174" s="142">
        <f t="shared" si="67"/>
        <v>0</v>
      </c>
      <c r="S174" s="142">
        <f t="shared" si="67"/>
        <v>0</v>
      </c>
      <c r="T174" s="142">
        <f t="shared" si="67"/>
        <v>0</v>
      </c>
      <c r="U174" s="142">
        <f t="shared" si="67"/>
        <v>0</v>
      </c>
      <c r="V174" s="142">
        <f t="shared" si="67"/>
        <v>0</v>
      </c>
      <c r="W174" s="142">
        <f t="shared" si="67"/>
        <v>0</v>
      </c>
      <c r="X174" s="142">
        <f t="shared" si="67"/>
        <v>0</v>
      </c>
      <c r="Y174" s="142">
        <f t="shared" si="67"/>
        <v>0</v>
      </c>
      <c r="Z174" s="142">
        <f t="shared" si="67"/>
        <v>0</v>
      </c>
      <c r="AA174" s="142">
        <f t="shared" si="67"/>
        <v>0</v>
      </c>
      <c r="AB174" s="142">
        <f t="shared" si="67"/>
        <v>0</v>
      </c>
      <c r="AC174" s="142">
        <f t="shared" si="67"/>
        <v>0</v>
      </c>
      <c r="AD174" s="142">
        <f t="shared" si="67"/>
        <v>0</v>
      </c>
      <c r="AE174" s="142">
        <f t="shared" si="67"/>
        <v>0</v>
      </c>
      <c r="AF174" s="141"/>
      <c r="AG174" s="141"/>
      <c r="AH174" s="141"/>
      <c r="AI174" s="141"/>
    </row>
    <row r="175" spans="2:35" customFormat="1" ht="14.25" x14ac:dyDescent="0.45">
      <c r="B175" s="14" t="s">
        <v>2796</v>
      </c>
      <c r="C175" s="14" t="s">
        <v>2675</v>
      </c>
      <c r="D175" s="15" t="s">
        <v>2797</v>
      </c>
      <c r="E175" s="16" t="s">
        <v>1398</v>
      </c>
      <c r="F175" s="14" t="s">
        <v>2709</v>
      </c>
      <c r="G175" s="17"/>
      <c r="H175" s="17"/>
      <c r="K175" s="139"/>
      <c r="L175" s="140">
        <f t="shared" ref="L175:AE175" si="68">IF(L$122&lt;=0,0,IF(L$174&lt;=0,L$171,MIN($F$5,IF(L$171-(L$173-L$122)/L$174&lt;=0,L$171/2,L$171-(L$173-L$122)/L$174))))</f>
        <v>0</v>
      </c>
      <c r="M175" s="140">
        <f t="shared" si="68"/>
        <v>0</v>
      </c>
      <c r="N175" s="140">
        <f t="shared" si="68"/>
        <v>0</v>
      </c>
      <c r="O175" s="140">
        <f t="shared" si="68"/>
        <v>0</v>
      </c>
      <c r="P175" s="140">
        <f t="shared" si="68"/>
        <v>0</v>
      </c>
      <c r="Q175" s="140">
        <f t="shared" si="68"/>
        <v>0</v>
      </c>
      <c r="R175" s="140">
        <f t="shared" si="68"/>
        <v>0</v>
      </c>
      <c r="S175" s="140">
        <f t="shared" si="68"/>
        <v>0</v>
      </c>
      <c r="T175" s="140">
        <f t="shared" si="68"/>
        <v>0</v>
      </c>
      <c r="U175" s="140">
        <f t="shared" si="68"/>
        <v>0</v>
      </c>
      <c r="V175" s="140">
        <f t="shared" si="68"/>
        <v>0</v>
      </c>
      <c r="W175" s="140">
        <f t="shared" si="68"/>
        <v>0</v>
      </c>
      <c r="X175" s="140">
        <f t="shared" si="68"/>
        <v>0</v>
      </c>
      <c r="Y175" s="140">
        <f t="shared" si="68"/>
        <v>0</v>
      </c>
      <c r="Z175" s="140">
        <f t="shared" si="68"/>
        <v>0</v>
      </c>
      <c r="AA175" s="140">
        <f t="shared" si="68"/>
        <v>0</v>
      </c>
      <c r="AB175" s="140">
        <f t="shared" si="68"/>
        <v>0</v>
      </c>
      <c r="AC175" s="140">
        <f t="shared" si="68"/>
        <v>0</v>
      </c>
      <c r="AD175" s="140">
        <f t="shared" si="68"/>
        <v>0</v>
      </c>
      <c r="AE175" s="140">
        <f t="shared" si="68"/>
        <v>0</v>
      </c>
      <c r="AF175" s="141"/>
      <c r="AG175" s="141"/>
      <c r="AH175" s="141"/>
      <c r="AI175" s="141"/>
    </row>
    <row r="176" spans="2:35" customFormat="1" ht="14.25" x14ac:dyDescent="0.45">
      <c r="B176" s="14" t="s">
        <v>2798</v>
      </c>
      <c r="C176" s="14" t="s">
        <v>2675</v>
      </c>
      <c r="D176" s="15" t="s">
        <v>2799</v>
      </c>
      <c r="E176" s="16" t="s">
        <v>2068</v>
      </c>
      <c r="F176" s="14" t="s">
        <v>2699</v>
      </c>
      <c r="G176" s="17"/>
      <c r="H176" s="17"/>
      <c r="K176" s="139"/>
      <c r="L176" s="142">
        <f t="shared" ref="L176:AE176" si="69">SUMPRODUCT(L$45:L$52*(1-EXP(-L$55:L$62*L$175)))+SUMPRODUCT(L$101:L$116*(1-EXP(-L$65:L$80*L$175)))</f>
        <v>0</v>
      </c>
      <c r="M176" s="142">
        <f t="shared" si="69"/>
        <v>0</v>
      </c>
      <c r="N176" s="142">
        <f t="shared" si="69"/>
        <v>0</v>
      </c>
      <c r="O176" s="142">
        <f t="shared" si="69"/>
        <v>0</v>
      </c>
      <c r="P176" s="142">
        <f t="shared" si="69"/>
        <v>0</v>
      </c>
      <c r="Q176" s="142">
        <f t="shared" si="69"/>
        <v>0</v>
      </c>
      <c r="R176" s="142">
        <f t="shared" si="69"/>
        <v>0</v>
      </c>
      <c r="S176" s="142">
        <f t="shared" si="69"/>
        <v>0</v>
      </c>
      <c r="T176" s="142">
        <f t="shared" si="69"/>
        <v>0</v>
      </c>
      <c r="U176" s="142">
        <f t="shared" si="69"/>
        <v>0</v>
      </c>
      <c r="V176" s="142">
        <f t="shared" si="69"/>
        <v>0</v>
      </c>
      <c r="W176" s="142">
        <f t="shared" si="69"/>
        <v>0</v>
      </c>
      <c r="X176" s="142">
        <f t="shared" si="69"/>
        <v>0</v>
      </c>
      <c r="Y176" s="142">
        <f t="shared" si="69"/>
        <v>0</v>
      </c>
      <c r="Z176" s="142">
        <f t="shared" si="69"/>
        <v>0</v>
      </c>
      <c r="AA176" s="142">
        <f t="shared" si="69"/>
        <v>0</v>
      </c>
      <c r="AB176" s="142">
        <f t="shared" si="69"/>
        <v>0</v>
      </c>
      <c r="AC176" s="142">
        <f t="shared" si="69"/>
        <v>0</v>
      </c>
      <c r="AD176" s="142">
        <f t="shared" si="69"/>
        <v>0</v>
      </c>
      <c r="AE176" s="142">
        <f t="shared" si="69"/>
        <v>0</v>
      </c>
      <c r="AF176" s="141"/>
      <c r="AG176" s="141"/>
      <c r="AH176" s="141"/>
      <c r="AI176" s="141"/>
    </row>
    <row r="177" spans="1:35" customFormat="1" ht="14.25" x14ac:dyDescent="0.45">
      <c r="B177" s="14" t="s">
        <v>2800</v>
      </c>
      <c r="C177" s="14" t="s">
        <v>2675</v>
      </c>
      <c r="D177" s="15" t="s">
        <v>2801</v>
      </c>
      <c r="E177" s="16" t="s">
        <v>1854</v>
      </c>
      <c r="F177" s="14" t="s">
        <v>2702</v>
      </c>
      <c r="G177" s="17"/>
      <c r="H177" s="17"/>
      <c r="K177" s="139"/>
      <c r="L177" s="140">
        <f t="shared" ref="L177:AE177" si="70">IF($F$4="COST",(SUMPRODUCT(L$45:L$52*((1-EXP(-L$55:L$62*L$175))/(L$55:L$62+(L$55:L$62=0))-L$175*EXP(-L$55:L$62*L$175)*(L$55:L$62&lt;&gt;0)))+SUMPRODUCT(L$101:L$116*((1-EXP(-L$65:L$80*L$175))/(L$65:L$80+(L$65:L$80=0))-L$175*EXP(-L$65:L$80*L$175)*(L$65:L$80&lt;&gt;0)))),L$175*L$176)</f>
        <v>0</v>
      </c>
      <c r="M177" s="140">
        <f t="shared" si="70"/>
        <v>0</v>
      </c>
      <c r="N177" s="140">
        <f t="shared" si="70"/>
        <v>0</v>
      </c>
      <c r="O177" s="140">
        <f t="shared" si="70"/>
        <v>0</v>
      </c>
      <c r="P177" s="140">
        <f t="shared" si="70"/>
        <v>0</v>
      </c>
      <c r="Q177" s="140">
        <f t="shared" si="70"/>
        <v>0</v>
      </c>
      <c r="R177" s="140">
        <f t="shared" si="70"/>
        <v>0</v>
      </c>
      <c r="S177" s="140">
        <f t="shared" si="70"/>
        <v>0</v>
      </c>
      <c r="T177" s="140">
        <f t="shared" si="70"/>
        <v>0</v>
      </c>
      <c r="U177" s="140">
        <f t="shared" si="70"/>
        <v>0</v>
      </c>
      <c r="V177" s="140">
        <f t="shared" si="70"/>
        <v>0</v>
      </c>
      <c r="W177" s="140">
        <f t="shared" si="70"/>
        <v>0</v>
      </c>
      <c r="X177" s="140">
        <f t="shared" si="70"/>
        <v>0</v>
      </c>
      <c r="Y177" s="140">
        <f t="shared" si="70"/>
        <v>0</v>
      </c>
      <c r="Z177" s="140">
        <f t="shared" si="70"/>
        <v>0</v>
      </c>
      <c r="AA177" s="140">
        <f t="shared" si="70"/>
        <v>0</v>
      </c>
      <c r="AB177" s="140">
        <f t="shared" si="70"/>
        <v>0</v>
      </c>
      <c r="AC177" s="140">
        <f t="shared" si="70"/>
        <v>0</v>
      </c>
      <c r="AD177" s="140">
        <f t="shared" si="70"/>
        <v>0</v>
      </c>
      <c r="AE177" s="140">
        <f t="shared" si="70"/>
        <v>0</v>
      </c>
      <c r="AF177" s="141"/>
      <c r="AG177" s="141"/>
      <c r="AH177" s="141"/>
      <c r="AI177" s="141"/>
    </row>
    <row r="178" spans="1:35" customFormat="1" ht="14.25" x14ac:dyDescent="0.45">
      <c r="B178" s="14" t="s">
        <v>2802</v>
      </c>
      <c r="C178" s="14" t="s">
        <v>2675</v>
      </c>
      <c r="D178" s="15" t="s">
        <v>2803</v>
      </c>
      <c r="E178" s="16" t="s">
        <v>2705</v>
      </c>
      <c r="F178" s="14" t="s">
        <v>2706</v>
      </c>
      <c r="G178" s="17"/>
      <c r="H178" s="17"/>
      <c r="K178" s="139"/>
      <c r="L178" s="142">
        <f t="shared" ref="L178:AE178" si="71">IF($F$4="COST",L$175*(SUMPRODUCT(L$45:L$52*L$55:L$62*EXP(-L$55:L$62*L$175))+SUMPRODUCT(L$101:L$116*L$65:L$80*EXP(-L$65:L$80*L$175))),L$176+L$175*(SUMPRODUCT(L$45:L$52*L$55:L$62*EXP(-L$55:L$62*L$175))+SUMPRODUCT(L$101:L$116*L$65:L$80*EXP(-L$65:L$80*L$175))))</f>
        <v>0</v>
      </c>
      <c r="M178" s="142">
        <f t="shared" si="71"/>
        <v>0</v>
      </c>
      <c r="N178" s="142">
        <f t="shared" si="71"/>
        <v>0</v>
      </c>
      <c r="O178" s="142">
        <f t="shared" si="71"/>
        <v>0</v>
      </c>
      <c r="P178" s="142">
        <f t="shared" si="71"/>
        <v>0</v>
      </c>
      <c r="Q178" s="142">
        <f t="shared" si="71"/>
        <v>0</v>
      </c>
      <c r="R178" s="142">
        <f t="shared" si="71"/>
        <v>0</v>
      </c>
      <c r="S178" s="142">
        <f t="shared" si="71"/>
        <v>0</v>
      </c>
      <c r="T178" s="142">
        <f t="shared" si="71"/>
        <v>0</v>
      </c>
      <c r="U178" s="142">
        <f t="shared" si="71"/>
        <v>0</v>
      </c>
      <c r="V178" s="142">
        <f t="shared" si="71"/>
        <v>0</v>
      </c>
      <c r="W178" s="142">
        <f t="shared" si="71"/>
        <v>0</v>
      </c>
      <c r="X178" s="142">
        <f t="shared" si="71"/>
        <v>0</v>
      </c>
      <c r="Y178" s="142">
        <f t="shared" si="71"/>
        <v>0</v>
      </c>
      <c r="Z178" s="142">
        <f t="shared" si="71"/>
        <v>0</v>
      </c>
      <c r="AA178" s="142">
        <f t="shared" si="71"/>
        <v>0</v>
      </c>
      <c r="AB178" s="142">
        <f t="shared" si="71"/>
        <v>0</v>
      </c>
      <c r="AC178" s="142">
        <f t="shared" si="71"/>
        <v>0</v>
      </c>
      <c r="AD178" s="142">
        <f t="shared" si="71"/>
        <v>0</v>
      </c>
      <c r="AE178" s="142">
        <f t="shared" si="71"/>
        <v>0</v>
      </c>
      <c r="AF178" s="141"/>
      <c r="AG178" s="141"/>
      <c r="AH178" s="141"/>
      <c r="AI178" s="141"/>
    </row>
    <row r="179" spans="1:35" customFormat="1" ht="14.25" x14ac:dyDescent="0.45">
      <c r="B179" s="14" t="s">
        <v>2804</v>
      </c>
      <c r="C179" s="14" t="s">
        <v>2675</v>
      </c>
      <c r="D179" s="15" t="s">
        <v>2805</v>
      </c>
      <c r="E179" s="16" t="s">
        <v>1398</v>
      </c>
      <c r="F179" s="14" t="s">
        <v>2709</v>
      </c>
      <c r="G179" s="17"/>
      <c r="H179" s="17"/>
      <c r="K179" s="139"/>
      <c r="L179" s="140">
        <f t="shared" ref="L179:AE179" si="72">IF(L$122&lt;=0,0,IF(L$178&lt;=0,L$175,MIN($F$5,IF(L$175-(L$177-L$122)/L$178&lt;=0,L$175/2,L$175-(L$177-L$122)/L$178))))</f>
        <v>0</v>
      </c>
      <c r="M179" s="140">
        <f t="shared" si="72"/>
        <v>0</v>
      </c>
      <c r="N179" s="140">
        <f t="shared" si="72"/>
        <v>0</v>
      </c>
      <c r="O179" s="140">
        <f t="shared" si="72"/>
        <v>0</v>
      </c>
      <c r="P179" s="140">
        <f t="shared" si="72"/>
        <v>0</v>
      </c>
      <c r="Q179" s="140">
        <f t="shared" si="72"/>
        <v>0</v>
      </c>
      <c r="R179" s="140">
        <f t="shared" si="72"/>
        <v>0</v>
      </c>
      <c r="S179" s="140">
        <f t="shared" si="72"/>
        <v>0</v>
      </c>
      <c r="T179" s="140">
        <f t="shared" si="72"/>
        <v>0</v>
      </c>
      <c r="U179" s="140">
        <f t="shared" si="72"/>
        <v>0</v>
      </c>
      <c r="V179" s="140">
        <f t="shared" si="72"/>
        <v>0</v>
      </c>
      <c r="W179" s="140">
        <f t="shared" si="72"/>
        <v>0</v>
      </c>
      <c r="X179" s="140">
        <f t="shared" si="72"/>
        <v>0</v>
      </c>
      <c r="Y179" s="140">
        <f t="shared" si="72"/>
        <v>0</v>
      </c>
      <c r="Z179" s="140">
        <f t="shared" si="72"/>
        <v>0</v>
      </c>
      <c r="AA179" s="140">
        <f t="shared" si="72"/>
        <v>0</v>
      </c>
      <c r="AB179" s="140">
        <f t="shared" si="72"/>
        <v>0</v>
      </c>
      <c r="AC179" s="140">
        <f t="shared" si="72"/>
        <v>0</v>
      </c>
      <c r="AD179" s="140">
        <f t="shared" si="72"/>
        <v>0</v>
      </c>
      <c r="AE179" s="140">
        <f t="shared" si="72"/>
        <v>0</v>
      </c>
      <c r="AF179" s="141"/>
      <c r="AG179" s="141"/>
      <c r="AH179" s="141"/>
      <c r="AI179" s="141"/>
    </row>
    <row r="180" spans="1:35" customFormat="1" ht="14.25" x14ac:dyDescent="0.45">
      <c r="B180" s="14" t="s">
        <v>2806</v>
      </c>
      <c r="C180" s="14" t="s">
        <v>2675</v>
      </c>
      <c r="D180" s="15" t="s">
        <v>2807</v>
      </c>
      <c r="E180" s="16" t="s">
        <v>2068</v>
      </c>
      <c r="F180" s="14" t="s">
        <v>2699</v>
      </c>
      <c r="G180" s="17"/>
      <c r="H180" s="17"/>
      <c r="K180" s="139"/>
      <c r="L180" s="142">
        <f t="shared" ref="L180:AE180" si="73">SUMPRODUCT(L$45:L$52*(1-EXP(-L$55:L$62*L$179)))+SUMPRODUCT(L$101:L$116*(1-EXP(-L$65:L$80*L$179)))</f>
        <v>0</v>
      </c>
      <c r="M180" s="142">
        <f t="shared" si="73"/>
        <v>0</v>
      </c>
      <c r="N180" s="142">
        <f t="shared" si="73"/>
        <v>0</v>
      </c>
      <c r="O180" s="142">
        <f t="shared" si="73"/>
        <v>0</v>
      </c>
      <c r="P180" s="142">
        <f t="shared" si="73"/>
        <v>0</v>
      </c>
      <c r="Q180" s="142">
        <f t="shared" si="73"/>
        <v>0</v>
      </c>
      <c r="R180" s="142">
        <f t="shared" si="73"/>
        <v>0</v>
      </c>
      <c r="S180" s="142">
        <f t="shared" si="73"/>
        <v>0</v>
      </c>
      <c r="T180" s="142">
        <f t="shared" si="73"/>
        <v>0</v>
      </c>
      <c r="U180" s="142">
        <f t="shared" si="73"/>
        <v>0</v>
      </c>
      <c r="V180" s="142">
        <f t="shared" si="73"/>
        <v>0</v>
      </c>
      <c r="W180" s="142">
        <f t="shared" si="73"/>
        <v>0</v>
      </c>
      <c r="X180" s="142">
        <f t="shared" si="73"/>
        <v>0</v>
      </c>
      <c r="Y180" s="142">
        <f t="shared" si="73"/>
        <v>0</v>
      </c>
      <c r="Z180" s="142">
        <f t="shared" si="73"/>
        <v>0</v>
      </c>
      <c r="AA180" s="142">
        <f t="shared" si="73"/>
        <v>0</v>
      </c>
      <c r="AB180" s="142">
        <f t="shared" si="73"/>
        <v>0</v>
      </c>
      <c r="AC180" s="142">
        <f t="shared" si="73"/>
        <v>0</v>
      </c>
      <c r="AD180" s="142">
        <f t="shared" si="73"/>
        <v>0</v>
      </c>
      <c r="AE180" s="142">
        <f t="shared" si="73"/>
        <v>0</v>
      </c>
      <c r="AF180" s="141"/>
      <c r="AG180" s="141"/>
      <c r="AH180" s="141"/>
      <c r="AI180" s="141"/>
    </row>
    <row r="181" spans="1:35" customFormat="1" ht="14.25" x14ac:dyDescent="0.45">
      <c r="B181" s="14" t="s">
        <v>2808</v>
      </c>
      <c r="C181" s="14" t="s">
        <v>2675</v>
      </c>
      <c r="D181" s="15" t="s">
        <v>2809</v>
      </c>
      <c r="E181" s="16" t="s">
        <v>1854</v>
      </c>
      <c r="F181" s="14" t="s">
        <v>2702</v>
      </c>
      <c r="G181" s="17"/>
      <c r="H181" s="17"/>
      <c r="K181" s="139"/>
      <c r="L181" s="140">
        <f t="shared" ref="L181:AE181" si="74">IF($F$4="COST",(SUMPRODUCT(L$45:L$52*((1-EXP(-L$55:L$62*L$179))/(L$55:L$62+(L$55:L$62=0))-L$179*EXP(-L$55:L$62*L$179)*(L$55:L$62&lt;&gt;0)))+SUMPRODUCT(L$101:L$116*((1-EXP(-L$65:L$80*L$179))/(L$65:L$80+(L$65:L$80=0))-L$179*EXP(-L$65:L$80*L$179)*(L$65:L$80&lt;&gt;0)))),L$179*L$180)</f>
        <v>0</v>
      </c>
      <c r="M181" s="140">
        <f t="shared" si="74"/>
        <v>0</v>
      </c>
      <c r="N181" s="140">
        <f t="shared" si="74"/>
        <v>0</v>
      </c>
      <c r="O181" s="140">
        <f t="shared" si="74"/>
        <v>0</v>
      </c>
      <c r="P181" s="140">
        <f t="shared" si="74"/>
        <v>0</v>
      </c>
      <c r="Q181" s="140">
        <f t="shared" si="74"/>
        <v>0</v>
      </c>
      <c r="R181" s="140">
        <f t="shared" si="74"/>
        <v>0</v>
      </c>
      <c r="S181" s="140">
        <f t="shared" si="74"/>
        <v>0</v>
      </c>
      <c r="T181" s="140">
        <f t="shared" si="74"/>
        <v>0</v>
      </c>
      <c r="U181" s="140">
        <f t="shared" si="74"/>
        <v>0</v>
      </c>
      <c r="V181" s="140">
        <f t="shared" si="74"/>
        <v>0</v>
      </c>
      <c r="W181" s="140">
        <f t="shared" si="74"/>
        <v>0</v>
      </c>
      <c r="X181" s="140">
        <f t="shared" si="74"/>
        <v>0</v>
      </c>
      <c r="Y181" s="140">
        <f t="shared" si="74"/>
        <v>0</v>
      </c>
      <c r="Z181" s="140">
        <f t="shared" si="74"/>
        <v>0</v>
      </c>
      <c r="AA181" s="140">
        <f t="shared" si="74"/>
        <v>0</v>
      </c>
      <c r="AB181" s="140">
        <f t="shared" si="74"/>
        <v>0</v>
      </c>
      <c r="AC181" s="140">
        <f t="shared" si="74"/>
        <v>0</v>
      </c>
      <c r="AD181" s="140">
        <f t="shared" si="74"/>
        <v>0</v>
      </c>
      <c r="AE181" s="140">
        <f t="shared" si="74"/>
        <v>0</v>
      </c>
      <c r="AF181" s="141"/>
      <c r="AG181" s="141"/>
      <c r="AH181" s="141"/>
      <c r="AI181" s="141"/>
    </row>
    <row r="182" spans="1:35" customFormat="1" ht="14.25" x14ac:dyDescent="0.45">
      <c r="B182" s="14" t="s">
        <v>2810</v>
      </c>
      <c r="C182" s="14" t="s">
        <v>2675</v>
      </c>
      <c r="D182" s="15" t="s">
        <v>2811</v>
      </c>
      <c r="E182" s="16" t="s">
        <v>2705</v>
      </c>
      <c r="F182" s="14" t="s">
        <v>2706</v>
      </c>
      <c r="G182" s="17"/>
      <c r="H182" s="17"/>
      <c r="K182" s="139"/>
      <c r="L182" s="142">
        <f t="shared" ref="L182:AE182" si="75">IF($F$4="COST",L$179*(SUMPRODUCT(L$45:L$52*L$55:L$62*EXP(-L$55:L$62*L$179))+SUMPRODUCT(L$101:L$116*L$65:L$80*EXP(-L$65:L$80*L$179))),L$180+L$179*(SUMPRODUCT(L$45:L$52*L$55:L$62*EXP(-L$55:L$62*L$179))+SUMPRODUCT(L$101:L$116*L$65:L$80*EXP(-L$65:L$80*L$179))))</f>
        <v>0</v>
      </c>
      <c r="M182" s="142">
        <f t="shared" si="75"/>
        <v>0</v>
      </c>
      <c r="N182" s="142">
        <f t="shared" si="75"/>
        <v>0</v>
      </c>
      <c r="O182" s="142">
        <f t="shared" si="75"/>
        <v>0</v>
      </c>
      <c r="P182" s="142">
        <f t="shared" si="75"/>
        <v>0</v>
      </c>
      <c r="Q182" s="142">
        <f t="shared" si="75"/>
        <v>0</v>
      </c>
      <c r="R182" s="142">
        <f t="shared" si="75"/>
        <v>0</v>
      </c>
      <c r="S182" s="142">
        <f t="shared" si="75"/>
        <v>0</v>
      </c>
      <c r="T182" s="142">
        <f t="shared" si="75"/>
        <v>0</v>
      </c>
      <c r="U182" s="142">
        <f t="shared" si="75"/>
        <v>0</v>
      </c>
      <c r="V182" s="142">
        <f t="shared" si="75"/>
        <v>0</v>
      </c>
      <c r="W182" s="142">
        <f t="shared" si="75"/>
        <v>0</v>
      </c>
      <c r="X182" s="142">
        <f t="shared" si="75"/>
        <v>0</v>
      </c>
      <c r="Y182" s="142">
        <f t="shared" si="75"/>
        <v>0</v>
      </c>
      <c r="Z182" s="142">
        <f t="shared" si="75"/>
        <v>0</v>
      </c>
      <c r="AA182" s="142">
        <f t="shared" si="75"/>
        <v>0</v>
      </c>
      <c r="AB182" s="142">
        <f t="shared" si="75"/>
        <v>0</v>
      </c>
      <c r="AC182" s="142">
        <f t="shared" si="75"/>
        <v>0</v>
      </c>
      <c r="AD182" s="142">
        <f t="shared" si="75"/>
        <v>0</v>
      </c>
      <c r="AE182" s="142">
        <f t="shared" si="75"/>
        <v>0</v>
      </c>
      <c r="AF182" s="141"/>
      <c r="AG182" s="141"/>
      <c r="AH182" s="141"/>
      <c r="AI182" s="141"/>
    </row>
    <row r="183" spans="1:35" customFormat="1" ht="14.25" x14ac:dyDescent="0.45">
      <c r="B183" s="14" t="s">
        <v>2812</v>
      </c>
      <c r="C183" s="14" t="s">
        <v>2675</v>
      </c>
      <c r="D183" s="15" t="s">
        <v>2813</v>
      </c>
      <c r="E183" s="16" t="s">
        <v>1398</v>
      </c>
      <c r="F183" s="14" t="s">
        <v>2709</v>
      </c>
      <c r="G183" s="17"/>
      <c r="H183" s="17"/>
      <c r="K183" s="139"/>
      <c r="L183" s="140">
        <f t="shared" ref="L183:AE183" si="76">IF(L$122&lt;=0,0,IF(L$182&lt;=0,L$179,MIN($F$5,IF(L$179-(L$181-L$122)/L$182&lt;=0,L$179/2,L$179-(L$181-L$122)/L$182))))</f>
        <v>0</v>
      </c>
      <c r="M183" s="140">
        <f t="shared" si="76"/>
        <v>0</v>
      </c>
      <c r="N183" s="140">
        <f t="shared" si="76"/>
        <v>0</v>
      </c>
      <c r="O183" s="140">
        <f t="shared" si="76"/>
        <v>0</v>
      </c>
      <c r="P183" s="140">
        <f t="shared" si="76"/>
        <v>0</v>
      </c>
      <c r="Q183" s="140">
        <f t="shared" si="76"/>
        <v>0</v>
      </c>
      <c r="R183" s="140">
        <f t="shared" si="76"/>
        <v>0</v>
      </c>
      <c r="S183" s="140">
        <f t="shared" si="76"/>
        <v>0</v>
      </c>
      <c r="T183" s="140">
        <f t="shared" si="76"/>
        <v>0</v>
      </c>
      <c r="U183" s="140">
        <f t="shared" si="76"/>
        <v>0</v>
      </c>
      <c r="V183" s="140">
        <f t="shared" si="76"/>
        <v>0</v>
      </c>
      <c r="W183" s="140">
        <f t="shared" si="76"/>
        <v>0</v>
      </c>
      <c r="X183" s="140">
        <f t="shared" si="76"/>
        <v>0</v>
      </c>
      <c r="Y183" s="140">
        <f t="shared" si="76"/>
        <v>0</v>
      </c>
      <c r="Z183" s="140">
        <f t="shared" si="76"/>
        <v>0</v>
      </c>
      <c r="AA183" s="140">
        <f t="shared" si="76"/>
        <v>0</v>
      </c>
      <c r="AB183" s="140">
        <f t="shared" si="76"/>
        <v>0</v>
      </c>
      <c r="AC183" s="140">
        <f t="shared" si="76"/>
        <v>0</v>
      </c>
      <c r="AD183" s="140">
        <f t="shared" si="76"/>
        <v>0</v>
      </c>
      <c r="AE183" s="140">
        <f t="shared" si="76"/>
        <v>0</v>
      </c>
      <c r="AF183" s="141"/>
      <c r="AG183" s="141"/>
      <c r="AH183" s="141"/>
      <c r="AI183" s="141"/>
    </row>
    <row r="184" spans="1:35" customFormat="1" ht="14.25" x14ac:dyDescent="0.45">
      <c r="B184" s="14" t="s">
        <v>2814</v>
      </c>
      <c r="C184" s="14" t="s">
        <v>2675</v>
      </c>
      <c r="D184" s="15" t="s">
        <v>2815</v>
      </c>
      <c r="E184" s="16" t="s">
        <v>2068</v>
      </c>
      <c r="F184" s="14" t="s">
        <v>2699</v>
      </c>
      <c r="G184" s="17"/>
      <c r="H184" s="17"/>
      <c r="K184" s="139"/>
      <c r="L184" s="142">
        <f t="shared" ref="L184:AE184" si="77">SUMPRODUCT(L$45:L$52*(1-EXP(-L$55:L$62*L$183)))+SUMPRODUCT(L$101:L$116*(1-EXP(-L$65:L$80*L$183)))</f>
        <v>0</v>
      </c>
      <c r="M184" s="142">
        <f t="shared" si="77"/>
        <v>0</v>
      </c>
      <c r="N184" s="142">
        <f t="shared" si="77"/>
        <v>0</v>
      </c>
      <c r="O184" s="142">
        <f t="shared" si="77"/>
        <v>0</v>
      </c>
      <c r="P184" s="142">
        <f t="shared" si="77"/>
        <v>0</v>
      </c>
      <c r="Q184" s="142">
        <f t="shared" si="77"/>
        <v>0</v>
      </c>
      <c r="R184" s="142">
        <f t="shared" si="77"/>
        <v>0</v>
      </c>
      <c r="S184" s="142">
        <f t="shared" si="77"/>
        <v>0</v>
      </c>
      <c r="T184" s="142">
        <f t="shared" si="77"/>
        <v>0</v>
      </c>
      <c r="U184" s="142">
        <f t="shared" si="77"/>
        <v>0</v>
      </c>
      <c r="V184" s="142">
        <f t="shared" si="77"/>
        <v>0</v>
      </c>
      <c r="W184" s="142">
        <f t="shared" si="77"/>
        <v>0</v>
      </c>
      <c r="X184" s="142">
        <f t="shared" si="77"/>
        <v>0</v>
      </c>
      <c r="Y184" s="142">
        <f t="shared" si="77"/>
        <v>0</v>
      </c>
      <c r="Z184" s="142">
        <f t="shared" si="77"/>
        <v>0</v>
      </c>
      <c r="AA184" s="142">
        <f t="shared" si="77"/>
        <v>0</v>
      </c>
      <c r="AB184" s="142">
        <f t="shared" si="77"/>
        <v>0</v>
      </c>
      <c r="AC184" s="142">
        <f t="shared" si="77"/>
        <v>0</v>
      </c>
      <c r="AD184" s="142">
        <f t="shared" si="77"/>
        <v>0</v>
      </c>
      <c r="AE184" s="142">
        <f t="shared" si="77"/>
        <v>0</v>
      </c>
      <c r="AF184" s="141"/>
      <c r="AG184" s="141"/>
      <c r="AH184" s="141"/>
      <c r="AI184" s="141"/>
    </row>
    <row r="185" spans="1:35" customFormat="1" ht="14.25" x14ac:dyDescent="0.45">
      <c r="B185" s="14" t="s">
        <v>2816</v>
      </c>
      <c r="C185" s="14" t="s">
        <v>2675</v>
      </c>
      <c r="D185" s="15" t="s">
        <v>2817</v>
      </c>
      <c r="E185" s="16" t="s">
        <v>1854</v>
      </c>
      <c r="F185" s="14" t="s">
        <v>2702</v>
      </c>
      <c r="G185" s="17"/>
      <c r="H185" s="17"/>
      <c r="K185" s="139"/>
      <c r="L185" s="140">
        <f t="shared" ref="L185:AE185" si="78">IF($F$4="COST",(SUMPRODUCT(L$45:L$52*((1-EXP(-L$55:L$62*L$183))/(L$55:L$62+(L$55:L$62=0))-L$183*EXP(-L$55:L$62*L$183)*(L$55:L$62&lt;&gt;0)))+SUMPRODUCT(L$101:L$116*((1-EXP(-L$65:L$80*L$183))/(L$65:L$80+(L$65:L$80=0))-L$183*EXP(-L$65:L$80*L$183)*(L$65:L$80&lt;&gt;0)))),L$183*L$184)</f>
        <v>0</v>
      </c>
      <c r="M185" s="140">
        <f t="shared" si="78"/>
        <v>0</v>
      </c>
      <c r="N185" s="140">
        <f t="shared" si="78"/>
        <v>0</v>
      </c>
      <c r="O185" s="140">
        <f t="shared" si="78"/>
        <v>0</v>
      </c>
      <c r="P185" s="140">
        <f t="shared" si="78"/>
        <v>0</v>
      </c>
      <c r="Q185" s="140">
        <f t="shared" si="78"/>
        <v>0</v>
      </c>
      <c r="R185" s="140">
        <f t="shared" si="78"/>
        <v>0</v>
      </c>
      <c r="S185" s="140">
        <f t="shared" si="78"/>
        <v>0</v>
      </c>
      <c r="T185" s="140">
        <f t="shared" si="78"/>
        <v>0</v>
      </c>
      <c r="U185" s="140">
        <f t="shared" si="78"/>
        <v>0</v>
      </c>
      <c r="V185" s="140">
        <f t="shared" si="78"/>
        <v>0</v>
      </c>
      <c r="W185" s="140">
        <f t="shared" si="78"/>
        <v>0</v>
      </c>
      <c r="X185" s="140">
        <f t="shared" si="78"/>
        <v>0</v>
      </c>
      <c r="Y185" s="140">
        <f t="shared" si="78"/>
        <v>0</v>
      </c>
      <c r="Z185" s="140">
        <f t="shared" si="78"/>
        <v>0</v>
      </c>
      <c r="AA185" s="140">
        <f t="shared" si="78"/>
        <v>0</v>
      </c>
      <c r="AB185" s="140">
        <f t="shared" si="78"/>
        <v>0</v>
      </c>
      <c r="AC185" s="140">
        <f t="shared" si="78"/>
        <v>0</v>
      </c>
      <c r="AD185" s="140">
        <f t="shared" si="78"/>
        <v>0</v>
      </c>
      <c r="AE185" s="140">
        <f t="shared" si="78"/>
        <v>0</v>
      </c>
      <c r="AF185" s="141"/>
      <c r="AG185" s="141"/>
      <c r="AH185" s="141"/>
      <c r="AI185" s="141"/>
    </row>
    <row r="186" spans="1:35" customFormat="1" ht="14.25" x14ac:dyDescent="0.45">
      <c r="B186" s="14" t="s">
        <v>2818</v>
      </c>
      <c r="C186" s="14" t="s">
        <v>2675</v>
      </c>
      <c r="D186" s="15" t="s">
        <v>2819</v>
      </c>
      <c r="E186" s="16" t="s">
        <v>2705</v>
      </c>
      <c r="F186" s="14" t="s">
        <v>2706</v>
      </c>
      <c r="G186" s="17"/>
      <c r="H186" s="17"/>
      <c r="K186" s="139"/>
      <c r="L186" s="142">
        <f t="shared" ref="L186:AE186" si="79">IF($F$4="COST",L$183*(SUMPRODUCT(L$45:L$52*L$55:L$62*EXP(-L$55:L$62*L$183))+SUMPRODUCT(L$101:L$116*L$65:L$80*EXP(-L$65:L$80*L$183))),L$184+L$183*(SUMPRODUCT(L$45:L$52*L$55:L$62*EXP(-L$55:L$62*L$183))+SUMPRODUCT(L$101:L$116*L$65:L$80*EXP(-L$65:L$80*L$183))))</f>
        <v>0</v>
      </c>
      <c r="M186" s="142">
        <f t="shared" si="79"/>
        <v>0</v>
      </c>
      <c r="N186" s="142">
        <f t="shared" si="79"/>
        <v>0</v>
      </c>
      <c r="O186" s="142">
        <f t="shared" si="79"/>
        <v>0</v>
      </c>
      <c r="P186" s="142">
        <f t="shared" si="79"/>
        <v>0</v>
      </c>
      <c r="Q186" s="142">
        <f t="shared" si="79"/>
        <v>0</v>
      </c>
      <c r="R186" s="142">
        <f t="shared" si="79"/>
        <v>0</v>
      </c>
      <c r="S186" s="142">
        <f t="shared" si="79"/>
        <v>0</v>
      </c>
      <c r="T186" s="142">
        <f t="shared" si="79"/>
        <v>0</v>
      </c>
      <c r="U186" s="142">
        <f t="shared" si="79"/>
        <v>0</v>
      </c>
      <c r="V186" s="142">
        <f t="shared" si="79"/>
        <v>0</v>
      </c>
      <c r="W186" s="142">
        <f t="shared" si="79"/>
        <v>0</v>
      </c>
      <c r="X186" s="142">
        <f t="shared" si="79"/>
        <v>0</v>
      </c>
      <c r="Y186" s="142">
        <f t="shared" si="79"/>
        <v>0</v>
      </c>
      <c r="Z186" s="142">
        <f t="shared" si="79"/>
        <v>0</v>
      </c>
      <c r="AA186" s="142">
        <f t="shared" si="79"/>
        <v>0</v>
      </c>
      <c r="AB186" s="142">
        <f t="shared" si="79"/>
        <v>0</v>
      </c>
      <c r="AC186" s="142">
        <f t="shared" si="79"/>
        <v>0</v>
      </c>
      <c r="AD186" s="142">
        <f t="shared" si="79"/>
        <v>0</v>
      </c>
      <c r="AE186" s="142">
        <f t="shared" si="79"/>
        <v>0</v>
      </c>
      <c r="AF186" s="141"/>
      <c r="AG186" s="141"/>
      <c r="AH186" s="141"/>
      <c r="AI186" s="141"/>
    </row>
    <row r="187" spans="1:35" customFormat="1" ht="14.25" x14ac:dyDescent="0.45">
      <c r="B187" s="14" t="s">
        <v>2820</v>
      </c>
      <c r="C187" s="14" t="s">
        <v>2675</v>
      </c>
      <c r="D187" s="15" t="s">
        <v>2821</v>
      </c>
      <c r="E187" s="16" t="s">
        <v>1398</v>
      </c>
      <c r="F187" s="14" t="s">
        <v>2709</v>
      </c>
      <c r="G187" s="17"/>
      <c r="H187" s="17"/>
      <c r="K187" s="139"/>
      <c r="L187" s="140">
        <f t="shared" ref="L187:AE187" si="80">IF(L$122&lt;=0,0,IF(L$186&lt;=0,L$183,MIN($F$5,IF(L$183-(L$185-L$122)/L$186&lt;=0,L$183/2,L$183-(L$185-L$122)/L$186))))</f>
        <v>0</v>
      </c>
      <c r="M187" s="140">
        <f t="shared" si="80"/>
        <v>0</v>
      </c>
      <c r="N187" s="140">
        <f t="shared" si="80"/>
        <v>0</v>
      </c>
      <c r="O187" s="140">
        <f t="shared" si="80"/>
        <v>0</v>
      </c>
      <c r="P187" s="140">
        <f t="shared" si="80"/>
        <v>0</v>
      </c>
      <c r="Q187" s="140">
        <f t="shared" si="80"/>
        <v>0</v>
      </c>
      <c r="R187" s="140">
        <f t="shared" si="80"/>
        <v>0</v>
      </c>
      <c r="S187" s="140">
        <f t="shared" si="80"/>
        <v>0</v>
      </c>
      <c r="T187" s="140">
        <f t="shared" si="80"/>
        <v>0</v>
      </c>
      <c r="U187" s="140">
        <f t="shared" si="80"/>
        <v>0</v>
      </c>
      <c r="V187" s="140">
        <f t="shared" si="80"/>
        <v>0</v>
      </c>
      <c r="W187" s="140">
        <f t="shared" si="80"/>
        <v>0</v>
      </c>
      <c r="X187" s="140">
        <f t="shared" si="80"/>
        <v>0</v>
      </c>
      <c r="Y187" s="140">
        <f t="shared" si="80"/>
        <v>0</v>
      </c>
      <c r="Z187" s="140">
        <f t="shared" si="80"/>
        <v>0</v>
      </c>
      <c r="AA187" s="140">
        <f t="shared" si="80"/>
        <v>0</v>
      </c>
      <c r="AB187" s="140">
        <f t="shared" si="80"/>
        <v>0</v>
      </c>
      <c r="AC187" s="140">
        <f t="shared" si="80"/>
        <v>0</v>
      </c>
      <c r="AD187" s="140">
        <f t="shared" si="80"/>
        <v>0</v>
      </c>
      <c r="AE187" s="140">
        <f t="shared" si="80"/>
        <v>0</v>
      </c>
      <c r="AF187" s="141"/>
      <c r="AG187" s="141"/>
      <c r="AH187" s="141"/>
      <c r="AI187" s="141"/>
    </row>
    <row r="188" spans="1:35" x14ac:dyDescent="0.35"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</row>
    <row r="189" spans="1:35" customFormat="1" ht="14.25" x14ac:dyDescent="0.45">
      <c r="A189" s="11"/>
      <c r="B189" s="6"/>
      <c r="C189" s="7" t="s">
        <v>2822</v>
      </c>
      <c r="D189" s="6" t="s">
        <v>1488</v>
      </c>
      <c r="E189" s="7" t="s">
        <v>35</v>
      </c>
      <c r="F189" s="7" t="s">
        <v>45</v>
      </c>
      <c r="G189" s="7" t="s">
        <v>37</v>
      </c>
      <c r="H189" s="12" t="s">
        <v>38</v>
      </c>
      <c r="I189" s="6" t="s">
        <v>39</v>
      </c>
      <c r="J189" s="48">
        <v>1</v>
      </c>
      <c r="K189" s="137">
        <v>2021</v>
      </c>
      <c r="L189" s="138">
        <v>2022</v>
      </c>
      <c r="M189" s="137">
        <v>2023</v>
      </c>
      <c r="N189" s="137">
        <v>2024</v>
      </c>
      <c r="O189" s="137">
        <v>2025</v>
      </c>
      <c r="P189" s="137">
        <v>2026</v>
      </c>
      <c r="Q189" s="137">
        <v>2027</v>
      </c>
      <c r="R189" s="137">
        <v>2028</v>
      </c>
      <c r="S189" s="137">
        <v>2029</v>
      </c>
      <c r="T189" s="137">
        <v>2030</v>
      </c>
      <c r="U189" s="137">
        <v>2031</v>
      </c>
      <c r="V189" s="137">
        <v>2032</v>
      </c>
      <c r="W189" s="137">
        <v>2033</v>
      </c>
      <c r="X189" s="137">
        <v>2034</v>
      </c>
      <c r="Y189" s="137">
        <v>2035</v>
      </c>
      <c r="Z189" s="137">
        <v>2036</v>
      </c>
      <c r="AA189" s="137">
        <v>2037</v>
      </c>
      <c r="AB189" s="137">
        <v>2038</v>
      </c>
      <c r="AC189" s="137">
        <v>2039</v>
      </c>
      <c r="AD189" s="137">
        <v>2040</v>
      </c>
      <c r="AE189" s="137">
        <v>2041</v>
      </c>
      <c r="AF189" s="137">
        <v>2042</v>
      </c>
      <c r="AG189" s="137">
        <v>2043</v>
      </c>
      <c r="AH189" s="137">
        <v>2044</v>
      </c>
      <c r="AI189" s="137">
        <v>2045</v>
      </c>
    </row>
    <row r="190" spans="1:35" customFormat="1" ht="14.25" x14ac:dyDescent="0.45">
      <c r="B190" s="14" t="s">
        <v>1793</v>
      </c>
      <c r="C190" s="14" t="s">
        <v>2675</v>
      </c>
      <c r="D190" s="15" t="s">
        <v>2823</v>
      </c>
      <c r="E190" s="16" t="s">
        <v>1398</v>
      </c>
      <c r="F190" s="14" t="s">
        <v>1793</v>
      </c>
      <c r="G190" s="17"/>
      <c r="H190" s="128" t="str">
        <f>Settings!$B$3&amp;".mit.fundsp.cbam.tot.1"</f>
        <v>egy.mit.fundsp.cbam.tot.1</v>
      </c>
      <c r="I190" t="s">
        <v>2824</v>
      </c>
      <c r="K190" s="139"/>
      <c r="L190" s="140">
        <f t="shared" ref="L190:AE190" si="81">L$187</f>
        <v>0</v>
      </c>
      <c r="M190" s="140">
        <f t="shared" si="81"/>
        <v>0</v>
      </c>
      <c r="N190" s="140">
        <f t="shared" si="81"/>
        <v>0</v>
      </c>
      <c r="O190" s="140">
        <f t="shared" si="81"/>
        <v>0</v>
      </c>
      <c r="P190" s="140">
        <f t="shared" si="81"/>
        <v>0</v>
      </c>
      <c r="Q190" s="140">
        <f t="shared" si="81"/>
        <v>0</v>
      </c>
      <c r="R190" s="140">
        <f t="shared" si="81"/>
        <v>0</v>
      </c>
      <c r="S190" s="140">
        <f t="shared" si="81"/>
        <v>0</v>
      </c>
      <c r="T190" s="140">
        <f t="shared" si="81"/>
        <v>0</v>
      </c>
      <c r="U190" s="140">
        <f t="shared" si="81"/>
        <v>0</v>
      </c>
      <c r="V190" s="140">
        <f t="shared" si="81"/>
        <v>0</v>
      </c>
      <c r="W190" s="140">
        <f t="shared" si="81"/>
        <v>0</v>
      </c>
      <c r="X190" s="140">
        <f t="shared" si="81"/>
        <v>0</v>
      </c>
      <c r="Y190" s="140">
        <f t="shared" si="81"/>
        <v>0</v>
      </c>
      <c r="Z190" s="140">
        <f t="shared" si="81"/>
        <v>0</v>
      </c>
      <c r="AA190" s="140">
        <f t="shared" si="81"/>
        <v>0</v>
      </c>
      <c r="AB190" s="140">
        <f t="shared" si="81"/>
        <v>0</v>
      </c>
      <c r="AC190" s="140">
        <f t="shared" si="81"/>
        <v>0</v>
      </c>
      <c r="AD190" s="140">
        <f t="shared" si="81"/>
        <v>0</v>
      </c>
      <c r="AE190" s="140">
        <f t="shared" si="81"/>
        <v>0</v>
      </c>
      <c r="AF190" s="141"/>
      <c r="AG190" s="141"/>
      <c r="AH190" s="141"/>
      <c r="AI190" s="141"/>
    </row>
    <row r="191" spans="1:35" customFormat="1" ht="14.25" x14ac:dyDescent="0.45">
      <c r="B191" s="14" t="s">
        <v>2825</v>
      </c>
      <c r="C191" s="14" t="s">
        <v>2675</v>
      </c>
      <c r="D191" s="15" t="s">
        <v>2826</v>
      </c>
      <c r="E191" s="16" t="s">
        <v>2068</v>
      </c>
      <c r="F191" s="14" t="s">
        <v>2825</v>
      </c>
      <c r="G191" s="17"/>
      <c r="H191" s="128" t="str">
        <f>Settings!$B$3&amp;".mit.abat.cbam.tot.1"</f>
        <v>egy.mit.abat.cbam.tot.1</v>
      </c>
      <c r="I191" t="s">
        <v>2827</v>
      </c>
      <c r="K191" s="139"/>
      <c r="L191" s="142">
        <f t="shared" ref="L191:AE191" si="82">L192+L193</f>
        <v>0</v>
      </c>
      <c r="M191" s="142">
        <f t="shared" si="82"/>
        <v>0</v>
      </c>
      <c r="N191" s="142">
        <f t="shared" si="82"/>
        <v>0</v>
      </c>
      <c r="O191" s="142">
        <f t="shared" si="82"/>
        <v>0</v>
      </c>
      <c r="P191" s="142">
        <f t="shared" si="82"/>
        <v>0</v>
      </c>
      <c r="Q191" s="142">
        <f t="shared" si="82"/>
        <v>0</v>
      </c>
      <c r="R191" s="142">
        <f t="shared" si="82"/>
        <v>0</v>
      </c>
      <c r="S191" s="142">
        <f t="shared" si="82"/>
        <v>0</v>
      </c>
      <c r="T191" s="142">
        <f t="shared" si="82"/>
        <v>0</v>
      </c>
      <c r="U191" s="142">
        <f t="shared" si="82"/>
        <v>0</v>
      </c>
      <c r="V191" s="142">
        <f t="shared" si="82"/>
        <v>0</v>
      </c>
      <c r="W191" s="142">
        <f t="shared" si="82"/>
        <v>0</v>
      </c>
      <c r="X191" s="142">
        <f t="shared" si="82"/>
        <v>0</v>
      </c>
      <c r="Y191" s="142">
        <f t="shared" si="82"/>
        <v>0</v>
      </c>
      <c r="Z191" s="142">
        <f t="shared" si="82"/>
        <v>0</v>
      </c>
      <c r="AA191" s="142">
        <f t="shared" si="82"/>
        <v>0</v>
      </c>
      <c r="AB191" s="142">
        <f t="shared" si="82"/>
        <v>0</v>
      </c>
      <c r="AC191" s="142">
        <f t="shared" si="82"/>
        <v>0</v>
      </c>
      <c r="AD191" s="142">
        <f t="shared" si="82"/>
        <v>0</v>
      </c>
      <c r="AE191" s="142">
        <f t="shared" si="82"/>
        <v>0</v>
      </c>
      <c r="AF191" s="141"/>
      <c r="AG191" s="141"/>
      <c r="AH191" s="141"/>
      <c r="AI191" s="141"/>
    </row>
    <row r="192" spans="1:35" customFormat="1" ht="14.25" x14ac:dyDescent="0.45">
      <c r="B192" s="14" t="s">
        <v>2828</v>
      </c>
      <c r="C192" s="14" t="s">
        <v>2675</v>
      </c>
      <c r="D192" s="15" t="s">
        <v>2829</v>
      </c>
      <c r="E192" s="16" t="s">
        <v>2068</v>
      </c>
      <c r="F192" s="14" t="s">
        <v>2828</v>
      </c>
      <c r="G192" s="17"/>
      <c r="H192" s="128" t="str">
        <f>Settings!$B$3&amp;".mit.abatf.cbam.tot.1"</f>
        <v>egy.mit.abatf.cbam.tot.1</v>
      </c>
      <c r="I192" t="s">
        <v>2830</v>
      </c>
      <c r="K192" s="139"/>
      <c r="L192" s="142">
        <f t="shared" ref="L192:AE192" si="83">SUMPRODUCT(L$45:L$52*(1-EXP(-L$55:L$62*L$190)))</f>
        <v>0</v>
      </c>
      <c r="M192" s="142">
        <f t="shared" si="83"/>
        <v>0</v>
      </c>
      <c r="N192" s="142">
        <f t="shared" si="83"/>
        <v>0</v>
      </c>
      <c r="O192" s="142">
        <f t="shared" si="83"/>
        <v>0</v>
      </c>
      <c r="P192" s="142">
        <f t="shared" si="83"/>
        <v>0</v>
      </c>
      <c r="Q192" s="142">
        <f t="shared" si="83"/>
        <v>0</v>
      </c>
      <c r="R192" s="142">
        <f t="shared" si="83"/>
        <v>0</v>
      </c>
      <c r="S192" s="142">
        <f t="shared" si="83"/>
        <v>0</v>
      </c>
      <c r="T192" s="142">
        <f t="shared" si="83"/>
        <v>0</v>
      </c>
      <c r="U192" s="142">
        <f t="shared" si="83"/>
        <v>0</v>
      </c>
      <c r="V192" s="142">
        <f t="shared" si="83"/>
        <v>0</v>
      </c>
      <c r="W192" s="142">
        <f t="shared" si="83"/>
        <v>0</v>
      </c>
      <c r="X192" s="142">
        <f t="shared" si="83"/>
        <v>0</v>
      </c>
      <c r="Y192" s="142">
        <f t="shared" si="83"/>
        <v>0</v>
      </c>
      <c r="Z192" s="142">
        <f t="shared" si="83"/>
        <v>0</v>
      </c>
      <c r="AA192" s="142">
        <f t="shared" si="83"/>
        <v>0</v>
      </c>
      <c r="AB192" s="142">
        <f t="shared" si="83"/>
        <v>0</v>
      </c>
      <c r="AC192" s="142">
        <f t="shared" si="83"/>
        <v>0</v>
      </c>
      <c r="AD192" s="142">
        <f t="shared" si="83"/>
        <v>0</v>
      </c>
      <c r="AE192" s="142">
        <f t="shared" si="83"/>
        <v>0</v>
      </c>
      <c r="AF192" s="141"/>
      <c r="AG192" s="141"/>
      <c r="AH192" s="141"/>
      <c r="AI192" s="141"/>
    </row>
    <row r="193" spans="1:35" customFormat="1" ht="14.25" x14ac:dyDescent="0.45">
      <c r="B193" s="14" t="s">
        <v>2831</v>
      </c>
      <c r="C193" s="14" t="s">
        <v>2675</v>
      </c>
      <c r="D193" s="15" t="s">
        <v>2832</v>
      </c>
      <c r="E193" s="16" t="s">
        <v>2068</v>
      </c>
      <c r="F193" s="14" t="s">
        <v>2831</v>
      </c>
      <c r="G193" s="17"/>
      <c r="H193" s="128" t="str">
        <f>Settings!$B$3&amp;".mit.abatp.cbam.tot.1"</f>
        <v>egy.mit.abatp.cbam.tot.1</v>
      </c>
      <c r="I193" t="s">
        <v>2833</v>
      </c>
      <c r="K193" s="139"/>
      <c r="L193" s="142">
        <f t="shared" ref="L193:AE193" si="84">SUMPRODUCT(L$101:L$116*(1-EXP(-L$65:L$80*L$190)))</f>
        <v>0</v>
      </c>
      <c r="M193" s="142">
        <f t="shared" si="84"/>
        <v>0</v>
      </c>
      <c r="N193" s="142">
        <f t="shared" si="84"/>
        <v>0</v>
      </c>
      <c r="O193" s="142">
        <f t="shared" si="84"/>
        <v>0</v>
      </c>
      <c r="P193" s="142">
        <f t="shared" si="84"/>
        <v>0</v>
      </c>
      <c r="Q193" s="142">
        <f t="shared" si="84"/>
        <v>0</v>
      </c>
      <c r="R193" s="142">
        <f t="shared" si="84"/>
        <v>0</v>
      </c>
      <c r="S193" s="142">
        <f t="shared" si="84"/>
        <v>0</v>
      </c>
      <c r="T193" s="142">
        <f t="shared" si="84"/>
        <v>0</v>
      </c>
      <c r="U193" s="142">
        <f t="shared" si="84"/>
        <v>0</v>
      </c>
      <c r="V193" s="142">
        <f t="shared" si="84"/>
        <v>0</v>
      </c>
      <c r="W193" s="142">
        <f t="shared" si="84"/>
        <v>0</v>
      </c>
      <c r="X193" s="142">
        <f t="shared" si="84"/>
        <v>0</v>
      </c>
      <c r="Y193" s="142">
        <f t="shared" si="84"/>
        <v>0</v>
      </c>
      <c r="Z193" s="142">
        <f t="shared" si="84"/>
        <v>0</v>
      </c>
      <c r="AA193" s="142">
        <f t="shared" si="84"/>
        <v>0</v>
      </c>
      <c r="AB193" s="142">
        <f t="shared" si="84"/>
        <v>0</v>
      </c>
      <c r="AC193" s="142">
        <f t="shared" si="84"/>
        <v>0</v>
      </c>
      <c r="AD193" s="142">
        <f t="shared" si="84"/>
        <v>0</v>
      </c>
      <c r="AE193" s="142">
        <f t="shared" si="84"/>
        <v>0</v>
      </c>
      <c r="AF193" s="141"/>
      <c r="AG193" s="141"/>
      <c r="AH193" s="141"/>
      <c r="AI193" s="141"/>
    </row>
    <row r="194" spans="1:35" customFormat="1" ht="14.25" x14ac:dyDescent="0.45">
      <c r="B194" s="14" t="s">
        <v>2834</v>
      </c>
      <c r="C194" s="14" t="s">
        <v>2675</v>
      </c>
      <c r="D194" s="15" t="s">
        <v>2835</v>
      </c>
      <c r="E194" s="16" t="s">
        <v>1854</v>
      </c>
      <c r="F194" s="14" t="s">
        <v>2834</v>
      </c>
      <c r="G194" s="17"/>
      <c r="H194" s="128" t="str">
        <f>Settings!$B$3&amp;".mit.outlay.cbam.tot.1"</f>
        <v>egy.mit.outlay.cbam.tot.1</v>
      </c>
      <c r="K194" s="139"/>
      <c r="L194" s="140">
        <f t="shared" ref="L194:AE194" si="85">IF($F$4="COST",(SUMPRODUCT(L$45:L$52*((1-EXP(-L$55:L$62*L$190))/(L$55:L$62+(L$55:L$62=0))-L$190*EXP(-L$55:L$62*L$190)*(L$55:L$62&lt;&gt;0)))+SUMPRODUCT(L$101:L$116*((1-EXP(-L$65:L$80*L$190))/(L$65:L$80+(L$65:L$80=0))-L$190*EXP(-L$65:L$80*L$190)*(L$65:L$80&lt;&gt;0)))),L$190*L$191)</f>
        <v>0</v>
      </c>
      <c r="M194" s="140">
        <f t="shared" si="85"/>
        <v>0</v>
      </c>
      <c r="N194" s="140">
        <f t="shared" si="85"/>
        <v>0</v>
      </c>
      <c r="O194" s="140">
        <f t="shared" si="85"/>
        <v>0</v>
      </c>
      <c r="P194" s="140">
        <f t="shared" si="85"/>
        <v>0</v>
      </c>
      <c r="Q194" s="140">
        <f t="shared" si="85"/>
        <v>0</v>
      </c>
      <c r="R194" s="140">
        <f t="shared" si="85"/>
        <v>0</v>
      </c>
      <c r="S194" s="140">
        <f t="shared" si="85"/>
        <v>0</v>
      </c>
      <c r="T194" s="140">
        <f t="shared" si="85"/>
        <v>0</v>
      </c>
      <c r="U194" s="140">
        <f t="shared" si="85"/>
        <v>0</v>
      </c>
      <c r="V194" s="140">
        <f t="shared" si="85"/>
        <v>0</v>
      </c>
      <c r="W194" s="140">
        <f t="shared" si="85"/>
        <v>0</v>
      </c>
      <c r="X194" s="140">
        <f t="shared" si="85"/>
        <v>0</v>
      </c>
      <c r="Y194" s="140">
        <f t="shared" si="85"/>
        <v>0</v>
      </c>
      <c r="Z194" s="140">
        <f t="shared" si="85"/>
        <v>0</v>
      </c>
      <c r="AA194" s="140">
        <f t="shared" si="85"/>
        <v>0</v>
      </c>
      <c r="AB194" s="140">
        <f t="shared" si="85"/>
        <v>0</v>
      </c>
      <c r="AC194" s="140">
        <f t="shared" si="85"/>
        <v>0</v>
      </c>
      <c r="AD194" s="140">
        <f t="shared" si="85"/>
        <v>0</v>
      </c>
      <c r="AE194" s="140">
        <f t="shared" si="85"/>
        <v>0</v>
      </c>
      <c r="AF194" s="141"/>
      <c r="AG194" s="141"/>
      <c r="AH194" s="141"/>
      <c r="AI194" s="141"/>
    </row>
    <row r="195" spans="1:35" customFormat="1" ht="14.25" x14ac:dyDescent="0.45">
      <c r="B195" s="14" t="s">
        <v>2836</v>
      </c>
      <c r="C195" s="14" t="s">
        <v>2675</v>
      </c>
      <c r="D195" s="15" t="s">
        <v>2837</v>
      </c>
      <c r="E195" s="16" t="s">
        <v>1854</v>
      </c>
      <c r="F195" s="14" t="s">
        <v>2836</v>
      </c>
      <c r="G195" s="17"/>
      <c r="H195" s="17"/>
      <c r="K195" s="139"/>
      <c r="L195" s="142">
        <f t="shared" ref="L195:AE195" si="86">L$194-L$122</f>
        <v>0</v>
      </c>
      <c r="M195" s="142">
        <f t="shared" si="86"/>
        <v>0</v>
      </c>
      <c r="N195" s="142">
        <f t="shared" si="86"/>
        <v>0</v>
      </c>
      <c r="O195" s="142">
        <f t="shared" si="86"/>
        <v>0</v>
      </c>
      <c r="P195" s="142">
        <f t="shared" si="86"/>
        <v>0</v>
      </c>
      <c r="Q195" s="142">
        <f t="shared" si="86"/>
        <v>0</v>
      </c>
      <c r="R195" s="142">
        <f t="shared" si="86"/>
        <v>0</v>
      </c>
      <c r="S195" s="142">
        <f t="shared" si="86"/>
        <v>0</v>
      </c>
      <c r="T195" s="142">
        <f t="shared" si="86"/>
        <v>0</v>
      </c>
      <c r="U195" s="142">
        <f t="shared" si="86"/>
        <v>0</v>
      </c>
      <c r="V195" s="142">
        <f t="shared" si="86"/>
        <v>0</v>
      </c>
      <c r="W195" s="142">
        <f t="shared" si="86"/>
        <v>0</v>
      </c>
      <c r="X195" s="142">
        <f t="shared" si="86"/>
        <v>0</v>
      </c>
      <c r="Y195" s="142">
        <f t="shared" si="86"/>
        <v>0</v>
      </c>
      <c r="Z195" s="142">
        <f t="shared" si="86"/>
        <v>0</v>
      </c>
      <c r="AA195" s="142">
        <f t="shared" si="86"/>
        <v>0</v>
      </c>
      <c r="AB195" s="142">
        <f t="shared" si="86"/>
        <v>0</v>
      </c>
      <c r="AC195" s="142">
        <f t="shared" si="86"/>
        <v>0</v>
      </c>
      <c r="AD195" s="142">
        <f t="shared" si="86"/>
        <v>0</v>
      </c>
      <c r="AE195" s="142">
        <f t="shared" si="86"/>
        <v>0</v>
      </c>
      <c r="AF195" s="141"/>
      <c r="AG195" s="141"/>
      <c r="AH195" s="141"/>
      <c r="AI195" s="141"/>
    </row>
    <row r="196" spans="1:35" customFormat="1" ht="14.25" x14ac:dyDescent="0.45">
      <c r="B196" s="14" t="s">
        <v>2838</v>
      </c>
      <c r="C196" s="14" t="s">
        <v>2675</v>
      </c>
      <c r="D196" s="15" t="s">
        <v>2839</v>
      </c>
      <c r="E196" s="16" t="s">
        <v>1854</v>
      </c>
      <c r="F196" s="14" t="s">
        <v>2838</v>
      </c>
      <c r="G196" s="17"/>
      <c r="H196" s="128" t="str">
        <f>Settings!$B$3&amp;".mit.unspent.cbam.tot.1"</f>
        <v>egy.mit.unspent.cbam.tot.1</v>
      </c>
      <c r="K196" s="139"/>
      <c r="L196" s="140">
        <f t="shared" ref="L196:AE196" si="87">MAX(0,L$122-L$194)</f>
        <v>0</v>
      </c>
      <c r="M196" s="140">
        <f t="shared" si="87"/>
        <v>0</v>
      </c>
      <c r="N196" s="140">
        <f t="shared" si="87"/>
        <v>0</v>
      </c>
      <c r="O196" s="140">
        <f t="shared" si="87"/>
        <v>0</v>
      </c>
      <c r="P196" s="140">
        <f t="shared" si="87"/>
        <v>0</v>
      </c>
      <c r="Q196" s="140">
        <f t="shared" si="87"/>
        <v>0</v>
      </c>
      <c r="R196" s="140">
        <f t="shared" si="87"/>
        <v>0</v>
      </c>
      <c r="S196" s="140">
        <f t="shared" si="87"/>
        <v>0</v>
      </c>
      <c r="T196" s="140">
        <f t="shared" si="87"/>
        <v>0</v>
      </c>
      <c r="U196" s="140">
        <f t="shared" si="87"/>
        <v>0</v>
      </c>
      <c r="V196" s="140">
        <f t="shared" si="87"/>
        <v>0</v>
      </c>
      <c r="W196" s="140">
        <f t="shared" si="87"/>
        <v>0</v>
      </c>
      <c r="X196" s="140">
        <f t="shared" si="87"/>
        <v>0</v>
      </c>
      <c r="Y196" s="140">
        <f t="shared" si="87"/>
        <v>0</v>
      </c>
      <c r="Z196" s="140">
        <f t="shared" si="87"/>
        <v>0</v>
      </c>
      <c r="AA196" s="140">
        <f t="shared" si="87"/>
        <v>0</v>
      </c>
      <c r="AB196" s="140">
        <f t="shared" si="87"/>
        <v>0</v>
      </c>
      <c r="AC196" s="140">
        <f t="shared" si="87"/>
        <v>0</v>
      </c>
      <c r="AD196" s="140">
        <f t="shared" si="87"/>
        <v>0</v>
      </c>
      <c r="AE196" s="140">
        <f t="shared" si="87"/>
        <v>0</v>
      </c>
      <c r="AF196" s="141"/>
      <c r="AG196" s="141"/>
      <c r="AH196" s="141"/>
      <c r="AI196" s="141"/>
    </row>
    <row r="197" spans="1:35" customFormat="1" ht="14.25" x14ac:dyDescent="0.45">
      <c r="B197" s="14" t="s">
        <v>2840</v>
      </c>
      <c r="C197" s="14" t="s">
        <v>2675</v>
      </c>
      <c r="D197" s="15" t="s">
        <v>2841</v>
      </c>
      <c r="E197" s="16" t="s">
        <v>2842</v>
      </c>
      <c r="F197" s="14" t="s">
        <v>2840</v>
      </c>
      <c r="G197" s="17"/>
      <c r="H197" s="17"/>
      <c r="K197" s="139"/>
      <c r="L197" s="144">
        <f t="shared" ref="L197:AE197" si="88">(L$122&gt;0)*(L$190&gt;=$F$5-0.000000001)</f>
        <v>0</v>
      </c>
      <c r="M197" s="144">
        <f t="shared" si="88"/>
        <v>0</v>
      </c>
      <c r="N197" s="144">
        <f t="shared" si="88"/>
        <v>0</v>
      </c>
      <c r="O197" s="144">
        <f t="shared" si="88"/>
        <v>0</v>
      </c>
      <c r="P197" s="144">
        <f t="shared" si="88"/>
        <v>0</v>
      </c>
      <c r="Q197" s="144">
        <f t="shared" si="88"/>
        <v>0</v>
      </c>
      <c r="R197" s="144">
        <f t="shared" si="88"/>
        <v>0</v>
      </c>
      <c r="S197" s="144">
        <f t="shared" si="88"/>
        <v>0</v>
      </c>
      <c r="T197" s="144">
        <f t="shared" si="88"/>
        <v>0</v>
      </c>
      <c r="U197" s="144">
        <f t="shared" si="88"/>
        <v>0</v>
      </c>
      <c r="V197" s="144">
        <f t="shared" si="88"/>
        <v>0</v>
      </c>
      <c r="W197" s="144">
        <f t="shared" si="88"/>
        <v>0</v>
      </c>
      <c r="X197" s="144">
        <f t="shared" si="88"/>
        <v>0</v>
      </c>
      <c r="Y197" s="144">
        <f t="shared" si="88"/>
        <v>0</v>
      </c>
      <c r="Z197" s="144">
        <f t="shared" si="88"/>
        <v>0</v>
      </c>
      <c r="AA197" s="144">
        <f t="shared" si="88"/>
        <v>0</v>
      </c>
      <c r="AB197" s="144">
        <f t="shared" si="88"/>
        <v>0</v>
      </c>
      <c r="AC197" s="144">
        <f t="shared" si="88"/>
        <v>0</v>
      </c>
      <c r="AD197" s="144">
        <f t="shared" si="88"/>
        <v>0</v>
      </c>
      <c r="AE197" s="144">
        <f t="shared" si="88"/>
        <v>0</v>
      </c>
      <c r="AF197" s="141"/>
      <c r="AG197" s="141"/>
      <c r="AH197" s="141"/>
      <c r="AI197" s="141"/>
    </row>
    <row r="198" spans="1:35" customFormat="1" ht="14.25" x14ac:dyDescent="0.45">
      <c r="B198" s="14" t="s">
        <v>2843</v>
      </c>
      <c r="C198" s="14" t="s">
        <v>2675</v>
      </c>
      <c r="D198" s="15" t="s">
        <v>2844</v>
      </c>
      <c r="E198" s="16" t="s">
        <v>1398</v>
      </c>
      <c r="F198" s="14" t="s">
        <v>2843</v>
      </c>
      <c r="G198" s="17"/>
      <c r="H198" s="128" t="str">
        <f>Settings!$B$3&amp;".mit.cpt.cbam.tot.1"</f>
        <v>egy.mit.cpt.cbam.tot.1</v>
      </c>
      <c r="K198" s="139"/>
      <c r="L198" s="140">
        <f t="shared" ref="L198:AE198" si="89">IF(L$191&gt;0,L$194/L$191,0)</f>
        <v>0</v>
      </c>
      <c r="M198" s="140">
        <f t="shared" si="89"/>
        <v>0</v>
      </c>
      <c r="N198" s="140">
        <f t="shared" si="89"/>
        <v>0</v>
      </c>
      <c r="O198" s="140">
        <f t="shared" si="89"/>
        <v>0</v>
      </c>
      <c r="P198" s="140">
        <f t="shared" si="89"/>
        <v>0</v>
      </c>
      <c r="Q198" s="140">
        <f t="shared" si="89"/>
        <v>0</v>
      </c>
      <c r="R198" s="140">
        <f t="shared" si="89"/>
        <v>0</v>
      </c>
      <c r="S198" s="140">
        <f t="shared" si="89"/>
        <v>0</v>
      </c>
      <c r="T198" s="140">
        <f t="shared" si="89"/>
        <v>0</v>
      </c>
      <c r="U198" s="140">
        <f t="shared" si="89"/>
        <v>0</v>
      </c>
      <c r="V198" s="140">
        <f t="shared" si="89"/>
        <v>0</v>
      </c>
      <c r="W198" s="140">
        <f t="shared" si="89"/>
        <v>0</v>
      </c>
      <c r="X198" s="140">
        <f t="shared" si="89"/>
        <v>0</v>
      </c>
      <c r="Y198" s="140">
        <f t="shared" si="89"/>
        <v>0</v>
      </c>
      <c r="Z198" s="140">
        <f t="shared" si="89"/>
        <v>0</v>
      </c>
      <c r="AA198" s="140">
        <f t="shared" si="89"/>
        <v>0</v>
      </c>
      <c r="AB198" s="140">
        <f t="shared" si="89"/>
        <v>0</v>
      </c>
      <c r="AC198" s="140">
        <f t="shared" si="89"/>
        <v>0</v>
      </c>
      <c r="AD198" s="140">
        <f t="shared" si="89"/>
        <v>0</v>
      </c>
      <c r="AE198" s="140">
        <f t="shared" si="89"/>
        <v>0</v>
      </c>
      <c r="AF198" s="141"/>
      <c r="AG198" s="141"/>
      <c r="AH198" s="141"/>
      <c r="AI198" s="141"/>
    </row>
    <row r="199" spans="1:35" customFormat="1" ht="14.25" x14ac:dyDescent="0.45">
      <c r="B199" s="14" t="s">
        <v>2845</v>
      </c>
      <c r="C199" s="14" t="s">
        <v>2675</v>
      </c>
      <c r="D199" s="15" t="s">
        <v>2846</v>
      </c>
      <c r="E199" s="16" t="s">
        <v>1854</v>
      </c>
      <c r="F199" s="14" t="s">
        <v>2845</v>
      </c>
      <c r="G199" s="17"/>
      <c r="H199" s="17"/>
      <c r="I199" t="s">
        <v>2847</v>
      </c>
      <c r="K199" s="139"/>
      <c r="L199" s="143">
        <f>L$11*Mitigation_Industry!L$400</f>
        <v>0</v>
      </c>
      <c r="M199" s="143">
        <f>M$11*Mitigation_Industry!M$400</f>
        <v>0</v>
      </c>
      <c r="N199" s="143">
        <f>N$11*Mitigation_Industry!N$400</f>
        <v>0</v>
      </c>
      <c r="O199" s="143">
        <f>O$11*Mitigation_Industry!O$400</f>
        <v>0</v>
      </c>
      <c r="P199" s="143">
        <f>P$11*Mitigation_Industry!P$400</f>
        <v>0</v>
      </c>
      <c r="Q199" s="143">
        <f>Q$11*Mitigation_Industry!Q$400</f>
        <v>0</v>
      </c>
      <c r="R199" s="143">
        <f>R$11*Mitigation_Industry!R$400</f>
        <v>0</v>
      </c>
      <c r="S199" s="143">
        <f>S$11*Mitigation_Industry!S$400</f>
        <v>0</v>
      </c>
      <c r="T199" s="143">
        <f>T$11*Mitigation_Industry!T$400</f>
        <v>0</v>
      </c>
      <c r="U199" s="143">
        <f>U$11*Mitigation_Industry!U$400</f>
        <v>0</v>
      </c>
      <c r="V199" s="143">
        <f>V$11*Mitigation_Industry!V$400</f>
        <v>0</v>
      </c>
      <c r="W199" s="143">
        <f>W$11*Mitigation_Industry!W$400</f>
        <v>0</v>
      </c>
      <c r="X199" s="143">
        <f>X$11*Mitigation_Industry!X$400</f>
        <v>0</v>
      </c>
      <c r="Y199" s="143">
        <f>Y$11*Mitigation_Industry!Y$400</f>
        <v>0</v>
      </c>
      <c r="Z199" s="143">
        <f>Z$11*Mitigation_Industry!Z$400</f>
        <v>0</v>
      </c>
      <c r="AA199" s="143">
        <f>AA$11*Mitigation_Industry!AA$400</f>
        <v>0</v>
      </c>
      <c r="AB199" s="143">
        <f>AB$11*Mitigation_Industry!AB$400</f>
        <v>0</v>
      </c>
      <c r="AC199" s="143">
        <f>AC$11*Mitigation_Industry!AC$400</f>
        <v>0</v>
      </c>
      <c r="AD199" s="143">
        <f>AD$11*Mitigation_Industry!AD$400</f>
        <v>0</v>
      </c>
      <c r="AE199" s="143">
        <f>AE$11*Mitigation_Industry!AE$400</f>
        <v>0</v>
      </c>
      <c r="AF199" s="141"/>
      <c r="AG199" s="141"/>
      <c r="AH199" s="141"/>
      <c r="AI199" s="141"/>
    </row>
    <row r="200" spans="1:35" customFormat="1" ht="14.25" x14ac:dyDescent="0.45">
      <c r="B200" s="14" t="s">
        <v>2848</v>
      </c>
      <c r="C200" s="14" t="s">
        <v>2675</v>
      </c>
      <c r="D200" s="15" t="s">
        <v>2849</v>
      </c>
      <c r="E200" s="16" t="s">
        <v>1854</v>
      </c>
      <c r="F200" s="14" t="s">
        <v>2848</v>
      </c>
      <c r="G200" s="17"/>
      <c r="H200" s="17"/>
      <c r="I200" t="s">
        <v>2850</v>
      </c>
      <c r="K200" s="139"/>
      <c r="L200" s="143">
        <f t="shared" ref="L200:AE200" si="90">L199-L$122</f>
        <v>0</v>
      </c>
      <c r="M200" s="143">
        <f t="shared" si="90"/>
        <v>0</v>
      </c>
      <c r="N200" s="143">
        <f t="shared" si="90"/>
        <v>0</v>
      </c>
      <c r="O200" s="143">
        <f t="shared" si="90"/>
        <v>0</v>
      </c>
      <c r="P200" s="143">
        <f t="shared" si="90"/>
        <v>0</v>
      </c>
      <c r="Q200" s="143">
        <f t="shared" si="90"/>
        <v>0</v>
      </c>
      <c r="R200" s="143">
        <f t="shared" si="90"/>
        <v>0</v>
      </c>
      <c r="S200" s="143">
        <f t="shared" si="90"/>
        <v>0</v>
      </c>
      <c r="T200" s="143">
        <f t="shared" si="90"/>
        <v>0</v>
      </c>
      <c r="U200" s="143">
        <f t="shared" si="90"/>
        <v>0</v>
      </c>
      <c r="V200" s="143">
        <f t="shared" si="90"/>
        <v>0</v>
      </c>
      <c r="W200" s="143">
        <f t="shared" si="90"/>
        <v>0</v>
      </c>
      <c r="X200" s="143">
        <f t="shared" si="90"/>
        <v>0</v>
      </c>
      <c r="Y200" s="143">
        <f t="shared" si="90"/>
        <v>0</v>
      </c>
      <c r="Z200" s="143">
        <f t="shared" si="90"/>
        <v>0</v>
      </c>
      <c r="AA200" s="143">
        <f t="shared" si="90"/>
        <v>0</v>
      </c>
      <c r="AB200" s="143">
        <f t="shared" si="90"/>
        <v>0</v>
      </c>
      <c r="AC200" s="143">
        <f t="shared" si="90"/>
        <v>0</v>
      </c>
      <c r="AD200" s="143">
        <f t="shared" si="90"/>
        <v>0</v>
      </c>
      <c r="AE200" s="143">
        <f t="shared" si="90"/>
        <v>0</v>
      </c>
      <c r="AF200" s="141"/>
      <c r="AG200" s="141"/>
      <c r="AH200" s="141"/>
      <c r="AI200" s="141"/>
    </row>
    <row r="201" spans="1:35" x14ac:dyDescent="0.35"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</row>
    <row r="202" spans="1:35" customFormat="1" ht="14.25" x14ac:dyDescent="0.45">
      <c r="A202" s="11"/>
      <c r="B202" s="6"/>
      <c r="C202" s="7" t="s">
        <v>1160</v>
      </c>
      <c r="D202" s="6" t="s">
        <v>1488</v>
      </c>
      <c r="E202" s="7" t="s">
        <v>35</v>
      </c>
      <c r="F202" s="7" t="s">
        <v>45</v>
      </c>
      <c r="G202" s="7" t="s">
        <v>37</v>
      </c>
      <c r="H202" s="12" t="s">
        <v>38</v>
      </c>
      <c r="I202" s="6" t="s">
        <v>2851</v>
      </c>
      <c r="J202" s="48">
        <v>1</v>
      </c>
      <c r="K202" s="137">
        <v>2021</v>
      </c>
      <c r="L202" s="138">
        <v>2022</v>
      </c>
      <c r="M202" s="137">
        <v>2023</v>
      </c>
      <c r="N202" s="137">
        <v>2024</v>
      </c>
      <c r="O202" s="137">
        <v>2025</v>
      </c>
      <c r="P202" s="137">
        <v>2026</v>
      </c>
      <c r="Q202" s="137">
        <v>2027</v>
      </c>
      <c r="R202" s="137">
        <v>2028</v>
      </c>
      <c r="S202" s="137">
        <v>2029</v>
      </c>
      <c r="T202" s="137">
        <v>2030</v>
      </c>
      <c r="U202" s="137">
        <v>2031</v>
      </c>
      <c r="V202" s="137">
        <v>2032</v>
      </c>
      <c r="W202" s="137">
        <v>2033</v>
      </c>
      <c r="X202" s="137">
        <v>2034</v>
      </c>
      <c r="Y202" s="137">
        <v>2035</v>
      </c>
      <c r="Z202" s="137">
        <v>2036</v>
      </c>
      <c r="AA202" s="137">
        <v>2037</v>
      </c>
      <c r="AB202" s="137">
        <v>2038</v>
      </c>
      <c r="AC202" s="137">
        <v>2039</v>
      </c>
      <c r="AD202" s="137">
        <v>2040</v>
      </c>
      <c r="AE202" s="137">
        <v>2041</v>
      </c>
      <c r="AF202" s="137">
        <v>2042</v>
      </c>
      <c r="AG202" s="137">
        <v>2043</v>
      </c>
      <c r="AH202" s="137">
        <v>2044</v>
      </c>
      <c r="AI202" s="137">
        <v>2045</v>
      </c>
    </row>
    <row r="203" spans="1:35" customFormat="1" ht="14.25" x14ac:dyDescent="0.45">
      <c r="B203" s="14" t="s">
        <v>49</v>
      </c>
      <c r="C203" s="14" t="s">
        <v>4</v>
      </c>
      <c r="D203" s="15" t="s">
        <v>2852</v>
      </c>
      <c r="E203" s="16" t="s">
        <v>51</v>
      </c>
      <c r="F203" s="14" t="s">
        <v>2853</v>
      </c>
      <c r="G203" s="17"/>
      <c r="H203" s="128" t="str">
        <f>Settings!$B$3&amp;".mit.shpf.coa.ind.1"</f>
        <v>egy.mit.shpf.coa.ind.1</v>
      </c>
      <c r="K203" s="140"/>
      <c r="L203" s="140">
        <f>L$190*Scenarios!$E$30</f>
        <v>0</v>
      </c>
      <c r="M203" s="140">
        <f>M$190*Scenarios!$E$30</f>
        <v>0</v>
      </c>
      <c r="N203" s="140">
        <f>N$190*Scenarios!$E$30</f>
        <v>0</v>
      </c>
      <c r="O203" s="140">
        <f>O$190*Scenarios!$E$30</f>
        <v>0</v>
      </c>
      <c r="P203" s="140">
        <f>P$190*Scenarios!$E$30</f>
        <v>0</v>
      </c>
      <c r="Q203" s="140">
        <f>Q$190*Scenarios!$E$30</f>
        <v>0</v>
      </c>
      <c r="R203" s="140">
        <f>R$190*Scenarios!$E$30</f>
        <v>0</v>
      </c>
      <c r="S203" s="140">
        <f>S$190*Scenarios!$E$30</f>
        <v>0</v>
      </c>
      <c r="T203" s="140">
        <f>T$190*Scenarios!$E$30</f>
        <v>0</v>
      </c>
      <c r="U203" s="140">
        <f>U$190*Scenarios!$E$30</f>
        <v>0</v>
      </c>
      <c r="V203" s="140">
        <f>V$190*Scenarios!$E$30</f>
        <v>0</v>
      </c>
      <c r="W203" s="140">
        <f>W$190*Scenarios!$E$30</f>
        <v>0</v>
      </c>
      <c r="X203" s="140">
        <f>X$190*Scenarios!$E$30</f>
        <v>0</v>
      </c>
      <c r="Y203" s="140">
        <f>Y$190*Scenarios!$E$30</f>
        <v>0</v>
      </c>
      <c r="Z203" s="140">
        <f>Z$190*Scenarios!$E$30</f>
        <v>0</v>
      </c>
      <c r="AA203" s="140">
        <f>AA$190*Scenarios!$E$30</f>
        <v>0</v>
      </c>
      <c r="AB203" s="140">
        <f>AB$190*Scenarios!$E$30</f>
        <v>0</v>
      </c>
      <c r="AC203" s="140">
        <f>AC$190*Scenarios!$E$30</f>
        <v>0</v>
      </c>
      <c r="AD203" s="140">
        <f>AD$190*Scenarios!$E$30</f>
        <v>0</v>
      </c>
      <c r="AE203" s="140">
        <f>AE$190*Scenarios!$E$30</f>
        <v>0</v>
      </c>
      <c r="AF203" s="141"/>
      <c r="AG203" s="141"/>
      <c r="AH203" s="141"/>
      <c r="AI203" s="141"/>
    </row>
    <row r="204" spans="1:35" customFormat="1" ht="14.25" x14ac:dyDescent="0.45">
      <c r="B204" s="14" t="s">
        <v>53</v>
      </c>
      <c r="C204" s="14" t="s">
        <v>4</v>
      </c>
      <c r="D204" s="15" t="s">
        <v>2854</v>
      </c>
      <c r="E204" s="16" t="s">
        <v>51</v>
      </c>
      <c r="F204" s="14" t="s">
        <v>2853</v>
      </c>
      <c r="G204" s="17"/>
      <c r="H204" s="128" t="str">
        <f>Settings!$B$3&amp;".mit.shpf.nga.ind.1"</f>
        <v>egy.mit.shpf.nga.ind.1</v>
      </c>
      <c r="K204" s="140"/>
      <c r="L204" s="140">
        <f>L$190*Scenarios!$E$31</f>
        <v>0</v>
      </c>
      <c r="M204" s="140">
        <f>M$190*Scenarios!$E$31</f>
        <v>0</v>
      </c>
      <c r="N204" s="140">
        <f>N$190*Scenarios!$E$31</f>
        <v>0</v>
      </c>
      <c r="O204" s="140">
        <f>O$190*Scenarios!$E$31</f>
        <v>0</v>
      </c>
      <c r="P204" s="140">
        <f>P$190*Scenarios!$E$31</f>
        <v>0</v>
      </c>
      <c r="Q204" s="140">
        <f>Q$190*Scenarios!$E$31</f>
        <v>0</v>
      </c>
      <c r="R204" s="140">
        <f>R$190*Scenarios!$E$31</f>
        <v>0</v>
      </c>
      <c r="S204" s="140">
        <f>S$190*Scenarios!$E$31</f>
        <v>0</v>
      </c>
      <c r="T204" s="140">
        <f>T$190*Scenarios!$E$31</f>
        <v>0</v>
      </c>
      <c r="U204" s="140">
        <f>U$190*Scenarios!$E$31</f>
        <v>0</v>
      </c>
      <c r="V204" s="140">
        <f>V$190*Scenarios!$E$31</f>
        <v>0</v>
      </c>
      <c r="W204" s="140">
        <f>W$190*Scenarios!$E$31</f>
        <v>0</v>
      </c>
      <c r="X204" s="140">
        <f>X$190*Scenarios!$E$31</f>
        <v>0</v>
      </c>
      <c r="Y204" s="140">
        <f>Y$190*Scenarios!$E$31</f>
        <v>0</v>
      </c>
      <c r="Z204" s="140">
        <f>Z$190*Scenarios!$E$31</f>
        <v>0</v>
      </c>
      <c r="AA204" s="140">
        <f>AA$190*Scenarios!$E$31</f>
        <v>0</v>
      </c>
      <c r="AB204" s="140">
        <f>AB$190*Scenarios!$E$31</f>
        <v>0</v>
      </c>
      <c r="AC204" s="140">
        <f>AC$190*Scenarios!$E$31</f>
        <v>0</v>
      </c>
      <c r="AD204" s="140">
        <f>AD$190*Scenarios!$E$31</f>
        <v>0</v>
      </c>
      <c r="AE204" s="140">
        <f>AE$190*Scenarios!$E$31</f>
        <v>0</v>
      </c>
      <c r="AF204" s="141"/>
      <c r="AG204" s="141"/>
      <c r="AH204" s="141"/>
      <c r="AI204" s="141"/>
    </row>
    <row r="205" spans="1:35" customFormat="1" ht="14.25" x14ac:dyDescent="0.45">
      <c r="B205" s="14" t="s">
        <v>55</v>
      </c>
      <c r="C205" s="14" t="s">
        <v>4</v>
      </c>
      <c r="D205" s="15" t="s">
        <v>2855</v>
      </c>
      <c r="E205" s="16" t="s">
        <v>57</v>
      </c>
      <c r="F205" s="14" t="s">
        <v>2853</v>
      </c>
      <c r="G205" s="17"/>
      <c r="H205" s="128" t="str">
        <f>Settings!$B$3&amp;".mit.shpf.gso.ind.1"</f>
        <v>egy.mit.shpf.gso.ind.1</v>
      </c>
      <c r="K205" s="140"/>
      <c r="L205" s="140">
        <f>L$190*Scenarios!$E$32</f>
        <v>0</v>
      </c>
      <c r="M205" s="140">
        <f>M$190*Scenarios!$E$32</f>
        <v>0</v>
      </c>
      <c r="N205" s="140">
        <f>N$190*Scenarios!$E$32</f>
        <v>0</v>
      </c>
      <c r="O205" s="140">
        <f>O$190*Scenarios!$E$32</f>
        <v>0</v>
      </c>
      <c r="P205" s="140">
        <f>P$190*Scenarios!$E$32</f>
        <v>0</v>
      </c>
      <c r="Q205" s="140">
        <f>Q$190*Scenarios!$E$32</f>
        <v>0</v>
      </c>
      <c r="R205" s="140">
        <f>R$190*Scenarios!$E$32</f>
        <v>0</v>
      </c>
      <c r="S205" s="140">
        <f>S$190*Scenarios!$E$32</f>
        <v>0</v>
      </c>
      <c r="T205" s="140">
        <f>T$190*Scenarios!$E$32</f>
        <v>0</v>
      </c>
      <c r="U205" s="140">
        <f>U$190*Scenarios!$E$32</f>
        <v>0</v>
      </c>
      <c r="V205" s="140">
        <f>V$190*Scenarios!$E$32</f>
        <v>0</v>
      </c>
      <c r="W205" s="140">
        <f>W$190*Scenarios!$E$32</f>
        <v>0</v>
      </c>
      <c r="X205" s="140">
        <f>X$190*Scenarios!$E$32</f>
        <v>0</v>
      </c>
      <c r="Y205" s="140">
        <f>Y$190*Scenarios!$E$32</f>
        <v>0</v>
      </c>
      <c r="Z205" s="140">
        <f>Z$190*Scenarios!$E$32</f>
        <v>0</v>
      </c>
      <c r="AA205" s="140">
        <f>AA$190*Scenarios!$E$32</f>
        <v>0</v>
      </c>
      <c r="AB205" s="140">
        <f>AB$190*Scenarios!$E$32</f>
        <v>0</v>
      </c>
      <c r="AC205" s="140">
        <f>AC$190*Scenarios!$E$32</f>
        <v>0</v>
      </c>
      <c r="AD205" s="140">
        <f>AD$190*Scenarios!$E$32</f>
        <v>0</v>
      </c>
      <c r="AE205" s="140">
        <f>AE$190*Scenarios!$E$32</f>
        <v>0</v>
      </c>
      <c r="AF205" s="141"/>
      <c r="AG205" s="141"/>
      <c r="AH205" s="141"/>
      <c r="AI205" s="141"/>
    </row>
    <row r="206" spans="1:35" customFormat="1" ht="14.25" x14ac:dyDescent="0.45">
      <c r="B206" s="14" t="s">
        <v>58</v>
      </c>
      <c r="C206" s="14" t="s">
        <v>4</v>
      </c>
      <c r="D206" s="15" t="s">
        <v>2856</v>
      </c>
      <c r="E206" s="16" t="s">
        <v>57</v>
      </c>
      <c r="F206" s="14" t="s">
        <v>2853</v>
      </c>
      <c r="G206" s="17"/>
      <c r="H206" s="128" t="str">
        <f>Settings!$B$3&amp;".mit.shpf.die.ind.1"</f>
        <v>egy.mit.shpf.die.ind.1</v>
      </c>
      <c r="K206" s="140"/>
      <c r="L206" s="140">
        <f>L$190*Scenarios!$E$33</f>
        <v>0</v>
      </c>
      <c r="M206" s="140">
        <f>M$190*Scenarios!$E$33</f>
        <v>0</v>
      </c>
      <c r="N206" s="140">
        <f>N$190*Scenarios!$E$33</f>
        <v>0</v>
      </c>
      <c r="O206" s="140">
        <f>O$190*Scenarios!$E$33</f>
        <v>0</v>
      </c>
      <c r="P206" s="140">
        <f>P$190*Scenarios!$E$33</f>
        <v>0</v>
      </c>
      <c r="Q206" s="140">
        <f>Q$190*Scenarios!$E$33</f>
        <v>0</v>
      </c>
      <c r="R206" s="140">
        <f>R$190*Scenarios!$E$33</f>
        <v>0</v>
      </c>
      <c r="S206" s="140">
        <f>S$190*Scenarios!$E$33</f>
        <v>0</v>
      </c>
      <c r="T206" s="140">
        <f>T$190*Scenarios!$E$33</f>
        <v>0</v>
      </c>
      <c r="U206" s="140">
        <f>U$190*Scenarios!$E$33</f>
        <v>0</v>
      </c>
      <c r="V206" s="140">
        <f>V$190*Scenarios!$E$33</f>
        <v>0</v>
      </c>
      <c r="W206" s="140">
        <f>W$190*Scenarios!$E$33</f>
        <v>0</v>
      </c>
      <c r="X206" s="140">
        <f>X$190*Scenarios!$E$33</f>
        <v>0</v>
      </c>
      <c r="Y206" s="140">
        <f>Y$190*Scenarios!$E$33</f>
        <v>0</v>
      </c>
      <c r="Z206" s="140">
        <f>Z$190*Scenarios!$E$33</f>
        <v>0</v>
      </c>
      <c r="AA206" s="140">
        <f>AA$190*Scenarios!$E$33</f>
        <v>0</v>
      </c>
      <c r="AB206" s="140">
        <f>AB$190*Scenarios!$E$33</f>
        <v>0</v>
      </c>
      <c r="AC206" s="140">
        <f>AC$190*Scenarios!$E$33</f>
        <v>0</v>
      </c>
      <c r="AD206" s="140">
        <f>AD$190*Scenarios!$E$33</f>
        <v>0</v>
      </c>
      <c r="AE206" s="140">
        <f>AE$190*Scenarios!$E$33</f>
        <v>0</v>
      </c>
      <c r="AF206" s="141"/>
      <c r="AG206" s="141"/>
      <c r="AH206" s="141"/>
      <c r="AI206" s="141"/>
    </row>
    <row r="207" spans="1:35" customFormat="1" ht="14.25" x14ac:dyDescent="0.45">
      <c r="B207" s="14" t="s">
        <v>60</v>
      </c>
      <c r="C207" s="14" t="s">
        <v>4</v>
      </c>
      <c r="D207" s="15" t="s">
        <v>2857</v>
      </c>
      <c r="E207" s="16" t="s">
        <v>57</v>
      </c>
      <c r="F207" s="14" t="s">
        <v>2853</v>
      </c>
      <c r="G207" s="17"/>
      <c r="H207" s="128" t="str">
        <f>Settings!$B$3&amp;".mit.shpf.lpg.ind.1"</f>
        <v>egy.mit.shpf.lpg.ind.1</v>
      </c>
      <c r="K207" s="140"/>
      <c r="L207" s="140">
        <f>L$190*Scenarios!$E$34</f>
        <v>0</v>
      </c>
      <c r="M207" s="140">
        <f>M$190*Scenarios!$E$34</f>
        <v>0</v>
      </c>
      <c r="N207" s="140">
        <f>N$190*Scenarios!$E$34</f>
        <v>0</v>
      </c>
      <c r="O207" s="140">
        <f>O$190*Scenarios!$E$34</f>
        <v>0</v>
      </c>
      <c r="P207" s="140">
        <f>P$190*Scenarios!$E$34</f>
        <v>0</v>
      </c>
      <c r="Q207" s="140">
        <f>Q$190*Scenarios!$E$34</f>
        <v>0</v>
      </c>
      <c r="R207" s="140">
        <f>R$190*Scenarios!$E$34</f>
        <v>0</v>
      </c>
      <c r="S207" s="140">
        <f>S$190*Scenarios!$E$34</f>
        <v>0</v>
      </c>
      <c r="T207" s="140">
        <f>T$190*Scenarios!$E$34</f>
        <v>0</v>
      </c>
      <c r="U207" s="140">
        <f>U$190*Scenarios!$E$34</f>
        <v>0</v>
      </c>
      <c r="V207" s="140">
        <f>V$190*Scenarios!$E$34</f>
        <v>0</v>
      </c>
      <c r="W207" s="140">
        <f>W$190*Scenarios!$E$34</f>
        <v>0</v>
      </c>
      <c r="X207" s="140">
        <f>X$190*Scenarios!$E$34</f>
        <v>0</v>
      </c>
      <c r="Y207" s="140">
        <f>Y$190*Scenarios!$E$34</f>
        <v>0</v>
      </c>
      <c r="Z207" s="140">
        <f>Z$190*Scenarios!$E$34</f>
        <v>0</v>
      </c>
      <c r="AA207" s="140">
        <f>AA$190*Scenarios!$E$34</f>
        <v>0</v>
      </c>
      <c r="AB207" s="140">
        <f>AB$190*Scenarios!$E$34</f>
        <v>0</v>
      </c>
      <c r="AC207" s="140">
        <f>AC$190*Scenarios!$E$34</f>
        <v>0</v>
      </c>
      <c r="AD207" s="140">
        <f>AD$190*Scenarios!$E$34</f>
        <v>0</v>
      </c>
      <c r="AE207" s="140">
        <f>AE$190*Scenarios!$E$34</f>
        <v>0</v>
      </c>
      <c r="AF207" s="141"/>
      <c r="AG207" s="141"/>
      <c r="AH207" s="141"/>
      <c r="AI207" s="141"/>
    </row>
    <row r="208" spans="1:35" customFormat="1" ht="14.25" x14ac:dyDescent="0.45">
      <c r="B208" s="14" t="s">
        <v>62</v>
      </c>
      <c r="C208" s="14" t="s">
        <v>4</v>
      </c>
      <c r="D208" s="15" t="s">
        <v>2858</v>
      </c>
      <c r="E208" s="16" t="s">
        <v>57</v>
      </c>
      <c r="F208" s="14" t="s">
        <v>2853</v>
      </c>
      <c r="G208" s="17"/>
      <c r="H208" s="128" t="str">
        <f>Settings!$B$3&amp;".mit.shpf.ker.ind.1"</f>
        <v>egy.mit.shpf.ker.ind.1</v>
      </c>
      <c r="K208" s="140"/>
      <c r="L208" s="140">
        <f>L$190*Scenarios!$E$35</f>
        <v>0</v>
      </c>
      <c r="M208" s="140">
        <f>M$190*Scenarios!$E$35</f>
        <v>0</v>
      </c>
      <c r="N208" s="140">
        <f>N$190*Scenarios!$E$35</f>
        <v>0</v>
      </c>
      <c r="O208" s="140">
        <f>O$190*Scenarios!$E$35</f>
        <v>0</v>
      </c>
      <c r="P208" s="140">
        <f>P$190*Scenarios!$E$35</f>
        <v>0</v>
      </c>
      <c r="Q208" s="140">
        <f>Q$190*Scenarios!$E$35</f>
        <v>0</v>
      </c>
      <c r="R208" s="140">
        <f>R$190*Scenarios!$E$35</f>
        <v>0</v>
      </c>
      <c r="S208" s="140">
        <f>S$190*Scenarios!$E$35</f>
        <v>0</v>
      </c>
      <c r="T208" s="140">
        <f>T$190*Scenarios!$E$35</f>
        <v>0</v>
      </c>
      <c r="U208" s="140">
        <f>U$190*Scenarios!$E$35</f>
        <v>0</v>
      </c>
      <c r="V208" s="140">
        <f>V$190*Scenarios!$E$35</f>
        <v>0</v>
      </c>
      <c r="W208" s="140">
        <f>W$190*Scenarios!$E$35</f>
        <v>0</v>
      </c>
      <c r="X208" s="140">
        <f>X$190*Scenarios!$E$35</f>
        <v>0</v>
      </c>
      <c r="Y208" s="140">
        <f>Y$190*Scenarios!$E$35</f>
        <v>0</v>
      </c>
      <c r="Z208" s="140">
        <f>Z$190*Scenarios!$E$35</f>
        <v>0</v>
      </c>
      <c r="AA208" s="140">
        <f>AA$190*Scenarios!$E$35</f>
        <v>0</v>
      </c>
      <c r="AB208" s="140">
        <f>AB$190*Scenarios!$E$35</f>
        <v>0</v>
      </c>
      <c r="AC208" s="140">
        <f>AC$190*Scenarios!$E$35</f>
        <v>0</v>
      </c>
      <c r="AD208" s="140">
        <f>AD$190*Scenarios!$E$35</f>
        <v>0</v>
      </c>
      <c r="AE208" s="140">
        <f>AE$190*Scenarios!$E$35</f>
        <v>0</v>
      </c>
      <c r="AF208" s="141"/>
      <c r="AG208" s="141"/>
      <c r="AH208" s="141"/>
      <c r="AI208" s="141"/>
    </row>
    <row r="209" spans="1:35" customFormat="1" ht="14.25" x14ac:dyDescent="0.45">
      <c r="B209" s="14" t="s">
        <v>64</v>
      </c>
      <c r="C209" s="14" t="s">
        <v>4</v>
      </c>
      <c r="D209" s="15" t="s">
        <v>2859</v>
      </c>
      <c r="E209" s="16" t="s">
        <v>66</v>
      </c>
      <c r="F209" s="14" t="s">
        <v>2853</v>
      </c>
      <c r="G209" s="17"/>
      <c r="H209" s="128" t="str">
        <f>Settings!$B$3&amp;".mit.shpf.oop.ind.1"</f>
        <v>egy.mit.shpf.oop.ind.1</v>
      </c>
      <c r="K209" s="140"/>
      <c r="L209" s="140">
        <f>L$190*Scenarios!$E$36</f>
        <v>0</v>
      </c>
      <c r="M209" s="140">
        <f>M$190*Scenarios!$E$36</f>
        <v>0</v>
      </c>
      <c r="N209" s="140">
        <f>N$190*Scenarios!$E$36</f>
        <v>0</v>
      </c>
      <c r="O209" s="140">
        <f>O$190*Scenarios!$E$36</f>
        <v>0</v>
      </c>
      <c r="P209" s="140">
        <f>P$190*Scenarios!$E$36</f>
        <v>0</v>
      </c>
      <c r="Q209" s="140">
        <f>Q$190*Scenarios!$E$36</f>
        <v>0</v>
      </c>
      <c r="R209" s="140">
        <f>R$190*Scenarios!$E$36</f>
        <v>0</v>
      </c>
      <c r="S209" s="140">
        <f>S$190*Scenarios!$E$36</f>
        <v>0</v>
      </c>
      <c r="T209" s="140">
        <f>T$190*Scenarios!$E$36</f>
        <v>0</v>
      </c>
      <c r="U209" s="140">
        <f>U$190*Scenarios!$E$36</f>
        <v>0</v>
      </c>
      <c r="V209" s="140">
        <f>V$190*Scenarios!$E$36</f>
        <v>0</v>
      </c>
      <c r="W209" s="140">
        <f>W$190*Scenarios!$E$36</f>
        <v>0</v>
      </c>
      <c r="X209" s="140">
        <f>X$190*Scenarios!$E$36</f>
        <v>0</v>
      </c>
      <c r="Y209" s="140">
        <f>Y$190*Scenarios!$E$36</f>
        <v>0</v>
      </c>
      <c r="Z209" s="140">
        <f>Z$190*Scenarios!$E$36</f>
        <v>0</v>
      </c>
      <c r="AA209" s="140">
        <f>AA$190*Scenarios!$E$36</f>
        <v>0</v>
      </c>
      <c r="AB209" s="140">
        <f>AB$190*Scenarios!$E$36</f>
        <v>0</v>
      </c>
      <c r="AC209" s="140">
        <f>AC$190*Scenarios!$E$36</f>
        <v>0</v>
      </c>
      <c r="AD209" s="140">
        <f>AD$190*Scenarios!$E$36</f>
        <v>0</v>
      </c>
      <c r="AE209" s="140">
        <f>AE$190*Scenarios!$E$36</f>
        <v>0</v>
      </c>
      <c r="AF209" s="141"/>
      <c r="AG209" s="141"/>
      <c r="AH209" s="141"/>
      <c r="AI209" s="141"/>
    </row>
    <row r="210" spans="1:35" customFormat="1" ht="14.25" x14ac:dyDescent="0.45">
      <c r="B210" s="14" t="s">
        <v>67</v>
      </c>
      <c r="C210" s="14" t="s">
        <v>4</v>
      </c>
      <c r="D210" s="15" t="s">
        <v>2860</v>
      </c>
      <c r="E210" s="16" t="s">
        <v>51</v>
      </c>
      <c r="F210" s="14" t="s">
        <v>2853</v>
      </c>
      <c r="G210" s="17"/>
      <c r="H210" s="128" t="str">
        <f>Settings!$B$3&amp;".mit.shpf.bio.ind.1"</f>
        <v>egy.mit.shpf.bio.ind.1</v>
      </c>
      <c r="K210" s="140"/>
      <c r="L210" s="140">
        <f>L$190*Scenarios!$E$37</f>
        <v>0</v>
      </c>
      <c r="M210" s="140">
        <f>M$190*Scenarios!$E$37</f>
        <v>0</v>
      </c>
      <c r="N210" s="140">
        <f>N$190*Scenarios!$E$37</f>
        <v>0</v>
      </c>
      <c r="O210" s="140">
        <f>O$190*Scenarios!$E$37</f>
        <v>0</v>
      </c>
      <c r="P210" s="140">
        <f>P$190*Scenarios!$E$37</f>
        <v>0</v>
      </c>
      <c r="Q210" s="140">
        <f>Q$190*Scenarios!$E$37</f>
        <v>0</v>
      </c>
      <c r="R210" s="140">
        <f>R$190*Scenarios!$E$37</f>
        <v>0</v>
      </c>
      <c r="S210" s="140">
        <f>S$190*Scenarios!$E$37</f>
        <v>0</v>
      </c>
      <c r="T210" s="140">
        <f>T$190*Scenarios!$E$37</f>
        <v>0</v>
      </c>
      <c r="U210" s="140">
        <f>U$190*Scenarios!$E$37</f>
        <v>0</v>
      </c>
      <c r="V210" s="140">
        <f>V$190*Scenarios!$E$37</f>
        <v>0</v>
      </c>
      <c r="W210" s="140">
        <f>W$190*Scenarios!$E$37</f>
        <v>0</v>
      </c>
      <c r="X210" s="140">
        <f>X$190*Scenarios!$E$37</f>
        <v>0</v>
      </c>
      <c r="Y210" s="140">
        <f>Y$190*Scenarios!$E$37</f>
        <v>0</v>
      </c>
      <c r="Z210" s="140">
        <f>Z$190*Scenarios!$E$37</f>
        <v>0</v>
      </c>
      <c r="AA210" s="140">
        <f>AA$190*Scenarios!$E$37</f>
        <v>0</v>
      </c>
      <c r="AB210" s="140">
        <f>AB$190*Scenarios!$E$37</f>
        <v>0</v>
      </c>
      <c r="AC210" s="140">
        <f>AC$190*Scenarios!$E$37</f>
        <v>0</v>
      </c>
      <c r="AD210" s="140">
        <f>AD$190*Scenarios!$E$37</f>
        <v>0</v>
      </c>
      <c r="AE210" s="140">
        <f>AE$190*Scenarios!$E$37</f>
        <v>0</v>
      </c>
      <c r="AF210" s="141"/>
      <c r="AG210" s="141"/>
      <c r="AH210" s="141"/>
      <c r="AI210" s="141"/>
    </row>
    <row r="211" spans="1:35" customFormat="1" ht="14.25" x14ac:dyDescent="0.45">
      <c r="B211" s="14" t="s">
        <v>69</v>
      </c>
      <c r="C211" s="14" t="s">
        <v>4</v>
      </c>
      <c r="D211" s="15" t="s">
        <v>2861</v>
      </c>
      <c r="E211" s="16" t="s">
        <v>71</v>
      </c>
      <c r="F211" s="14" t="s">
        <v>2853</v>
      </c>
      <c r="G211" s="17"/>
      <c r="H211" s="128" t="str">
        <f>Settings!$B$3&amp;".mit.shpf.ren.ind.1"</f>
        <v>egy.mit.shpf.ren.ind.1</v>
      </c>
      <c r="K211" s="140"/>
      <c r="L211" s="140">
        <f>L$190*Scenarios!$E$38</f>
        <v>0</v>
      </c>
      <c r="M211" s="140">
        <f>M$190*Scenarios!$E$38</f>
        <v>0</v>
      </c>
      <c r="N211" s="140">
        <f>N$190*Scenarios!$E$38</f>
        <v>0</v>
      </c>
      <c r="O211" s="140">
        <f>O$190*Scenarios!$E$38</f>
        <v>0</v>
      </c>
      <c r="P211" s="140">
        <f>P$190*Scenarios!$E$38</f>
        <v>0</v>
      </c>
      <c r="Q211" s="140">
        <f>Q$190*Scenarios!$E$38</f>
        <v>0</v>
      </c>
      <c r="R211" s="140">
        <f>R$190*Scenarios!$E$38</f>
        <v>0</v>
      </c>
      <c r="S211" s="140">
        <f>S$190*Scenarios!$E$38</f>
        <v>0</v>
      </c>
      <c r="T211" s="140">
        <f>T$190*Scenarios!$E$38</f>
        <v>0</v>
      </c>
      <c r="U211" s="140">
        <f>U$190*Scenarios!$E$38</f>
        <v>0</v>
      </c>
      <c r="V211" s="140">
        <f>V$190*Scenarios!$E$38</f>
        <v>0</v>
      </c>
      <c r="W211" s="140">
        <f>W$190*Scenarios!$E$38</f>
        <v>0</v>
      </c>
      <c r="X211" s="140">
        <f>X$190*Scenarios!$E$38</f>
        <v>0</v>
      </c>
      <c r="Y211" s="140">
        <f>Y$190*Scenarios!$E$38</f>
        <v>0</v>
      </c>
      <c r="Z211" s="140">
        <f>Z$190*Scenarios!$E$38</f>
        <v>0</v>
      </c>
      <c r="AA211" s="140">
        <f>AA$190*Scenarios!$E$38</f>
        <v>0</v>
      </c>
      <c r="AB211" s="140">
        <f>AB$190*Scenarios!$E$38</f>
        <v>0</v>
      </c>
      <c r="AC211" s="140">
        <f>AC$190*Scenarios!$E$38</f>
        <v>0</v>
      </c>
      <c r="AD211" s="140">
        <f>AD$190*Scenarios!$E$38</f>
        <v>0</v>
      </c>
      <c r="AE211" s="140">
        <f>AE$190*Scenarios!$E$38</f>
        <v>0</v>
      </c>
      <c r="AF211" s="141"/>
      <c r="AG211" s="141"/>
      <c r="AH211" s="141"/>
      <c r="AI211" s="141"/>
    </row>
    <row r="212" spans="1:35" x14ac:dyDescent="0.35"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</row>
    <row r="213" spans="1:35" x14ac:dyDescent="0.35"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</row>
    <row r="214" spans="1:35" x14ac:dyDescent="0.35"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</row>
    <row r="215" spans="1:35" customFormat="1" ht="18" customHeight="1" x14ac:dyDescent="0.45">
      <c r="A215" s="8"/>
      <c r="B215" s="9" t="s">
        <v>2862</v>
      </c>
      <c r="C215" s="10"/>
      <c r="D215" s="10"/>
      <c r="E215" s="10"/>
      <c r="F215" s="10"/>
      <c r="G215" s="10"/>
      <c r="H215" s="10"/>
      <c r="I215" s="10"/>
      <c r="J215" s="10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</row>
    <row r="216" spans="1:35" x14ac:dyDescent="0.35"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</row>
    <row r="217" spans="1:35" customFormat="1" ht="14.25" x14ac:dyDescent="0.45">
      <c r="A217" s="11"/>
      <c r="B217" s="6"/>
      <c r="C217" s="7" t="s">
        <v>2176</v>
      </c>
      <c r="D217" s="6" t="s">
        <v>1488</v>
      </c>
      <c r="E217" s="7" t="s">
        <v>35</v>
      </c>
      <c r="F217" s="7" t="s">
        <v>45</v>
      </c>
      <c r="G217" s="7" t="s">
        <v>37</v>
      </c>
      <c r="H217" s="12" t="s">
        <v>38</v>
      </c>
      <c r="I217" s="6" t="s">
        <v>39</v>
      </c>
      <c r="J217" s="48">
        <v>2</v>
      </c>
      <c r="K217" s="137">
        <v>2021</v>
      </c>
      <c r="L217" s="138">
        <v>2022</v>
      </c>
      <c r="M217" s="137">
        <v>2023</v>
      </c>
      <c r="N217" s="137">
        <v>2024</v>
      </c>
      <c r="O217" s="137">
        <v>2025</v>
      </c>
      <c r="P217" s="137">
        <v>2026</v>
      </c>
      <c r="Q217" s="137">
        <v>2027</v>
      </c>
      <c r="R217" s="137">
        <v>2028</v>
      </c>
      <c r="S217" s="137">
        <v>2029</v>
      </c>
      <c r="T217" s="137">
        <v>2030</v>
      </c>
      <c r="U217" s="137">
        <v>2031</v>
      </c>
      <c r="V217" s="137">
        <v>2032</v>
      </c>
      <c r="W217" s="137">
        <v>2033</v>
      </c>
      <c r="X217" s="137">
        <v>2034</v>
      </c>
      <c r="Y217" s="137">
        <v>2035</v>
      </c>
      <c r="Z217" s="137">
        <v>2036</v>
      </c>
      <c r="AA217" s="137">
        <v>2037</v>
      </c>
      <c r="AB217" s="137">
        <v>2038</v>
      </c>
      <c r="AC217" s="137">
        <v>2039</v>
      </c>
      <c r="AD217" s="137">
        <v>2040</v>
      </c>
      <c r="AE217" s="137">
        <v>2041</v>
      </c>
      <c r="AF217" s="137">
        <v>2042</v>
      </c>
      <c r="AG217" s="137">
        <v>2043</v>
      </c>
      <c r="AH217" s="137">
        <v>2044</v>
      </c>
      <c r="AI217" s="137">
        <v>2045</v>
      </c>
    </row>
    <row r="218" spans="1:35" customFormat="1" ht="14.25" x14ac:dyDescent="0.45">
      <c r="B218" s="14" t="s">
        <v>1789</v>
      </c>
      <c r="C218" s="14"/>
      <c r="D218" s="15" t="s">
        <v>2547</v>
      </c>
      <c r="E218" s="16" t="s">
        <v>79</v>
      </c>
      <c r="F218" s="14" t="s">
        <v>1789</v>
      </c>
      <c r="G218" s="128" t="s">
        <v>1792</v>
      </c>
      <c r="H218" s="17"/>
      <c r="I218" t="s">
        <v>2178</v>
      </c>
      <c r="K218" s="139"/>
      <c r="L218" s="140">
        <f>INDEX(Data_Prices!L:L,MATCH($G218,Data_Prices!$A:$A,0))</f>
        <v>0</v>
      </c>
      <c r="M218" s="140">
        <f>INDEX(Data_Prices!M:M,MATCH($G218,Data_Prices!$A:$A,0))</f>
        <v>0</v>
      </c>
      <c r="N218" s="140">
        <f>INDEX(Data_Prices!N:N,MATCH($G218,Data_Prices!$A:$A,0))</f>
        <v>0</v>
      </c>
      <c r="O218" s="140">
        <f>INDEX(Data_Prices!O:O,MATCH($G218,Data_Prices!$A:$A,0))</f>
        <v>0</v>
      </c>
      <c r="P218" s="140">
        <f>INDEX(Data_Prices!P:P,MATCH($G218,Data_Prices!$A:$A,0))</f>
        <v>0</v>
      </c>
      <c r="Q218" s="140">
        <f>INDEX(Data_Prices!Q:Q,MATCH($G218,Data_Prices!$A:$A,0))</f>
        <v>0</v>
      </c>
      <c r="R218" s="140">
        <f>INDEX(Data_Prices!R:R,MATCH($G218,Data_Prices!$A:$A,0))</f>
        <v>0</v>
      </c>
      <c r="S218" s="140">
        <f>INDEX(Data_Prices!S:S,MATCH($G218,Data_Prices!$A:$A,0))</f>
        <v>0</v>
      </c>
      <c r="T218" s="140">
        <f>INDEX(Data_Prices!T:T,MATCH($G218,Data_Prices!$A:$A,0))</f>
        <v>0</v>
      </c>
      <c r="U218" s="140">
        <f>INDEX(Data_Prices!U:U,MATCH($G218,Data_Prices!$A:$A,0))</f>
        <v>0</v>
      </c>
      <c r="V218" s="140">
        <f>INDEX(Data_Prices!V:V,MATCH($G218,Data_Prices!$A:$A,0))</f>
        <v>0</v>
      </c>
      <c r="W218" s="140">
        <f>INDEX(Data_Prices!W:W,MATCH($G218,Data_Prices!$A:$A,0))</f>
        <v>0</v>
      </c>
      <c r="X218" s="140">
        <f>INDEX(Data_Prices!X:X,MATCH($G218,Data_Prices!$A:$A,0))</f>
        <v>0</v>
      </c>
      <c r="Y218" s="140">
        <f>INDEX(Data_Prices!Y:Y,MATCH($G218,Data_Prices!$A:$A,0))</f>
        <v>0</v>
      </c>
      <c r="Z218" s="140">
        <f>INDEX(Data_Prices!Z:Z,MATCH($G218,Data_Prices!$A:$A,0))</f>
        <v>0</v>
      </c>
      <c r="AA218" s="140">
        <f>INDEX(Data_Prices!AA:AA,MATCH($G218,Data_Prices!$A:$A,0))</f>
        <v>0</v>
      </c>
      <c r="AB218" s="140">
        <f>INDEX(Data_Prices!AB:AB,MATCH($G218,Data_Prices!$A:$A,0))</f>
        <v>0</v>
      </c>
      <c r="AC218" s="140">
        <f>INDEX(Data_Prices!AC:AC,MATCH($G218,Data_Prices!$A:$A,0))</f>
        <v>0</v>
      </c>
      <c r="AD218" s="140">
        <f>INDEX(Data_Prices!AD:AD,MATCH($G218,Data_Prices!$A:$A,0))</f>
        <v>0</v>
      </c>
      <c r="AE218" s="140">
        <f>INDEX(Data_Prices!AE:AE,MATCH($G218,Data_Prices!$A:$A,0))</f>
        <v>0</v>
      </c>
      <c r="AF218" s="141"/>
      <c r="AG218" s="141"/>
      <c r="AH218" s="141"/>
      <c r="AI218" s="141"/>
    </row>
    <row r="219" spans="1:35" customFormat="1" ht="14.25" x14ac:dyDescent="0.45">
      <c r="B219" s="14" t="s">
        <v>1397</v>
      </c>
      <c r="C219" s="14"/>
      <c r="D219" s="15" t="s">
        <v>2548</v>
      </c>
      <c r="E219" s="16" t="s">
        <v>1398</v>
      </c>
      <c r="F219" s="14" t="s">
        <v>1397</v>
      </c>
      <c r="G219" s="17"/>
      <c r="H219" s="17"/>
      <c r="I219" t="s">
        <v>2863</v>
      </c>
      <c r="K219" s="139"/>
      <c r="L219" s="140">
        <f>Mitigation_Industry!L$646</f>
        <v>0</v>
      </c>
      <c r="M219" s="140">
        <f>Mitigation_Industry!M$646</f>
        <v>0</v>
      </c>
      <c r="N219" s="140">
        <f>Mitigation_Industry!N$646</f>
        <v>0</v>
      </c>
      <c r="O219" s="140">
        <f>Mitigation_Industry!O$646</f>
        <v>0</v>
      </c>
      <c r="P219" s="140">
        <f>Mitigation_Industry!P$646</f>
        <v>0</v>
      </c>
      <c r="Q219" s="140">
        <f>Mitigation_Industry!Q$646</f>
        <v>12.5</v>
      </c>
      <c r="R219" s="140">
        <f>Mitigation_Industry!R$646</f>
        <v>25</v>
      </c>
      <c r="S219" s="140">
        <f>Mitigation_Industry!S$646</f>
        <v>37.5</v>
      </c>
      <c r="T219" s="140">
        <f>Mitigation_Industry!T$646</f>
        <v>50</v>
      </c>
      <c r="U219" s="140">
        <f>Mitigation_Industry!U$646</f>
        <v>62.5</v>
      </c>
      <c r="V219" s="140">
        <f>Mitigation_Industry!V$646</f>
        <v>75</v>
      </c>
      <c r="W219" s="140">
        <f>Mitigation_Industry!W$646</f>
        <v>87.5</v>
      </c>
      <c r="X219" s="140">
        <f>Mitigation_Industry!X$646</f>
        <v>100</v>
      </c>
      <c r="Y219" s="140">
        <f>Mitigation_Industry!Y$646</f>
        <v>112.5</v>
      </c>
      <c r="Z219" s="140">
        <f>Mitigation_Industry!Z$646</f>
        <v>125</v>
      </c>
      <c r="AA219" s="140">
        <f>Mitigation_Industry!AA$646</f>
        <v>137.5</v>
      </c>
      <c r="AB219" s="140">
        <f>Mitigation_Industry!AB$646</f>
        <v>150</v>
      </c>
      <c r="AC219" s="140">
        <f>Mitigation_Industry!AC$646</f>
        <v>162.5</v>
      </c>
      <c r="AD219" s="140">
        <f>Mitigation_Industry!AD$646</f>
        <v>175</v>
      </c>
      <c r="AE219" s="140">
        <f>Mitigation_Industry!AE$646</f>
        <v>187.5</v>
      </c>
      <c r="AF219" s="141"/>
      <c r="AG219" s="141"/>
      <c r="AH219" s="141"/>
      <c r="AI219" s="141"/>
    </row>
    <row r="220" spans="1:35" customFormat="1" ht="14.25" x14ac:dyDescent="0.45">
      <c r="B220" s="14" t="s">
        <v>1401</v>
      </c>
      <c r="C220" s="14"/>
      <c r="D220" s="15" t="s">
        <v>2550</v>
      </c>
      <c r="E220" s="16" t="s">
        <v>1398</v>
      </c>
      <c r="F220" s="14" t="s">
        <v>1401</v>
      </c>
      <c r="G220" s="17"/>
      <c r="H220" s="17"/>
      <c r="I220" t="s">
        <v>2864</v>
      </c>
      <c r="K220" s="139"/>
      <c r="L220" s="140">
        <f>Mitigation_Industry!L$647</f>
        <v>0</v>
      </c>
      <c r="M220" s="140">
        <f>Mitigation_Industry!M$647</f>
        <v>0</v>
      </c>
      <c r="N220" s="140">
        <f>Mitigation_Industry!N$647</f>
        <v>0</v>
      </c>
      <c r="O220" s="140">
        <f>Mitigation_Industry!O$647</f>
        <v>0</v>
      </c>
      <c r="P220" s="140">
        <f>Mitigation_Industry!P$647</f>
        <v>0</v>
      </c>
      <c r="Q220" s="140">
        <f>Mitigation_Industry!Q$647</f>
        <v>0</v>
      </c>
      <c r="R220" s="140">
        <f>Mitigation_Industry!R$647</f>
        <v>0</v>
      </c>
      <c r="S220" s="140">
        <f>Mitigation_Industry!S$647</f>
        <v>0</v>
      </c>
      <c r="T220" s="140">
        <f>Mitigation_Industry!T$647</f>
        <v>0</v>
      </c>
      <c r="U220" s="140">
        <f>Mitigation_Industry!U$647</f>
        <v>0</v>
      </c>
      <c r="V220" s="140">
        <f>Mitigation_Industry!V$647</f>
        <v>0</v>
      </c>
      <c r="W220" s="140">
        <f>Mitigation_Industry!W$647</f>
        <v>0</v>
      </c>
      <c r="X220" s="140">
        <f>Mitigation_Industry!X$647</f>
        <v>0</v>
      </c>
      <c r="Y220" s="140">
        <f>Mitigation_Industry!Y$647</f>
        <v>0</v>
      </c>
      <c r="Z220" s="140">
        <f>Mitigation_Industry!Z$647</f>
        <v>0</v>
      </c>
      <c r="AA220" s="140">
        <f>Mitigation_Industry!AA$647</f>
        <v>0</v>
      </c>
      <c r="AB220" s="140">
        <f>Mitigation_Industry!AB$647</f>
        <v>0</v>
      </c>
      <c r="AC220" s="140">
        <f>Mitigation_Industry!AC$647</f>
        <v>0</v>
      </c>
      <c r="AD220" s="140">
        <f>Mitigation_Industry!AD$647</f>
        <v>0</v>
      </c>
      <c r="AE220" s="140">
        <f>Mitigation_Industry!AE$647</f>
        <v>0</v>
      </c>
      <c r="AF220" s="141"/>
      <c r="AG220" s="141"/>
      <c r="AH220" s="141"/>
      <c r="AI220" s="141"/>
    </row>
    <row r="221" spans="1:35" customFormat="1" ht="14.25" x14ac:dyDescent="0.45">
      <c r="B221" s="14" t="s">
        <v>1775</v>
      </c>
      <c r="C221" s="14"/>
      <c r="D221" s="15" t="s">
        <v>2552</v>
      </c>
      <c r="E221" s="16" t="s">
        <v>1398</v>
      </c>
      <c r="F221" s="14" t="s">
        <v>1775</v>
      </c>
      <c r="G221" s="17"/>
      <c r="H221" s="17"/>
      <c r="I221" t="s">
        <v>2865</v>
      </c>
      <c r="K221" s="139"/>
      <c r="L221" s="140">
        <f>Mitigation_Industry!L$707</f>
        <v>0</v>
      </c>
      <c r="M221" s="140">
        <f>Mitigation_Industry!M$707</f>
        <v>0</v>
      </c>
      <c r="N221" s="140">
        <f>Mitigation_Industry!N$707</f>
        <v>0</v>
      </c>
      <c r="O221" s="140">
        <f>Mitigation_Industry!O$707</f>
        <v>0</v>
      </c>
      <c r="P221" s="140">
        <f>Mitigation_Industry!P$707</f>
        <v>0</v>
      </c>
      <c r="Q221" s="140">
        <f>Mitigation_Industry!Q$707</f>
        <v>0</v>
      </c>
      <c r="R221" s="140">
        <f>Mitigation_Industry!R$707</f>
        <v>0</v>
      </c>
      <c r="S221" s="140">
        <f>Mitigation_Industry!S$707</f>
        <v>0</v>
      </c>
      <c r="T221" s="140">
        <f>Mitigation_Industry!T$707</f>
        <v>0</v>
      </c>
      <c r="U221" s="140">
        <f>Mitigation_Industry!U$707</f>
        <v>0</v>
      </c>
      <c r="V221" s="140">
        <f>Mitigation_Industry!V$707</f>
        <v>0</v>
      </c>
      <c r="W221" s="140">
        <f>Mitigation_Industry!W$707</f>
        <v>0</v>
      </c>
      <c r="X221" s="140">
        <f>Mitigation_Industry!X$707</f>
        <v>0</v>
      </c>
      <c r="Y221" s="140">
        <f>Mitigation_Industry!Y$707</f>
        <v>0</v>
      </c>
      <c r="Z221" s="140">
        <f>Mitigation_Industry!Z$707</f>
        <v>0</v>
      </c>
      <c r="AA221" s="140">
        <f>Mitigation_Industry!AA$707</f>
        <v>0</v>
      </c>
      <c r="AB221" s="140">
        <f>Mitigation_Industry!AB$707</f>
        <v>0</v>
      </c>
      <c r="AC221" s="140">
        <f>Mitigation_Industry!AC$707</f>
        <v>0</v>
      </c>
      <c r="AD221" s="140">
        <f>Mitigation_Industry!AD$707</f>
        <v>0</v>
      </c>
      <c r="AE221" s="140">
        <f>Mitigation_Industry!AE$707</f>
        <v>0</v>
      </c>
      <c r="AF221" s="141"/>
      <c r="AG221" s="141"/>
      <c r="AH221" s="141"/>
      <c r="AI221" s="141"/>
    </row>
    <row r="222" spans="1:35" x14ac:dyDescent="0.35"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</row>
    <row r="223" spans="1:35" customFormat="1" ht="14.25" x14ac:dyDescent="0.45">
      <c r="A223" s="11"/>
      <c r="B223" s="6"/>
      <c r="C223" s="7" t="s">
        <v>2554</v>
      </c>
      <c r="D223" s="6" t="s">
        <v>1488</v>
      </c>
      <c r="E223" s="7" t="s">
        <v>35</v>
      </c>
      <c r="F223" s="7" t="s">
        <v>45</v>
      </c>
      <c r="G223" s="7" t="s">
        <v>37</v>
      </c>
      <c r="H223" s="12" t="s">
        <v>38</v>
      </c>
      <c r="I223" s="6" t="s">
        <v>39</v>
      </c>
      <c r="J223" s="48">
        <v>2</v>
      </c>
      <c r="K223" s="137">
        <v>2021</v>
      </c>
      <c r="L223" s="138">
        <v>2022</v>
      </c>
      <c r="M223" s="137">
        <v>2023</v>
      </c>
      <c r="N223" s="137">
        <v>2024</v>
      </c>
      <c r="O223" s="137">
        <v>2025</v>
      </c>
      <c r="P223" s="137">
        <v>2026</v>
      </c>
      <c r="Q223" s="137">
        <v>2027</v>
      </c>
      <c r="R223" s="137">
        <v>2028</v>
      </c>
      <c r="S223" s="137">
        <v>2029</v>
      </c>
      <c r="T223" s="137">
        <v>2030</v>
      </c>
      <c r="U223" s="137">
        <v>2031</v>
      </c>
      <c r="V223" s="137">
        <v>2032</v>
      </c>
      <c r="W223" s="137">
        <v>2033</v>
      </c>
      <c r="X223" s="137">
        <v>2034</v>
      </c>
      <c r="Y223" s="137">
        <v>2035</v>
      </c>
      <c r="Z223" s="137">
        <v>2036</v>
      </c>
      <c r="AA223" s="137">
        <v>2037</v>
      </c>
      <c r="AB223" s="137">
        <v>2038</v>
      </c>
      <c r="AC223" s="137">
        <v>2039</v>
      </c>
      <c r="AD223" s="137">
        <v>2040</v>
      </c>
      <c r="AE223" s="137">
        <v>2041</v>
      </c>
      <c r="AF223" s="137">
        <v>2042</v>
      </c>
      <c r="AG223" s="137">
        <v>2043</v>
      </c>
      <c r="AH223" s="137">
        <v>2044</v>
      </c>
      <c r="AI223" s="137">
        <v>2045</v>
      </c>
    </row>
    <row r="224" spans="1:35" customFormat="1" ht="14.25" x14ac:dyDescent="0.45">
      <c r="B224" s="14" t="s">
        <v>1435</v>
      </c>
      <c r="C224" s="14" t="s">
        <v>43</v>
      </c>
      <c r="D224" s="15" t="s">
        <v>2555</v>
      </c>
      <c r="E224" s="16" t="s">
        <v>1398</v>
      </c>
      <c r="F224" s="14" t="s">
        <v>2554</v>
      </c>
      <c r="G224" s="17"/>
      <c r="H224" s="128" t="str">
        <f>Settings!$B$3&amp;".mit.pf.stl.drg.2"</f>
        <v>egy.mit.pf.stl.drg.2</v>
      </c>
      <c r="I224" t="s">
        <v>2556</v>
      </c>
      <c r="K224" s="139"/>
      <c r="L224" s="140">
        <f>Mitigation_Industry!$F$698*L$219+Mitigation_Industry!$G$698*L$220</f>
        <v>0</v>
      </c>
      <c r="M224" s="140">
        <f>Mitigation_Industry!$F$698*M$219+Mitigation_Industry!$G$698*M$220</f>
        <v>0</v>
      </c>
      <c r="N224" s="140">
        <f>Mitigation_Industry!$F$698*N$219+Mitigation_Industry!$G$698*N$220</f>
        <v>0</v>
      </c>
      <c r="O224" s="140">
        <f>Mitigation_Industry!$F$698*O$219+Mitigation_Industry!$G$698*O$220</f>
        <v>0</v>
      </c>
      <c r="P224" s="140">
        <f>Mitigation_Industry!$F$698*P$219+Mitigation_Industry!$G$698*P$220</f>
        <v>0</v>
      </c>
      <c r="Q224" s="140">
        <f>Mitigation_Industry!$F$698*Q$219+Mitigation_Industry!$G$698*Q$220</f>
        <v>12.5</v>
      </c>
      <c r="R224" s="140">
        <f>Mitigation_Industry!$F$698*R$219+Mitigation_Industry!$G$698*R$220</f>
        <v>25</v>
      </c>
      <c r="S224" s="140">
        <f>Mitigation_Industry!$F$698*S$219+Mitigation_Industry!$G$698*S$220</f>
        <v>37.5</v>
      </c>
      <c r="T224" s="140">
        <f>Mitigation_Industry!$F$698*T$219+Mitigation_Industry!$G$698*T$220</f>
        <v>50</v>
      </c>
      <c r="U224" s="140">
        <f>Mitigation_Industry!$F$698*U$219+Mitigation_Industry!$G$698*U$220</f>
        <v>62.5</v>
      </c>
      <c r="V224" s="140">
        <f>Mitigation_Industry!$F$698*V$219+Mitigation_Industry!$G$698*V$220</f>
        <v>75</v>
      </c>
      <c r="W224" s="140">
        <f>Mitigation_Industry!$F$698*W$219+Mitigation_Industry!$G$698*W$220</f>
        <v>87.5</v>
      </c>
      <c r="X224" s="140">
        <f>Mitigation_Industry!$F$698*X$219+Mitigation_Industry!$G$698*X$220</f>
        <v>100</v>
      </c>
      <c r="Y224" s="140">
        <f>Mitigation_Industry!$F$698*Y$219+Mitigation_Industry!$G$698*Y$220</f>
        <v>112.5</v>
      </c>
      <c r="Z224" s="140">
        <f>Mitigation_Industry!$F$698*Z$219+Mitigation_Industry!$G$698*Z$220</f>
        <v>125</v>
      </c>
      <c r="AA224" s="140">
        <f>Mitigation_Industry!$F$698*AA$219+Mitigation_Industry!$G$698*AA$220</f>
        <v>137.5</v>
      </c>
      <c r="AB224" s="140">
        <f>Mitigation_Industry!$F$698*AB$219+Mitigation_Industry!$G$698*AB$220</f>
        <v>150</v>
      </c>
      <c r="AC224" s="140">
        <f>Mitigation_Industry!$F$698*AC$219+Mitigation_Industry!$G$698*AC$220</f>
        <v>162.5</v>
      </c>
      <c r="AD224" s="140">
        <f>Mitigation_Industry!$F$698*AD$219+Mitigation_Industry!$G$698*AD$220</f>
        <v>175</v>
      </c>
      <c r="AE224" s="140">
        <f>Mitigation_Industry!$F$698*AE$219+Mitigation_Industry!$G$698*AE$220</f>
        <v>187.5</v>
      </c>
      <c r="AF224" s="141"/>
      <c r="AG224" s="141"/>
      <c r="AH224" s="141"/>
      <c r="AI224" s="141"/>
    </row>
    <row r="225" spans="1:35" customFormat="1" ht="14.25" x14ac:dyDescent="0.45">
      <c r="B225" s="14" t="s">
        <v>1438</v>
      </c>
      <c r="C225" s="14" t="s">
        <v>43</v>
      </c>
      <c r="D225" s="15" t="s">
        <v>2557</v>
      </c>
      <c r="E225" s="16" t="s">
        <v>1398</v>
      </c>
      <c r="F225" s="14" t="s">
        <v>2554</v>
      </c>
      <c r="G225" s="17"/>
      <c r="H225" s="128" t="str">
        <f>Settings!$B$3&amp;".mit.pf.stl.scr.2"</f>
        <v>egy.mit.pf.stl.scr.2</v>
      </c>
      <c r="K225" s="139"/>
      <c r="L225" s="140">
        <f>Mitigation_Industry!$F$699*L$219+Mitigation_Industry!$G$699*L$220</f>
        <v>0</v>
      </c>
      <c r="M225" s="140">
        <f>Mitigation_Industry!$F$699*M$219+Mitigation_Industry!$G$699*M$220</f>
        <v>0</v>
      </c>
      <c r="N225" s="140">
        <f>Mitigation_Industry!$F$699*N$219+Mitigation_Industry!$G$699*N$220</f>
        <v>0</v>
      </c>
      <c r="O225" s="140">
        <f>Mitigation_Industry!$F$699*O$219+Mitigation_Industry!$G$699*O$220</f>
        <v>0</v>
      </c>
      <c r="P225" s="140">
        <f>Mitigation_Industry!$F$699*P$219+Mitigation_Industry!$G$699*P$220</f>
        <v>0</v>
      </c>
      <c r="Q225" s="140">
        <f>Mitigation_Industry!$F$699*Q$219+Mitigation_Industry!$G$699*Q$220</f>
        <v>12.5</v>
      </c>
      <c r="R225" s="140">
        <f>Mitigation_Industry!$F$699*R$219+Mitigation_Industry!$G$699*R$220</f>
        <v>25</v>
      </c>
      <c r="S225" s="140">
        <f>Mitigation_Industry!$F$699*S$219+Mitigation_Industry!$G$699*S$220</f>
        <v>37.5</v>
      </c>
      <c r="T225" s="140">
        <f>Mitigation_Industry!$F$699*T$219+Mitigation_Industry!$G$699*T$220</f>
        <v>50</v>
      </c>
      <c r="U225" s="140">
        <f>Mitigation_Industry!$F$699*U$219+Mitigation_Industry!$G$699*U$220</f>
        <v>62.5</v>
      </c>
      <c r="V225" s="140">
        <f>Mitigation_Industry!$F$699*V$219+Mitigation_Industry!$G$699*V$220</f>
        <v>75</v>
      </c>
      <c r="W225" s="140">
        <f>Mitigation_Industry!$F$699*W$219+Mitigation_Industry!$G$699*W$220</f>
        <v>87.5</v>
      </c>
      <c r="X225" s="140">
        <f>Mitigation_Industry!$F$699*X$219+Mitigation_Industry!$G$699*X$220</f>
        <v>100</v>
      </c>
      <c r="Y225" s="140">
        <f>Mitigation_Industry!$F$699*Y$219+Mitigation_Industry!$G$699*Y$220</f>
        <v>112.5</v>
      </c>
      <c r="Z225" s="140">
        <f>Mitigation_Industry!$F$699*Z$219+Mitigation_Industry!$G$699*Z$220</f>
        <v>125</v>
      </c>
      <c r="AA225" s="140">
        <f>Mitigation_Industry!$F$699*AA$219+Mitigation_Industry!$G$699*AA$220</f>
        <v>137.5</v>
      </c>
      <c r="AB225" s="140">
        <f>Mitigation_Industry!$F$699*AB$219+Mitigation_Industry!$G$699*AB$220</f>
        <v>150</v>
      </c>
      <c r="AC225" s="140">
        <f>Mitigation_Industry!$F$699*AC$219+Mitigation_Industry!$G$699*AC$220</f>
        <v>162.5</v>
      </c>
      <c r="AD225" s="140">
        <f>Mitigation_Industry!$F$699*AD$219+Mitigation_Industry!$G$699*AD$220</f>
        <v>175</v>
      </c>
      <c r="AE225" s="140">
        <f>Mitigation_Industry!$F$699*AE$219+Mitigation_Industry!$G$699*AE$220</f>
        <v>187.5</v>
      </c>
      <c r="AF225" s="141"/>
      <c r="AG225" s="141"/>
      <c r="AH225" s="141"/>
      <c r="AI225" s="141"/>
    </row>
    <row r="226" spans="1:35" customFormat="1" ht="14.25" x14ac:dyDescent="0.45">
      <c r="B226" s="14" t="s">
        <v>1441</v>
      </c>
      <c r="C226" s="14" t="s">
        <v>43</v>
      </c>
      <c r="D226" s="15" t="s">
        <v>2558</v>
      </c>
      <c r="E226" s="16" t="s">
        <v>1398</v>
      </c>
      <c r="F226" s="14" t="s">
        <v>2554</v>
      </c>
      <c r="G226" s="17"/>
      <c r="H226" s="128" t="str">
        <f>Settings!$B$3&amp;".mit.pf.stl.bof.2"</f>
        <v>egy.mit.pf.stl.bof.2</v>
      </c>
      <c r="K226" s="139"/>
      <c r="L226" s="140">
        <f>Mitigation_Industry!$F$700*L$219+Mitigation_Industry!$G$700*L$220</f>
        <v>0</v>
      </c>
      <c r="M226" s="140">
        <f>Mitigation_Industry!$F$700*M$219+Mitigation_Industry!$G$700*M$220</f>
        <v>0</v>
      </c>
      <c r="N226" s="140">
        <f>Mitigation_Industry!$F$700*N$219+Mitigation_Industry!$G$700*N$220</f>
        <v>0</v>
      </c>
      <c r="O226" s="140">
        <f>Mitigation_Industry!$F$700*O$219+Mitigation_Industry!$G$700*O$220</f>
        <v>0</v>
      </c>
      <c r="P226" s="140">
        <f>Mitigation_Industry!$F$700*P$219+Mitigation_Industry!$G$700*P$220</f>
        <v>0</v>
      </c>
      <c r="Q226" s="140">
        <f>Mitigation_Industry!$F$700*Q$219+Mitigation_Industry!$G$700*Q$220</f>
        <v>12.5</v>
      </c>
      <c r="R226" s="140">
        <f>Mitigation_Industry!$F$700*R$219+Mitigation_Industry!$G$700*R$220</f>
        <v>25</v>
      </c>
      <c r="S226" s="140">
        <f>Mitigation_Industry!$F$700*S$219+Mitigation_Industry!$G$700*S$220</f>
        <v>37.5</v>
      </c>
      <c r="T226" s="140">
        <f>Mitigation_Industry!$F$700*T$219+Mitigation_Industry!$G$700*T$220</f>
        <v>50</v>
      </c>
      <c r="U226" s="140">
        <f>Mitigation_Industry!$F$700*U$219+Mitigation_Industry!$G$700*U$220</f>
        <v>62.5</v>
      </c>
      <c r="V226" s="140">
        <f>Mitigation_Industry!$F$700*V$219+Mitigation_Industry!$G$700*V$220</f>
        <v>75</v>
      </c>
      <c r="W226" s="140">
        <f>Mitigation_Industry!$F$700*W$219+Mitigation_Industry!$G$700*W$220</f>
        <v>87.5</v>
      </c>
      <c r="X226" s="140">
        <f>Mitigation_Industry!$F$700*X$219+Mitigation_Industry!$G$700*X$220</f>
        <v>100</v>
      </c>
      <c r="Y226" s="140">
        <f>Mitigation_Industry!$F$700*Y$219+Mitigation_Industry!$G$700*Y$220</f>
        <v>112.5</v>
      </c>
      <c r="Z226" s="140">
        <f>Mitigation_Industry!$F$700*Z$219+Mitigation_Industry!$G$700*Z$220</f>
        <v>125</v>
      </c>
      <c r="AA226" s="140">
        <f>Mitigation_Industry!$F$700*AA$219+Mitigation_Industry!$G$700*AA$220</f>
        <v>137.5</v>
      </c>
      <c r="AB226" s="140">
        <f>Mitigation_Industry!$F$700*AB$219+Mitigation_Industry!$G$700*AB$220</f>
        <v>150</v>
      </c>
      <c r="AC226" s="140">
        <f>Mitigation_Industry!$F$700*AC$219+Mitigation_Industry!$G$700*AC$220</f>
        <v>162.5</v>
      </c>
      <c r="AD226" s="140">
        <f>Mitigation_Industry!$F$700*AD$219+Mitigation_Industry!$G$700*AD$220</f>
        <v>175</v>
      </c>
      <c r="AE226" s="140">
        <f>Mitigation_Industry!$F$700*AE$219+Mitigation_Industry!$G$700*AE$220</f>
        <v>187.5</v>
      </c>
      <c r="AF226" s="141"/>
      <c r="AG226" s="141"/>
      <c r="AH226" s="141"/>
      <c r="AI226" s="141"/>
    </row>
    <row r="227" spans="1:35" customFormat="1" ht="14.25" x14ac:dyDescent="0.45">
      <c r="B227" s="14" t="s">
        <v>1444</v>
      </c>
      <c r="C227" s="14" t="s">
        <v>113</v>
      </c>
      <c r="D227" s="15" t="s">
        <v>2559</v>
      </c>
      <c r="E227" s="16" t="s">
        <v>1398</v>
      </c>
      <c r="F227" s="14" t="s">
        <v>2554</v>
      </c>
      <c r="G227" s="17"/>
      <c r="H227" s="128" t="str">
        <f>Settings!$B$3&amp;".mit.pf.cmt.dry.2"</f>
        <v>egy.mit.pf.cmt.dry.2</v>
      </c>
      <c r="K227" s="139"/>
      <c r="L227" s="140">
        <f>Mitigation_Industry!$F$701*L$219+Mitigation_Industry!$G$701*L$220</f>
        <v>0</v>
      </c>
      <c r="M227" s="140">
        <f>Mitigation_Industry!$F$701*M$219+Mitigation_Industry!$G$701*M$220</f>
        <v>0</v>
      </c>
      <c r="N227" s="140">
        <f>Mitigation_Industry!$F$701*N$219+Mitigation_Industry!$G$701*N$220</f>
        <v>0</v>
      </c>
      <c r="O227" s="140">
        <f>Mitigation_Industry!$F$701*O$219+Mitigation_Industry!$G$701*O$220</f>
        <v>0</v>
      </c>
      <c r="P227" s="140">
        <f>Mitigation_Industry!$F$701*P$219+Mitigation_Industry!$G$701*P$220</f>
        <v>0</v>
      </c>
      <c r="Q227" s="140">
        <f>Mitigation_Industry!$F$701*Q$219+Mitigation_Industry!$G$701*Q$220</f>
        <v>12.5</v>
      </c>
      <c r="R227" s="140">
        <f>Mitigation_Industry!$F$701*R$219+Mitigation_Industry!$G$701*R$220</f>
        <v>25</v>
      </c>
      <c r="S227" s="140">
        <f>Mitigation_Industry!$F$701*S$219+Mitigation_Industry!$G$701*S$220</f>
        <v>37.5</v>
      </c>
      <c r="T227" s="140">
        <f>Mitigation_Industry!$F$701*T$219+Mitigation_Industry!$G$701*T$220</f>
        <v>50</v>
      </c>
      <c r="U227" s="140">
        <f>Mitigation_Industry!$F$701*U$219+Mitigation_Industry!$G$701*U$220</f>
        <v>62.5</v>
      </c>
      <c r="V227" s="140">
        <f>Mitigation_Industry!$F$701*V$219+Mitigation_Industry!$G$701*V$220</f>
        <v>75</v>
      </c>
      <c r="W227" s="140">
        <f>Mitigation_Industry!$F$701*W$219+Mitigation_Industry!$G$701*W$220</f>
        <v>87.5</v>
      </c>
      <c r="X227" s="140">
        <f>Mitigation_Industry!$F$701*X$219+Mitigation_Industry!$G$701*X$220</f>
        <v>100</v>
      </c>
      <c r="Y227" s="140">
        <f>Mitigation_Industry!$F$701*Y$219+Mitigation_Industry!$G$701*Y$220</f>
        <v>112.5</v>
      </c>
      <c r="Z227" s="140">
        <f>Mitigation_Industry!$F$701*Z$219+Mitigation_Industry!$G$701*Z$220</f>
        <v>125</v>
      </c>
      <c r="AA227" s="140">
        <f>Mitigation_Industry!$F$701*AA$219+Mitigation_Industry!$G$701*AA$220</f>
        <v>137.5</v>
      </c>
      <c r="AB227" s="140">
        <f>Mitigation_Industry!$F$701*AB$219+Mitigation_Industry!$G$701*AB$220</f>
        <v>150</v>
      </c>
      <c r="AC227" s="140">
        <f>Mitigation_Industry!$F$701*AC$219+Mitigation_Industry!$G$701*AC$220</f>
        <v>162.5</v>
      </c>
      <c r="AD227" s="140">
        <f>Mitigation_Industry!$F$701*AD$219+Mitigation_Industry!$G$701*AD$220</f>
        <v>175</v>
      </c>
      <c r="AE227" s="140">
        <f>Mitigation_Industry!$F$701*AE$219+Mitigation_Industry!$G$701*AE$220</f>
        <v>187.5</v>
      </c>
      <c r="AF227" s="141"/>
      <c r="AG227" s="141"/>
      <c r="AH227" s="141"/>
      <c r="AI227" s="141"/>
    </row>
    <row r="228" spans="1:35" customFormat="1" ht="14.25" x14ac:dyDescent="0.45">
      <c r="B228" s="14" t="s">
        <v>1447</v>
      </c>
      <c r="C228" s="14" t="s">
        <v>117</v>
      </c>
      <c r="D228" s="15" t="s">
        <v>2560</v>
      </c>
      <c r="E228" s="16" t="s">
        <v>1398</v>
      </c>
      <c r="F228" s="14" t="s">
        <v>2554</v>
      </c>
      <c r="G228" s="17"/>
      <c r="H228" s="128" t="str">
        <f>Settings!$B$3&amp;".mit.pf.frt.amc.2"</f>
        <v>egy.mit.pf.frt.amc.2</v>
      </c>
      <c r="K228" s="139"/>
      <c r="L228" s="140">
        <f>Mitigation_Industry!$F$702*L$219+Mitigation_Industry!$G$702*L$220</f>
        <v>0</v>
      </c>
      <c r="M228" s="140">
        <f>Mitigation_Industry!$F$702*M$219+Mitigation_Industry!$G$702*M$220</f>
        <v>0</v>
      </c>
      <c r="N228" s="140">
        <f>Mitigation_Industry!$F$702*N$219+Mitigation_Industry!$G$702*N$220</f>
        <v>0</v>
      </c>
      <c r="O228" s="140">
        <f>Mitigation_Industry!$F$702*O$219+Mitigation_Industry!$G$702*O$220</f>
        <v>0</v>
      </c>
      <c r="P228" s="140">
        <f>Mitigation_Industry!$F$702*P$219+Mitigation_Industry!$G$702*P$220</f>
        <v>0</v>
      </c>
      <c r="Q228" s="140">
        <f>Mitigation_Industry!$F$702*Q$219+Mitigation_Industry!$G$702*Q$220</f>
        <v>12.5</v>
      </c>
      <c r="R228" s="140">
        <f>Mitigation_Industry!$F$702*R$219+Mitigation_Industry!$G$702*R$220</f>
        <v>25</v>
      </c>
      <c r="S228" s="140">
        <f>Mitigation_Industry!$F$702*S$219+Mitigation_Industry!$G$702*S$220</f>
        <v>37.5</v>
      </c>
      <c r="T228" s="140">
        <f>Mitigation_Industry!$F$702*T$219+Mitigation_Industry!$G$702*T$220</f>
        <v>50</v>
      </c>
      <c r="U228" s="140">
        <f>Mitigation_Industry!$F$702*U$219+Mitigation_Industry!$G$702*U$220</f>
        <v>62.5</v>
      </c>
      <c r="V228" s="140">
        <f>Mitigation_Industry!$F$702*V$219+Mitigation_Industry!$G$702*V$220</f>
        <v>75</v>
      </c>
      <c r="W228" s="140">
        <f>Mitigation_Industry!$F$702*W$219+Mitigation_Industry!$G$702*W$220</f>
        <v>87.5</v>
      </c>
      <c r="X228" s="140">
        <f>Mitigation_Industry!$F$702*X$219+Mitigation_Industry!$G$702*X$220</f>
        <v>100</v>
      </c>
      <c r="Y228" s="140">
        <f>Mitigation_Industry!$F$702*Y$219+Mitigation_Industry!$G$702*Y$220</f>
        <v>112.5</v>
      </c>
      <c r="Z228" s="140">
        <f>Mitigation_Industry!$F$702*Z$219+Mitigation_Industry!$G$702*Z$220</f>
        <v>125</v>
      </c>
      <c r="AA228" s="140">
        <f>Mitigation_Industry!$F$702*AA$219+Mitigation_Industry!$G$702*AA$220</f>
        <v>137.5</v>
      </c>
      <c r="AB228" s="140">
        <f>Mitigation_Industry!$F$702*AB$219+Mitigation_Industry!$G$702*AB$220</f>
        <v>150</v>
      </c>
      <c r="AC228" s="140">
        <f>Mitigation_Industry!$F$702*AC$219+Mitigation_Industry!$G$702*AC$220</f>
        <v>162.5</v>
      </c>
      <c r="AD228" s="140">
        <f>Mitigation_Industry!$F$702*AD$219+Mitigation_Industry!$G$702*AD$220</f>
        <v>175</v>
      </c>
      <c r="AE228" s="140">
        <f>Mitigation_Industry!$F$702*AE$219+Mitigation_Industry!$G$702*AE$220</f>
        <v>187.5</v>
      </c>
      <c r="AF228" s="141"/>
      <c r="AG228" s="141"/>
      <c r="AH228" s="141"/>
      <c r="AI228" s="141"/>
    </row>
    <row r="229" spans="1:35" customFormat="1" ht="14.25" x14ac:dyDescent="0.45">
      <c r="B229" s="14" t="s">
        <v>1450</v>
      </c>
      <c r="C229" s="14" t="s">
        <v>117</v>
      </c>
      <c r="D229" s="15" t="s">
        <v>2561</v>
      </c>
      <c r="E229" s="16" t="s">
        <v>1398</v>
      </c>
      <c r="F229" s="14" t="s">
        <v>2554</v>
      </c>
      <c r="G229" s="17"/>
      <c r="H229" s="128" t="str">
        <f>Settings!$B$3&amp;".mit.pf.frt.ure.2"</f>
        <v>egy.mit.pf.frt.ure.2</v>
      </c>
      <c r="K229" s="139"/>
      <c r="L229" s="140">
        <f>Mitigation_Industry!$F$703*L$219+Mitigation_Industry!$G$703*L$220</f>
        <v>0</v>
      </c>
      <c r="M229" s="140">
        <f>Mitigation_Industry!$F$703*M$219+Mitigation_Industry!$G$703*M$220</f>
        <v>0</v>
      </c>
      <c r="N229" s="140">
        <f>Mitigation_Industry!$F$703*N$219+Mitigation_Industry!$G$703*N$220</f>
        <v>0</v>
      </c>
      <c r="O229" s="140">
        <f>Mitigation_Industry!$F$703*O$219+Mitigation_Industry!$G$703*O$220</f>
        <v>0</v>
      </c>
      <c r="P229" s="140">
        <f>Mitigation_Industry!$F$703*P$219+Mitigation_Industry!$G$703*P$220</f>
        <v>0</v>
      </c>
      <c r="Q229" s="140">
        <f>Mitigation_Industry!$F$703*Q$219+Mitigation_Industry!$G$703*Q$220</f>
        <v>12.5</v>
      </c>
      <c r="R229" s="140">
        <f>Mitigation_Industry!$F$703*R$219+Mitigation_Industry!$G$703*R$220</f>
        <v>25</v>
      </c>
      <c r="S229" s="140">
        <f>Mitigation_Industry!$F$703*S$219+Mitigation_Industry!$G$703*S$220</f>
        <v>37.5</v>
      </c>
      <c r="T229" s="140">
        <f>Mitigation_Industry!$F$703*T$219+Mitigation_Industry!$G$703*T$220</f>
        <v>50</v>
      </c>
      <c r="U229" s="140">
        <f>Mitigation_Industry!$F$703*U$219+Mitigation_Industry!$G$703*U$220</f>
        <v>62.5</v>
      </c>
      <c r="V229" s="140">
        <f>Mitigation_Industry!$F$703*V$219+Mitigation_Industry!$G$703*V$220</f>
        <v>75</v>
      </c>
      <c r="W229" s="140">
        <f>Mitigation_Industry!$F$703*W$219+Mitigation_Industry!$G$703*W$220</f>
        <v>87.5</v>
      </c>
      <c r="X229" s="140">
        <f>Mitigation_Industry!$F$703*X$219+Mitigation_Industry!$G$703*X$220</f>
        <v>100</v>
      </c>
      <c r="Y229" s="140">
        <f>Mitigation_Industry!$F$703*Y$219+Mitigation_Industry!$G$703*Y$220</f>
        <v>112.5</v>
      </c>
      <c r="Z229" s="140">
        <f>Mitigation_Industry!$F$703*Z$219+Mitigation_Industry!$G$703*Z$220</f>
        <v>125</v>
      </c>
      <c r="AA229" s="140">
        <f>Mitigation_Industry!$F$703*AA$219+Mitigation_Industry!$G$703*AA$220</f>
        <v>137.5</v>
      </c>
      <c r="AB229" s="140">
        <f>Mitigation_Industry!$F$703*AB$219+Mitigation_Industry!$G$703*AB$220</f>
        <v>150</v>
      </c>
      <c r="AC229" s="140">
        <f>Mitigation_Industry!$F$703*AC$219+Mitigation_Industry!$G$703*AC$220</f>
        <v>162.5</v>
      </c>
      <c r="AD229" s="140">
        <f>Mitigation_Industry!$F$703*AD$219+Mitigation_Industry!$G$703*AD$220</f>
        <v>175</v>
      </c>
      <c r="AE229" s="140">
        <f>Mitigation_Industry!$F$703*AE$219+Mitigation_Industry!$G$703*AE$220</f>
        <v>187.5</v>
      </c>
      <c r="AF229" s="141"/>
      <c r="AG229" s="141"/>
      <c r="AH229" s="141"/>
      <c r="AI229" s="141"/>
    </row>
    <row r="230" spans="1:35" customFormat="1" ht="14.25" x14ac:dyDescent="0.45">
      <c r="B230" s="14" t="s">
        <v>1453</v>
      </c>
      <c r="C230" s="14" t="s">
        <v>117</v>
      </c>
      <c r="D230" s="15" t="s">
        <v>2562</v>
      </c>
      <c r="E230" s="16" t="s">
        <v>1398</v>
      </c>
      <c r="F230" s="14" t="s">
        <v>2554</v>
      </c>
      <c r="G230" s="17"/>
      <c r="H230" s="128" t="str">
        <f>Settings!$B$3&amp;".mit.pf.frt.nit.2"</f>
        <v>egy.mit.pf.frt.nit.2</v>
      </c>
      <c r="K230" s="139"/>
      <c r="L230" s="140">
        <f>Mitigation_Industry!$F$704*L$219+Mitigation_Industry!$G$704*L$220</f>
        <v>0</v>
      </c>
      <c r="M230" s="140">
        <f>Mitigation_Industry!$F$704*M$219+Mitigation_Industry!$G$704*M$220</f>
        <v>0</v>
      </c>
      <c r="N230" s="140">
        <f>Mitigation_Industry!$F$704*N$219+Mitigation_Industry!$G$704*N$220</f>
        <v>0</v>
      </c>
      <c r="O230" s="140">
        <f>Mitigation_Industry!$F$704*O$219+Mitigation_Industry!$G$704*O$220</f>
        <v>0</v>
      </c>
      <c r="P230" s="140">
        <f>Mitigation_Industry!$F$704*P$219+Mitigation_Industry!$G$704*P$220</f>
        <v>0</v>
      </c>
      <c r="Q230" s="140">
        <f>Mitigation_Industry!$F$704*Q$219+Mitigation_Industry!$G$704*Q$220</f>
        <v>12.5</v>
      </c>
      <c r="R230" s="140">
        <f>Mitigation_Industry!$F$704*R$219+Mitigation_Industry!$G$704*R$220</f>
        <v>25</v>
      </c>
      <c r="S230" s="140">
        <f>Mitigation_Industry!$F$704*S$219+Mitigation_Industry!$G$704*S$220</f>
        <v>37.5</v>
      </c>
      <c r="T230" s="140">
        <f>Mitigation_Industry!$F$704*T$219+Mitigation_Industry!$G$704*T$220</f>
        <v>50</v>
      </c>
      <c r="U230" s="140">
        <f>Mitigation_Industry!$F$704*U$219+Mitigation_Industry!$G$704*U$220</f>
        <v>62.5</v>
      </c>
      <c r="V230" s="140">
        <f>Mitigation_Industry!$F$704*V$219+Mitigation_Industry!$G$704*V$220</f>
        <v>75</v>
      </c>
      <c r="W230" s="140">
        <f>Mitigation_Industry!$F$704*W$219+Mitigation_Industry!$G$704*W$220</f>
        <v>87.5</v>
      </c>
      <c r="X230" s="140">
        <f>Mitigation_Industry!$F$704*X$219+Mitigation_Industry!$G$704*X$220</f>
        <v>100</v>
      </c>
      <c r="Y230" s="140">
        <f>Mitigation_Industry!$F$704*Y$219+Mitigation_Industry!$G$704*Y$220</f>
        <v>112.5</v>
      </c>
      <c r="Z230" s="140">
        <f>Mitigation_Industry!$F$704*Z$219+Mitigation_Industry!$G$704*Z$220</f>
        <v>125</v>
      </c>
      <c r="AA230" s="140">
        <f>Mitigation_Industry!$F$704*AA$219+Mitigation_Industry!$G$704*AA$220</f>
        <v>137.5</v>
      </c>
      <c r="AB230" s="140">
        <f>Mitigation_Industry!$F$704*AB$219+Mitigation_Industry!$G$704*AB$220</f>
        <v>150</v>
      </c>
      <c r="AC230" s="140">
        <f>Mitigation_Industry!$F$704*AC$219+Mitigation_Industry!$G$704*AC$220</f>
        <v>162.5</v>
      </c>
      <c r="AD230" s="140">
        <f>Mitigation_Industry!$F$704*AD$219+Mitigation_Industry!$G$704*AD$220</f>
        <v>175</v>
      </c>
      <c r="AE230" s="140">
        <f>Mitigation_Industry!$F$704*AE$219+Mitigation_Industry!$G$704*AE$220</f>
        <v>187.5</v>
      </c>
      <c r="AF230" s="141"/>
      <c r="AG230" s="141"/>
      <c r="AH230" s="141"/>
      <c r="AI230" s="141"/>
    </row>
    <row r="231" spans="1:35" customFormat="1" ht="14.25" x14ac:dyDescent="0.45">
      <c r="B231" s="14" t="s">
        <v>1456</v>
      </c>
      <c r="C231" s="14" t="s">
        <v>115</v>
      </c>
      <c r="D231" s="15" t="s">
        <v>2563</v>
      </c>
      <c r="E231" s="16" t="s">
        <v>1398</v>
      </c>
      <c r="F231" s="14" t="s">
        <v>2554</v>
      </c>
      <c r="G231" s="17"/>
      <c r="H231" s="128" t="str">
        <f>Settings!$B$3&amp;".mit.pf.alu.prp.2"</f>
        <v>egy.mit.pf.alu.prp.2</v>
      </c>
      <c r="K231" s="139"/>
      <c r="L231" s="140">
        <f>Mitigation_Industry!$F$705*L$219+Mitigation_Industry!$G$705*L$220</f>
        <v>0</v>
      </c>
      <c r="M231" s="140">
        <f>Mitigation_Industry!$F$705*M$219+Mitigation_Industry!$G$705*M$220</f>
        <v>0</v>
      </c>
      <c r="N231" s="140">
        <f>Mitigation_Industry!$F$705*N$219+Mitigation_Industry!$G$705*N$220</f>
        <v>0</v>
      </c>
      <c r="O231" s="140">
        <f>Mitigation_Industry!$F$705*O$219+Mitigation_Industry!$G$705*O$220</f>
        <v>0</v>
      </c>
      <c r="P231" s="140">
        <f>Mitigation_Industry!$F$705*P$219+Mitigation_Industry!$G$705*P$220</f>
        <v>0</v>
      </c>
      <c r="Q231" s="140">
        <f>Mitigation_Industry!$F$705*Q$219+Mitigation_Industry!$G$705*Q$220</f>
        <v>12.5</v>
      </c>
      <c r="R231" s="140">
        <f>Mitigation_Industry!$F$705*R$219+Mitigation_Industry!$G$705*R$220</f>
        <v>25</v>
      </c>
      <c r="S231" s="140">
        <f>Mitigation_Industry!$F$705*S$219+Mitigation_Industry!$G$705*S$220</f>
        <v>37.5</v>
      </c>
      <c r="T231" s="140">
        <f>Mitigation_Industry!$F$705*T$219+Mitigation_Industry!$G$705*T$220</f>
        <v>50</v>
      </c>
      <c r="U231" s="140">
        <f>Mitigation_Industry!$F$705*U$219+Mitigation_Industry!$G$705*U$220</f>
        <v>62.5</v>
      </c>
      <c r="V231" s="140">
        <f>Mitigation_Industry!$F$705*V$219+Mitigation_Industry!$G$705*V$220</f>
        <v>75</v>
      </c>
      <c r="W231" s="140">
        <f>Mitigation_Industry!$F$705*W$219+Mitigation_Industry!$G$705*W$220</f>
        <v>87.5</v>
      </c>
      <c r="X231" s="140">
        <f>Mitigation_Industry!$F$705*X$219+Mitigation_Industry!$G$705*X$220</f>
        <v>100</v>
      </c>
      <c r="Y231" s="140">
        <f>Mitigation_Industry!$F$705*Y$219+Mitigation_Industry!$G$705*Y$220</f>
        <v>112.5</v>
      </c>
      <c r="Z231" s="140">
        <f>Mitigation_Industry!$F$705*Z$219+Mitigation_Industry!$G$705*Z$220</f>
        <v>125</v>
      </c>
      <c r="AA231" s="140">
        <f>Mitigation_Industry!$F$705*AA$219+Mitigation_Industry!$G$705*AA$220</f>
        <v>137.5</v>
      </c>
      <c r="AB231" s="140">
        <f>Mitigation_Industry!$F$705*AB$219+Mitigation_Industry!$G$705*AB$220</f>
        <v>150</v>
      </c>
      <c r="AC231" s="140">
        <f>Mitigation_Industry!$F$705*AC$219+Mitigation_Industry!$G$705*AC$220</f>
        <v>162.5</v>
      </c>
      <c r="AD231" s="140">
        <f>Mitigation_Industry!$F$705*AD$219+Mitigation_Industry!$G$705*AD$220</f>
        <v>175</v>
      </c>
      <c r="AE231" s="140">
        <f>Mitigation_Industry!$F$705*AE$219+Mitigation_Industry!$G$705*AE$220</f>
        <v>187.5</v>
      </c>
      <c r="AF231" s="141"/>
      <c r="AG231" s="141"/>
      <c r="AH231" s="141"/>
      <c r="AI231" s="141"/>
    </row>
    <row r="232" spans="1:35" x14ac:dyDescent="0.35"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</row>
    <row r="233" spans="1:35" customFormat="1" ht="14.25" x14ac:dyDescent="0.45">
      <c r="A233" s="11"/>
      <c r="B233" s="6"/>
      <c r="C233" s="7" t="s">
        <v>2564</v>
      </c>
      <c r="D233" s="6" t="s">
        <v>1488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137">
        <v>2021</v>
      </c>
      <c r="L233" s="138">
        <v>2022</v>
      </c>
      <c r="M233" s="137">
        <v>2023</v>
      </c>
      <c r="N233" s="137">
        <v>2024</v>
      </c>
      <c r="O233" s="137">
        <v>2025</v>
      </c>
      <c r="P233" s="137">
        <v>2026</v>
      </c>
      <c r="Q233" s="137">
        <v>2027</v>
      </c>
      <c r="R233" s="137">
        <v>2028</v>
      </c>
      <c r="S233" s="137">
        <v>2029</v>
      </c>
      <c r="T233" s="137">
        <v>2030</v>
      </c>
      <c r="U233" s="137">
        <v>2031</v>
      </c>
      <c r="V233" s="137">
        <v>2032</v>
      </c>
      <c r="W233" s="137">
        <v>2033</v>
      </c>
      <c r="X233" s="137">
        <v>2034</v>
      </c>
      <c r="Y233" s="137">
        <v>2035</v>
      </c>
      <c r="Z233" s="137">
        <v>2036</v>
      </c>
      <c r="AA233" s="137">
        <v>2037</v>
      </c>
      <c r="AB233" s="137">
        <v>2038</v>
      </c>
      <c r="AC233" s="137">
        <v>2039</v>
      </c>
      <c r="AD233" s="137">
        <v>2040</v>
      </c>
      <c r="AE233" s="137">
        <v>2041</v>
      </c>
      <c r="AF233" s="137">
        <v>2042</v>
      </c>
      <c r="AG233" s="137">
        <v>2043</v>
      </c>
      <c r="AH233" s="137">
        <v>2044</v>
      </c>
      <c r="AI233" s="137">
        <v>2045</v>
      </c>
    </row>
    <row r="234" spans="1:35" customFormat="1" ht="14.25" x14ac:dyDescent="0.45">
      <c r="B234" s="14" t="s">
        <v>2565</v>
      </c>
      <c r="C234" s="14" t="s">
        <v>43</v>
      </c>
      <c r="D234" s="15" t="s">
        <v>2566</v>
      </c>
      <c r="E234" s="16" t="s">
        <v>1398</v>
      </c>
      <c r="F234" s="14" t="s">
        <v>2564</v>
      </c>
      <c r="G234" s="17"/>
      <c r="H234" s="128" t="str">
        <f>Settings!$B$3&amp;".mit.pp.stl.drg.np.2"</f>
        <v>egy.mit.pp.stl.drg.np.2</v>
      </c>
      <c r="I234" t="s">
        <v>2567</v>
      </c>
      <c r="K234" s="139"/>
      <c r="L234" s="140">
        <f>Mitigation_Industry!$F$709*L$221+Mitigation_Industry!$G$709*L$220</f>
        <v>0</v>
      </c>
      <c r="M234" s="140">
        <f>Mitigation_Industry!$F$709*M$221+Mitigation_Industry!$G$709*M$220</f>
        <v>0</v>
      </c>
      <c r="N234" s="140">
        <f>Mitigation_Industry!$F$709*N$221+Mitigation_Industry!$G$709*N$220</f>
        <v>0</v>
      </c>
      <c r="O234" s="140">
        <f>Mitigation_Industry!$F$709*O$221+Mitigation_Industry!$G$709*O$220</f>
        <v>0</v>
      </c>
      <c r="P234" s="140">
        <f>Mitigation_Industry!$F$709*P$221+Mitigation_Industry!$G$709*P$220</f>
        <v>0</v>
      </c>
      <c r="Q234" s="140">
        <f>Mitigation_Industry!$F$709*Q$221+Mitigation_Industry!$G$709*Q$220</f>
        <v>0</v>
      </c>
      <c r="R234" s="140">
        <f>Mitigation_Industry!$F$709*R$221+Mitigation_Industry!$G$709*R$220</f>
        <v>0</v>
      </c>
      <c r="S234" s="140">
        <f>Mitigation_Industry!$F$709*S$221+Mitigation_Industry!$G$709*S$220</f>
        <v>0</v>
      </c>
      <c r="T234" s="140">
        <f>Mitigation_Industry!$F$709*T$221+Mitigation_Industry!$G$709*T$220</f>
        <v>0</v>
      </c>
      <c r="U234" s="140">
        <f>Mitigation_Industry!$F$709*U$221+Mitigation_Industry!$G$709*U$220</f>
        <v>0</v>
      </c>
      <c r="V234" s="140">
        <f>Mitigation_Industry!$F$709*V$221+Mitigation_Industry!$G$709*V$220</f>
        <v>0</v>
      </c>
      <c r="W234" s="140">
        <f>Mitigation_Industry!$F$709*W$221+Mitigation_Industry!$G$709*W$220</f>
        <v>0</v>
      </c>
      <c r="X234" s="140">
        <f>Mitigation_Industry!$F$709*X$221+Mitigation_Industry!$G$709*X$220</f>
        <v>0</v>
      </c>
      <c r="Y234" s="140">
        <f>Mitigation_Industry!$F$709*Y$221+Mitigation_Industry!$G$709*Y$220</f>
        <v>0</v>
      </c>
      <c r="Z234" s="140">
        <f>Mitigation_Industry!$F$709*Z$221+Mitigation_Industry!$G$709*Z$220</f>
        <v>0</v>
      </c>
      <c r="AA234" s="140">
        <f>Mitigation_Industry!$F$709*AA$221+Mitigation_Industry!$G$709*AA$220</f>
        <v>0</v>
      </c>
      <c r="AB234" s="140">
        <f>Mitigation_Industry!$F$709*AB$221+Mitigation_Industry!$G$709*AB$220</f>
        <v>0</v>
      </c>
      <c r="AC234" s="140">
        <f>Mitigation_Industry!$F$709*AC$221+Mitigation_Industry!$G$709*AC$220</f>
        <v>0</v>
      </c>
      <c r="AD234" s="140">
        <f>Mitigation_Industry!$F$709*AD$221+Mitigation_Industry!$G$709*AD$220</f>
        <v>0</v>
      </c>
      <c r="AE234" s="140">
        <f>Mitigation_Industry!$F$709*AE$221+Mitigation_Industry!$G$709*AE$220</f>
        <v>0</v>
      </c>
      <c r="AF234" s="141"/>
      <c r="AG234" s="141"/>
      <c r="AH234" s="141"/>
      <c r="AI234" s="141"/>
    </row>
    <row r="235" spans="1:35" customFormat="1" ht="14.25" x14ac:dyDescent="0.45">
      <c r="B235" s="14" t="s">
        <v>2568</v>
      </c>
      <c r="C235" s="14" t="s">
        <v>43</v>
      </c>
      <c r="D235" s="15" t="s">
        <v>2569</v>
      </c>
      <c r="E235" s="16" t="s">
        <v>1398</v>
      </c>
      <c r="F235" s="14" t="s">
        <v>2564</v>
      </c>
      <c r="G235" s="17"/>
      <c r="H235" s="128" t="str">
        <f>Settings!$B$3&amp;".mit.pp.stl.scr.np.2"</f>
        <v>egy.mit.pp.stl.scr.np.2</v>
      </c>
      <c r="K235" s="139"/>
      <c r="L235" s="140">
        <f>Mitigation_Industry!$F$710*L$221+Mitigation_Industry!$G$710*L$220</f>
        <v>0</v>
      </c>
      <c r="M235" s="140">
        <f>Mitigation_Industry!$F$710*M$221+Mitigation_Industry!$G$710*M$220</f>
        <v>0</v>
      </c>
      <c r="N235" s="140">
        <f>Mitigation_Industry!$F$710*N$221+Mitigation_Industry!$G$710*N$220</f>
        <v>0</v>
      </c>
      <c r="O235" s="140">
        <f>Mitigation_Industry!$F$710*O$221+Mitigation_Industry!$G$710*O$220</f>
        <v>0</v>
      </c>
      <c r="P235" s="140">
        <f>Mitigation_Industry!$F$710*P$221+Mitigation_Industry!$G$710*P$220</f>
        <v>0</v>
      </c>
      <c r="Q235" s="140">
        <f>Mitigation_Industry!$F$710*Q$221+Mitigation_Industry!$G$710*Q$220</f>
        <v>0</v>
      </c>
      <c r="R235" s="140">
        <f>Mitigation_Industry!$F$710*R$221+Mitigation_Industry!$G$710*R$220</f>
        <v>0</v>
      </c>
      <c r="S235" s="140">
        <f>Mitigation_Industry!$F$710*S$221+Mitigation_Industry!$G$710*S$220</f>
        <v>0</v>
      </c>
      <c r="T235" s="140">
        <f>Mitigation_Industry!$F$710*T$221+Mitigation_Industry!$G$710*T$220</f>
        <v>0</v>
      </c>
      <c r="U235" s="140">
        <f>Mitigation_Industry!$F$710*U$221+Mitigation_Industry!$G$710*U$220</f>
        <v>0</v>
      </c>
      <c r="V235" s="140">
        <f>Mitigation_Industry!$F$710*V$221+Mitigation_Industry!$G$710*V$220</f>
        <v>0</v>
      </c>
      <c r="W235" s="140">
        <f>Mitigation_Industry!$F$710*W$221+Mitigation_Industry!$G$710*W$220</f>
        <v>0</v>
      </c>
      <c r="X235" s="140">
        <f>Mitigation_Industry!$F$710*X$221+Mitigation_Industry!$G$710*X$220</f>
        <v>0</v>
      </c>
      <c r="Y235" s="140">
        <f>Mitigation_Industry!$F$710*Y$221+Mitigation_Industry!$G$710*Y$220</f>
        <v>0</v>
      </c>
      <c r="Z235" s="140">
        <f>Mitigation_Industry!$F$710*Z$221+Mitigation_Industry!$G$710*Z$220</f>
        <v>0</v>
      </c>
      <c r="AA235" s="140">
        <f>Mitigation_Industry!$F$710*AA$221+Mitigation_Industry!$G$710*AA$220</f>
        <v>0</v>
      </c>
      <c r="AB235" s="140">
        <f>Mitigation_Industry!$F$710*AB$221+Mitigation_Industry!$G$710*AB$220</f>
        <v>0</v>
      </c>
      <c r="AC235" s="140">
        <f>Mitigation_Industry!$F$710*AC$221+Mitigation_Industry!$G$710*AC$220</f>
        <v>0</v>
      </c>
      <c r="AD235" s="140">
        <f>Mitigation_Industry!$F$710*AD$221+Mitigation_Industry!$G$710*AD$220</f>
        <v>0</v>
      </c>
      <c r="AE235" s="140">
        <f>Mitigation_Industry!$F$710*AE$221+Mitigation_Industry!$G$710*AE$220</f>
        <v>0</v>
      </c>
      <c r="AF235" s="141"/>
      <c r="AG235" s="141"/>
      <c r="AH235" s="141"/>
      <c r="AI235" s="141"/>
    </row>
    <row r="236" spans="1:35" customFormat="1" ht="14.25" x14ac:dyDescent="0.45">
      <c r="B236" s="14" t="s">
        <v>2570</v>
      </c>
      <c r="C236" s="14" t="s">
        <v>43</v>
      </c>
      <c r="D236" s="15" t="s">
        <v>2571</v>
      </c>
      <c r="E236" s="16" t="s">
        <v>1398</v>
      </c>
      <c r="F236" s="14" t="s">
        <v>2564</v>
      </c>
      <c r="G236" s="17"/>
      <c r="H236" s="128" t="str">
        <f>Settings!$B$3&amp;".mit.pp.stl.bof.np.2"</f>
        <v>egy.mit.pp.stl.bof.np.2</v>
      </c>
      <c r="K236" s="139"/>
      <c r="L236" s="140">
        <f>Mitigation_Industry!$F$711*L$221+Mitigation_Industry!$G$711*L$220</f>
        <v>0</v>
      </c>
      <c r="M236" s="140">
        <f>Mitigation_Industry!$F$711*M$221+Mitigation_Industry!$G$711*M$220</f>
        <v>0</v>
      </c>
      <c r="N236" s="140">
        <f>Mitigation_Industry!$F$711*N$221+Mitigation_Industry!$G$711*N$220</f>
        <v>0</v>
      </c>
      <c r="O236" s="140">
        <f>Mitigation_Industry!$F$711*O$221+Mitigation_Industry!$G$711*O$220</f>
        <v>0</v>
      </c>
      <c r="P236" s="140">
        <f>Mitigation_Industry!$F$711*P$221+Mitigation_Industry!$G$711*P$220</f>
        <v>0</v>
      </c>
      <c r="Q236" s="140">
        <f>Mitigation_Industry!$F$711*Q$221+Mitigation_Industry!$G$711*Q$220</f>
        <v>0</v>
      </c>
      <c r="R236" s="140">
        <f>Mitigation_Industry!$F$711*R$221+Mitigation_Industry!$G$711*R$220</f>
        <v>0</v>
      </c>
      <c r="S236" s="140">
        <f>Mitigation_Industry!$F$711*S$221+Mitigation_Industry!$G$711*S$220</f>
        <v>0</v>
      </c>
      <c r="T236" s="140">
        <f>Mitigation_Industry!$F$711*T$221+Mitigation_Industry!$G$711*T$220</f>
        <v>0</v>
      </c>
      <c r="U236" s="140">
        <f>Mitigation_Industry!$F$711*U$221+Mitigation_Industry!$G$711*U$220</f>
        <v>0</v>
      </c>
      <c r="V236" s="140">
        <f>Mitigation_Industry!$F$711*V$221+Mitigation_Industry!$G$711*V$220</f>
        <v>0</v>
      </c>
      <c r="W236" s="140">
        <f>Mitigation_Industry!$F$711*W$221+Mitigation_Industry!$G$711*W$220</f>
        <v>0</v>
      </c>
      <c r="X236" s="140">
        <f>Mitigation_Industry!$F$711*X$221+Mitigation_Industry!$G$711*X$220</f>
        <v>0</v>
      </c>
      <c r="Y236" s="140">
        <f>Mitigation_Industry!$F$711*Y$221+Mitigation_Industry!$G$711*Y$220</f>
        <v>0</v>
      </c>
      <c r="Z236" s="140">
        <f>Mitigation_Industry!$F$711*Z$221+Mitigation_Industry!$G$711*Z$220</f>
        <v>0</v>
      </c>
      <c r="AA236" s="140">
        <f>Mitigation_Industry!$F$711*AA$221+Mitigation_Industry!$G$711*AA$220</f>
        <v>0</v>
      </c>
      <c r="AB236" s="140">
        <f>Mitigation_Industry!$F$711*AB$221+Mitigation_Industry!$G$711*AB$220</f>
        <v>0</v>
      </c>
      <c r="AC236" s="140">
        <f>Mitigation_Industry!$F$711*AC$221+Mitigation_Industry!$G$711*AC$220</f>
        <v>0</v>
      </c>
      <c r="AD236" s="140">
        <f>Mitigation_Industry!$F$711*AD$221+Mitigation_Industry!$G$711*AD$220</f>
        <v>0</v>
      </c>
      <c r="AE236" s="140">
        <f>Mitigation_Industry!$F$711*AE$221+Mitigation_Industry!$G$711*AE$220</f>
        <v>0</v>
      </c>
      <c r="AF236" s="141"/>
      <c r="AG236" s="141"/>
      <c r="AH236" s="141"/>
      <c r="AI236" s="141"/>
    </row>
    <row r="237" spans="1:35" customFormat="1" ht="14.25" x14ac:dyDescent="0.45">
      <c r="B237" s="14" t="s">
        <v>2572</v>
      </c>
      <c r="C237" s="14" t="s">
        <v>113</v>
      </c>
      <c r="D237" s="15" t="s">
        <v>2573</v>
      </c>
      <c r="E237" s="16" t="s">
        <v>1398</v>
      </c>
      <c r="F237" s="14" t="s">
        <v>2564</v>
      </c>
      <c r="G237" s="17"/>
      <c r="H237" s="128" t="str">
        <f>Settings!$B$3&amp;".mit.pp.cmt.dry.np.2"</f>
        <v>egy.mit.pp.cmt.dry.np.2</v>
      </c>
      <c r="K237" s="139"/>
      <c r="L237" s="140">
        <f>Mitigation_Industry!$F$712*L$221+Mitigation_Industry!$G$712*L$220</f>
        <v>0</v>
      </c>
      <c r="M237" s="140">
        <f>Mitigation_Industry!$F$712*M$221+Mitigation_Industry!$G$712*M$220</f>
        <v>0</v>
      </c>
      <c r="N237" s="140">
        <f>Mitigation_Industry!$F$712*N$221+Mitigation_Industry!$G$712*N$220</f>
        <v>0</v>
      </c>
      <c r="O237" s="140">
        <f>Mitigation_Industry!$F$712*O$221+Mitigation_Industry!$G$712*O$220</f>
        <v>0</v>
      </c>
      <c r="P237" s="140">
        <f>Mitigation_Industry!$F$712*P$221+Mitigation_Industry!$G$712*P$220</f>
        <v>0</v>
      </c>
      <c r="Q237" s="140">
        <f>Mitigation_Industry!$F$712*Q$221+Mitigation_Industry!$G$712*Q$220</f>
        <v>0</v>
      </c>
      <c r="R237" s="140">
        <f>Mitigation_Industry!$F$712*R$221+Mitigation_Industry!$G$712*R$220</f>
        <v>0</v>
      </c>
      <c r="S237" s="140">
        <f>Mitigation_Industry!$F$712*S$221+Mitigation_Industry!$G$712*S$220</f>
        <v>0</v>
      </c>
      <c r="T237" s="140">
        <f>Mitigation_Industry!$F$712*T$221+Mitigation_Industry!$G$712*T$220</f>
        <v>0</v>
      </c>
      <c r="U237" s="140">
        <f>Mitigation_Industry!$F$712*U$221+Mitigation_Industry!$G$712*U$220</f>
        <v>0</v>
      </c>
      <c r="V237" s="140">
        <f>Mitigation_Industry!$F$712*V$221+Mitigation_Industry!$G$712*V$220</f>
        <v>0</v>
      </c>
      <c r="W237" s="140">
        <f>Mitigation_Industry!$F$712*W$221+Mitigation_Industry!$G$712*W$220</f>
        <v>0</v>
      </c>
      <c r="X237" s="140">
        <f>Mitigation_Industry!$F$712*X$221+Mitigation_Industry!$G$712*X$220</f>
        <v>0</v>
      </c>
      <c r="Y237" s="140">
        <f>Mitigation_Industry!$F$712*Y$221+Mitigation_Industry!$G$712*Y$220</f>
        <v>0</v>
      </c>
      <c r="Z237" s="140">
        <f>Mitigation_Industry!$F$712*Z$221+Mitigation_Industry!$G$712*Z$220</f>
        <v>0</v>
      </c>
      <c r="AA237" s="140">
        <f>Mitigation_Industry!$F$712*AA$221+Mitigation_Industry!$G$712*AA$220</f>
        <v>0</v>
      </c>
      <c r="AB237" s="140">
        <f>Mitigation_Industry!$F$712*AB$221+Mitigation_Industry!$G$712*AB$220</f>
        <v>0</v>
      </c>
      <c r="AC237" s="140">
        <f>Mitigation_Industry!$F$712*AC$221+Mitigation_Industry!$G$712*AC$220</f>
        <v>0</v>
      </c>
      <c r="AD237" s="140">
        <f>Mitigation_Industry!$F$712*AD$221+Mitigation_Industry!$G$712*AD$220</f>
        <v>0</v>
      </c>
      <c r="AE237" s="140">
        <f>Mitigation_Industry!$F$712*AE$221+Mitigation_Industry!$G$712*AE$220</f>
        <v>0</v>
      </c>
      <c r="AF237" s="141"/>
      <c r="AG237" s="141"/>
      <c r="AH237" s="141"/>
      <c r="AI237" s="141"/>
    </row>
    <row r="238" spans="1:35" customFormat="1" ht="14.25" x14ac:dyDescent="0.45">
      <c r="B238" s="14" t="s">
        <v>2574</v>
      </c>
      <c r="C238" s="14" t="s">
        <v>117</v>
      </c>
      <c r="D238" s="15" t="s">
        <v>2575</v>
      </c>
      <c r="E238" s="16" t="s">
        <v>1398</v>
      </c>
      <c r="F238" s="14" t="s">
        <v>2564</v>
      </c>
      <c r="G238" s="17"/>
      <c r="H238" s="128" t="str">
        <f>Settings!$B$3&amp;".mit.pp.frt.amc.np.2"</f>
        <v>egy.mit.pp.frt.amc.np.2</v>
      </c>
      <c r="K238" s="139"/>
      <c r="L238" s="140">
        <f>Mitigation_Industry!$F$713*L$221+Mitigation_Industry!$G$713*L$220</f>
        <v>0</v>
      </c>
      <c r="M238" s="140">
        <f>Mitigation_Industry!$F$713*M$221+Mitigation_Industry!$G$713*M$220</f>
        <v>0</v>
      </c>
      <c r="N238" s="140">
        <f>Mitigation_Industry!$F$713*N$221+Mitigation_Industry!$G$713*N$220</f>
        <v>0</v>
      </c>
      <c r="O238" s="140">
        <f>Mitigation_Industry!$F$713*O$221+Mitigation_Industry!$G$713*O$220</f>
        <v>0</v>
      </c>
      <c r="P238" s="140">
        <f>Mitigation_Industry!$F$713*P$221+Mitigation_Industry!$G$713*P$220</f>
        <v>0</v>
      </c>
      <c r="Q238" s="140">
        <f>Mitigation_Industry!$F$713*Q$221+Mitigation_Industry!$G$713*Q$220</f>
        <v>0</v>
      </c>
      <c r="R238" s="140">
        <f>Mitigation_Industry!$F$713*R$221+Mitigation_Industry!$G$713*R$220</f>
        <v>0</v>
      </c>
      <c r="S238" s="140">
        <f>Mitigation_Industry!$F$713*S$221+Mitigation_Industry!$G$713*S$220</f>
        <v>0</v>
      </c>
      <c r="T238" s="140">
        <f>Mitigation_Industry!$F$713*T$221+Mitigation_Industry!$G$713*T$220</f>
        <v>0</v>
      </c>
      <c r="U238" s="140">
        <f>Mitigation_Industry!$F$713*U$221+Mitigation_Industry!$G$713*U$220</f>
        <v>0</v>
      </c>
      <c r="V238" s="140">
        <f>Mitigation_Industry!$F$713*V$221+Mitigation_Industry!$G$713*V$220</f>
        <v>0</v>
      </c>
      <c r="W238" s="140">
        <f>Mitigation_Industry!$F$713*W$221+Mitigation_Industry!$G$713*W$220</f>
        <v>0</v>
      </c>
      <c r="X238" s="140">
        <f>Mitigation_Industry!$F$713*X$221+Mitigation_Industry!$G$713*X$220</f>
        <v>0</v>
      </c>
      <c r="Y238" s="140">
        <f>Mitigation_Industry!$F$713*Y$221+Mitigation_Industry!$G$713*Y$220</f>
        <v>0</v>
      </c>
      <c r="Z238" s="140">
        <f>Mitigation_Industry!$F$713*Z$221+Mitigation_Industry!$G$713*Z$220</f>
        <v>0</v>
      </c>
      <c r="AA238" s="140">
        <f>Mitigation_Industry!$F$713*AA$221+Mitigation_Industry!$G$713*AA$220</f>
        <v>0</v>
      </c>
      <c r="AB238" s="140">
        <f>Mitigation_Industry!$F$713*AB$221+Mitigation_Industry!$G$713*AB$220</f>
        <v>0</v>
      </c>
      <c r="AC238" s="140">
        <f>Mitigation_Industry!$F$713*AC$221+Mitigation_Industry!$G$713*AC$220</f>
        <v>0</v>
      </c>
      <c r="AD238" s="140">
        <f>Mitigation_Industry!$F$713*AD$221+Mitigation_Industry!$G$713*AD$220</f>
        <v>0</v>
      </c>
      <c r="AE238" s="140">
        <f>Mitigation_Industry!$F$713*AE$221+Mitigation_Industry!$G$713*AE$220</f>
        <v>0</v>
      </c>
      <c r="AF238" s="141"/>
      <c r="AG238" s="141"/>
      <c r="AH238" s="141"/>
      <c r="AI238" s="141"/>
    </row>
    <row r="239" spans="1:35" customFormat="1" ht="14.25" x14ac:dyDescent="0.45">
      <c r="B239" s="14" t="s">
        <v>2576</v>
      </c>
      <c r="C239" s="14" t="s">
        <v>117</v>
      </c>
      <c r="D239" s="15" t="s">
        <v>2577</v>
      </c>
      <c r="E239" s="16" t="s">
        <v>1398</v>
      </c>
      <c r="F239" s="14" t="s">
        <v>2564</v>
      </c>
      <c r="G239" s="17"/>
      <c r="H239" s="128" t="str">
        <f>Settings!$B$3&amp;".mit.pp.frt.ure.np.2"</f>
        <v>egy.mit.pp.frt.ure.np.2</v>
      </c>
      <c r="K239" s="139"/>
      <c r="L239" s="140">
        <f>Mitigation_Industry!$F$714*L$221+Mitigation_Industry!$G$714*L$220</f>
        <v>0</v>
      </c>
      <c r="M239" s="140">
        <f>Mitigation_Industry!$F$714*M$221+Mitigation_Industry!$G$714*M$220</f>
        <v>0</v>
      </c>
      <c r="N239" s="140">
        <f>Mitigation_Industry!$F$714*N$221+Mitigation_Industry!$G$714*N$220</f>
        <v>0</v>
      </c>
      <c r="O239" s="140">
        <f>Mitigation_Industry!$F$714*O$221+Mitigation_Industry!$G$714*O$220</f>
        <v>0</v>
      </c>
      <c r="P239" s="140">
        <f>Mitigation_Industry!$F$714*P$221+Mitigation_Industry!$G$714*P$220</f>
        <v>0</v>
      </c>
      <c r="Q239" s="140">
        <f>Mitigation_Industry!$F$714*Q$221+Mitigation_Industry!$G$714*Q$220</f>
        <v>0</v>
      </c>
      <c r="R239" s="140">
        <f>Mitigation_Industry!$F$714*R$221+Mitigation_Industry!$G$714*R$220</f>
        <v>0</v>
      </c>
      <c r="S239" s="140">
        <f>Mitigation_Industry!$F$714*S$221+Mitigation_Industry!$G$714*S$220</f>
        <v>0</v>
      </c>
      <c r="T239" s="140">
        <f>Mitigation_Industry!$F$714*T$221+Mitigation_Industry!$G$714*T$220</f>
        <v>0</v>
      </c>
      <c r="U239" s="140">
        <f>Mitigation_Industry!$F$714*U$221+Mitigation_Industry!$G$714*U$220</f>
        <v>0</v>
      </c>
      <c r="V239" s="140">
        <f>Mitigation_Industry!$F$714*V$221+Mitigation_Industry!$G$714*V$220</f>
        <v>0</v>
      </c>
      <c r="W239" s="140">
        <f>Mitigation_Industry!$F$714*W$221+Mitigation_Industry!$G$714*W$220</f>
        <v>0</v>
      </c>
      <c r="X239" s="140">
        <f>Mitigation_Industry!$F$714*X$221+Mitigation_Industry!$G$714*X$220</f>
        <v>0</v>
      </c>
      <c r="Y239" s="140">
        <f>Mitigation_Industry!$F$714*Y$221+Mitigation_Industry!$G$714*Y$220</f>
        <v>0</v>
      </c>
      <c r="Z239" s="140">
        <f>Mitigation_Industry!$F$714*Z$221+Mitigation_Industry!$G$714*Z$220</f>
        <v>0</v>
      </c>
      <c r="AA239" s="140">
        <f>Mitigation_Industry!$F$714*AA$221+Mitigation_Industry!$G$714*AA$220</f>
        <v>0</v>
      </c>
      <c r="AB239" s="140">
        <f>Mitigation_Industry!$F$714*AB$221+Mitigation_Industry!$G$714*AB$220</f>
        <v>0</v>
      </c>
      <c r="AC239" s="140">
        <f>Mitigation_Industry!$F$714*AC$221+Mitigation_Industry!$G$714*AC$220</f>
        <v>0</v>
      </c>
      <c r="AD239" s="140">
        <f>Mitigation_Industry!$F$714*AD$221+Mitigation_Industry!$G$714*AD$220</f>
        <v>0</v>
      </c>
      <c r="AE239" s="140">
        <f>Mitigation_Industry!$F$714*AE$221+Mitigation_Industry!$G$714*AE$220</f>
        <v>0</v>
      </c>
      <c r="AF239" s="141"/>
      <c r="AG239" s="141"/>
      <c r="AH239" s="141"/>
      <c r="AI239" s="141"/>
    </row>
    <row r="240" spans="1:35" customFormat="1" ht="14.25" x14ac:dyDescent="0.45">
      <c r="B240" s="14" t="s">
        <v>2578</v>
      </c>
      <c r="C240" s="14" t="s">
        <v>117</v>
      </c>
      <c r="D240" s="15" t="s">
        <v>2579</v>
      </c>
      <c r="E240" s="16" t="s">
        <v>1398</v>
      </c>
      <c r="F240" s="14" t="s">
        <v>2564</v>
      </c>
      <c r="G240" s="17"/>
      <c r="H240" s="128" t="str">
        <f>Settings!$B$3&amp;".mit.pp.frt.nit.np.2"</f>
        <v>egy.mit.pp.frt.nit.np.2</v>
      </c>
      <c r="K240" s="139"/>
      <c r="L240" s="140">
        <f>Mitigation_Industry!$F$715*L$221+Mitigation_Industry!$G$715*L$220</f>
        <v>0</v>
      </c>
      <c r="M240" s="140">
        <f>Mitigation_Industry!$F$715*M$221+Mitigation_Industry!$G$715*M$220</f>
        <v>0</v>
      </c>
      <c r="N240" s="140">
        <f>Mitigation_Industry!$F$715*N$221+Mitigation_Industry!$G$715*N$220</f>
        <v>0</v>
      </c>
      <c r="O240" s="140">
        <f>Mitigation_Industry!$F$715*O$221+Mitigation_Industry!$G$715*O$220</f>
        <v>0</v>
      </c>
      <c r="P240" s="140">
        <f>Mitigation_Industry!$F$715*P$221+Mitigation_Industry!$G$715*P$220</f>
        <v>0</v>
      </c>
      <c r="Q240" s="140">
        <f>Mitigation_Industry!$F$715*Q$221+Mitigation_Industry!$G$715*Q$220</f>
        <v>0</v>
      </c>
      <c r="R240" s="140">
        <f>Mitigation_Industry!$F$715*R$221+Mitigation_Industry!$G$715*R$220</f>
        <v>0</v>
      </c>
      <c r="S240" s="140">
        <f>Mitigation_Industry!$F$715*S$221+Mitigation_Industry!$G$715*S$220</f>
        <v>0</v>
      </c>
      <c r="T240" s="140">
        <f>Mitigation_Industry!$F$715*T$221+Mitigation_Industry!$G$715*T$220</f>
        <v>0</v>
      </c>
      <c r="U240" s="140">
        <f>Mitigation_Industry!$F$715*U$221+Mitigation_Industry!$G$715*U$220</f>
        <v>0</v>
      </c>
      <c r="V240" s="140">
        <f>Mitigation_Industry!$F$715*V$221+Mitigation_Industry!$G$715*V$220</f>
        <v>0</v>
      </c>
      <c r="W240" s="140">
        <f>Mitigation_Industry!$F$715*W$221+Mitigation_Industry!$G$715*W$220</f>
        <v>0</v>
      </c>
      <c r="X240" s="140">
        <f>Mitigation_Industry!$F$715*X$221+Mitigation_Industry!$G$715*X$220</f>
        <v>0</v>
      </c>
      <c r="Y240" s="140">
        <f>Mitigation_Industry!$F$715*Y$221+Mitigation_Industry!$G$715*Y$220</f>
        <v>0</v>
      </c>
      <c r="Z240" s="140">
        <f>Mitigation_Industry!$F$715*Z$221+Mitigation_Industry!$G$715*Z$220</f>
        <v>0</v>
      </c>
      <c r="AA240" s="140">
        <f>Mitigation_Industry!$F$715*AA$221+Mitigation_Industry!$G$715*AA$220</f>
        <v>0</v>
      </c>
      <c r="AB240" s="140">
        <f>Mitigation_Industry!$F$715*AB$221+Mitigation_Industry!$G$715*AB$220</f>
        <v>0</v>
      </c>
      <c r="AC240" s="140">
        <f>Mitigation_Industry!$F$715*AC$221+Mitigation_Industry!$G$715*AC$220</f>
        <v>0</v>
      </c>
      <c r="AD240" s="140">
        <f>Mitigation_Industry!$F$715*AD$221+Mitigation_Industry!$G$715*AD$220</f>
        <v>0</v>
      </c>
      <c r="AE240" s="140">
        <f>Mitigation_Industry!$F$715*AE$221+Mitigation_Industry!$G$715*AE$220</f>
        <v>0</v>
      </c>
      <c r="AF240" s="141"/>
      <c r="AG240" s="141"/>
      <c r="AH240" s="141"/>
      <c r="AI240" s="141"/>
    </row>
    <row r="241" spans="1:35" customFormat="1" ht="14.25" x14ac:dyDescent="0.45">
      <c r="B241" s="14" t="s">
        <v>2580</v>
      </c>
      <c r="C241" s="14" t="s">
        <v>115</v>
      </c>
      <c r="D241" s="15" t="s">
        <v>2581</v>
      </c>
      <c r="E241" s="16" t="s">
        <v>1398</v>
      </c>
      <c r="F241" s="14" t="s">
        <v>2564</v>
      </c>
      <c r="G241" s="17"/>
      <c r="H241" s="128" t="str">
        <f>Settings!$B$3&amp;".mit.pp.alu.prp.np.2"</f>
        <v>egy.mit.pp.alu.prp.np.2</v>
      </c>
      <c r="K241" s="139"/>
      <c r="L241" s="140">
        <f>Mitigation_Industry!$F$716*L$221+Mitigation_Industry!$G$716*L$220</f>
        <v>0</v>
      </c>
      <c r="M241" s="140">
        <f>Mitigation_Industry!$F$716*M$221+Mitigation_Industry!$G$716*M$220</f>
        <v>0</v>
      </c>
      <c r="N241" s="140">
        <f>Mitigation_Industry!$F$716*N$221+Mitigation_Industry!$G$716*N$220</f>
        <v>0</v>
      </c>
      <c r="O241" s="140">
        <f>Mitigation_Industry!$F$716*O$221+Mitigation_Industry!$G$716*O$220</f>
        <v>0</v>
      </c>
      <c r="P241" s="140">
        <f>Mitigation_Industry!$F$716*P$221+Mitigation_Industry!$G$716*P$220</f>
        <v>0</v>
      </c>
      <c r="Q241" s="140">
        <f>Mitigation_Industry!$F$716*Q$221+Mitigation_Industry!$G$716*Q$220</f>
        <v>0</v>
      </c>
      <c r="R241" s="140">
        <f>Mitigation_Industry!$F$716*R$221+Mitigation_Industry!$G$716*R$220</f>
        <v>0</v>
      </c>
      <c r="S241" s="140">
        <f>Mitigation_Industry!$F$716*S$221+Mitigation_Industry!$G$716*S$220</f>
        <v>0</v>
      </c>
      <c r="T241" s="140">
        <f>Mitigation_Industry!$F$716*T$221+Mitigation_Industry!$G$716*T$220</f>
        <v>0</v>
      </c>
      <c r="U241" s="140">
        <f>Mitigation_Industry!$F$716*U$221+Mitigation_Industry!$G$716*U$220</f>
        <v>0</v>
      </c>
      <c r="V241" s="140">
        <f>Mitigation_Industry!$F$716*V$221+Mitigation_Industry!$G$716*V$220</f>
        <v>0</v>
      </c>
      <c r="W241" s="140">
        <f>Mitigation_Industry!$F$716*W$221+Mitigation_Industry!$G$716*W$220</f>
        <v>0</v>
      </c>
      <c r="X241" s="140">
        <f>Mitigation_Industry!$F$716*X$221+Mitigation_Industry!$G$716*X$220</f>
        <v>0</v>
      </c>
      <c r="Y241" s="140">
        <f>Mitigation_Industry!$F$716*Y$221+Mitigation_Industry!$G$716*Y$220</f>
        <v>0</v>
      </c>
      <c r="Z241" s="140">
        <f>Mitigation_Industry!$F$716*Z$221+Mitigation_Industry!$G$716*Z$220</f>
        <v>0</v>
      </c>
      <c r="AA241" s="140">
        <f>Mitigation_Industry!$F$716*AA$221+Mitigation_Industry!$G$716*AA$220</f>
        <v>0</v>
      </c>
      <c r="AB241" s="140">
        <f>Mitigation_Industry!$F$716*AB$221+Mitigation_Industry!$G$716*AB$220</f>
        <v>0</v>
      </c>
      <c r="AC241" s="140">
        <f>Mitigation_Industry!$F$716*AC$221+Mitigation_Industry!$G$716*AC$220</f>
        <v>0</v>
      </c>
      <c r="AD241" s="140">
        <f>Mitigation_Industry!$F$716*AD$221+Mitigation_Industry!$G$716*AD$220</f>
        <v>0</v>
      </c>
      <c r="AE241" s="140">
        <f>Mitigation_Industry!$F$716*AE$221+Mitigation_Industry!$G$716*AE$220</f>
        <v>0</v>
      </c>
      <c r="AF241" s="141"/>
      <c r="AG241" s="141"/>
      <c r="AH241" s="141"/>
      <c r="AI241" s="141"/>
    </row>
    <row r="242" spans="1:35" customFormat="1" ht="14.25" x14ac:dyDescent="0.45">
      <c r="B242" s="14" t="s">
        <v>2582</v>
      </c>
      <c r="C242" s="14" t="s">
        <v>43</v>
      </c>
      <c r="D242" s="15" t="s">
        <v>2583</v>
      </c>
      <c r="E242" s="16" t="s">
        <v>1398</v>
      </c>
      <c r="F242" s="14" t="s">
        <v>2564</v>
      </c>
      <c r="G242" s="17"/>
      <c r="H242" s="128" t="str">
        <f>Settings!$B$3&amp;".mit.pp.stl.drg.no.2"</f>
        <v>egy.mit.pp.stl.drg.no.2</v>
      </c>
      <c r="K242" s="139"/>
      <c r="L242" s="140">
        <f>Mitigation_Industry!$F$709*L$221+Mitigation_Industry!$G$709*L$220</f>
        <v>0</v>
      </c>
      <c r="M242" s="140">
        <f>Mitigation_Industry!$F$709*M$221+Mitigation_Industry!$G$709*M$220</f>
        <v>0</v>
      </c>
      <c r="N242" s="140">
        <f>Mitigation_Industry!$F$709*N$221+Mitigation_Industry!$G$709*N$220</f>
        <v>0</v>
      </c>
      <c r="O242" s="140">
        <f>Mitigation_Industry!$F$709*O$221+Mitigation_Industry!$G$709*O$220</f>
        <v>0</v>
      </c>
      <c r="P242" s="140">
        <f>Mitigation_Industry!$F$709*P$221+Mitigation_Industry!$G$709*P$220</f>
        <v>0</v>
      </c>
      <c r="Q242" s="140">
        <f>Mitigation_Industry!$F$709*Q$221+Mitigation_Industry!$G$709*Q$220</f>
        <v>0</v>
      </c>
      <c r="R242" s="140">
        <f>Mitigation_Industry!$F$709*R$221+Mitigation_Industry!$G$709*R$220</f>
        <v>0</v>
      </c>
      <c r="S242" s="140">
        <f>Mitigation_Industry!$F$709*S$221+Mitigation_Industry!$G$709*S$220</f>
        <v>0</v>
      </c>
      <c r="T242" s="140">
        <f>Mitigation_Industry!$F$709*T$221+Mitigation_Industry!$G$709*T$220</f>
        <v>0</v>
      </c>
      <c r="U242" s="140">
        <f>Mitigation_Industry!$F$709*U$221+Mitigation_Industry!$G$709*U$220</f>
        <v>0</v>
      </c>
      <c r="V242" s="140">
        <f>Mitigation_Industry!$F$709*V$221+Mitigation_Industry!$G$709*V$220</f>
        <v>0</v>
      </c>
      <c r="W242" s="140">
        <f>Mitigation_Industry!$F$709*W$221+Mitigation_Industry!$G$709*W$220</f>
        <v>0</v>
      </c>
      <c r="X242" s="140">
        <f>Mitigation_Industry!$F$709*X$221+Mitigation_Industry!$G$709*X$220</f>
        <v>0</v>
      </c>
      <c r="Y242" s="140">
        <f>Mitigation_Industry!$F$709*Y$221+Mitigation_Industry!$G$709*Y$220</f>
        <v>0</v>
      </c>
      <c r="Z242" s="140">
        <f>Mitigation_Industry!$F$709*Z$221+Mitigation_Industry!$G$709*Z$220</f>
        <v>0</v>
      </c>
      <c r="AA242" s="140">
        <f>Mitigation_Industry!$F$709*AA$221+Mitigation_Industry!$G$709*AA$220</f>
        <v>0</v>
      </c>
      <c r="AB242" s="140">
        <f>Mitigation_Industry!$F$709*AB$221+Mitigation_Industry!$G$709*AB$220</f>
        <v>0</v>
      </c>
      <c r="AC242" s="140">
        <f>Mitigation_Industry!$F$709*AC$221+Mitigation_Industry!$G$709*AC$220</f>
        <v>0</v>
      </c>
      <c r="AD242" s="140">
        <f>Mitigation_Industry!$F$709*AD$221+Mitigation_Industry!$G$709*AD$220</f>
        <v>0</v>
      </c>
      <c r="AE242" s="140">
        <f>Mitigation_Industry!$F$709*AE$221+Mitigation_Industry!$G$709*AE$220</f>
        <v>0</v>
      </c>
      <c r="AF242" s="141"/>
      <c r="AG242" s="141"/>
      <c r="AH242" s="141"/>
      <c r="AI242" s="141"/>
    </row>
    <row r="243" spans="1:35" customFormat="1" ht="14.25" x14ac:dyDescent="0.45">
      <c r="B243" s="14" t="s">
        <v>2584</v>
      </c>
      <c r="C243" s="14" t="s">
        <v>43</v>
      </c>
      <c r="D243" s="15" t="s">
        <v>2585</v>
      </c>
      <c r="E243" s="16" t="s">
        <v>1398</v>
      </c>
      <c r="F243" s="14" t="s">
        <v>2564</v>
      </c>
      <c r="G243" s="17"/>
      <c r="H243" s="128" t="str">
        <f>Settings!$B$3&amp;".mit.pp.stl.scr.no.2"</f>
        <v>egy.mit.pp.stl.scr.no.2</v>
      </c>
      <c r="K243" s="139"/>
      <c r="L243" s="140">
        <f>Mitigation_Industry!$F$710*L$221+Mitigation_Industry!$G$710*L$220</f>
        <v>0</v>
      </c>
      <c r="M243" s="140">
        <f>Mitigation_Industry!$F$710*M$221+Mitigation_Industry!$G$710*M$220</f>
        <v>0</v>
      </c>
      <c r="N243" s="140">
        <f>Mitigation_Industry!$F$710*N$221+Mitigation_Industry!$G$710*N$220</f>
        <v>0</v>
      </c>
      <c r="O243" s="140">
        <f>Mitigation_Industry!$F$710*O$221+Mitigation_Industry!$G$710*O$220</f>
        <v>0</v>
      </c>
      <c r="P243" s="140">
        <f>Mitigation_Industry!$F$710*P$221+Mitigation_Industry!$G$710*P$220</f>
        <v>0</v>
      </c>
      <c r="Q243" s="140">
        <f>Mitigation_Industry!$F$710*Q$221+Mitigation_Industry!$G$710*Q$220</f>
        <v>0</v>
      </c>
      <c r="R243" s="140">
        <f>Mitigation_Industry!$F$710*R$221+Mitigation_Industry!$G$710*R$220</f>
        <v>0</v>
      </c>
      <c r="S243" s="140">
        <f>Mitigation_Industry!$F$710*S$221+Mitigation_Industry!$G$710*S$220</f>
        <v>0</v>
      </c>
      <c r="T243" s="140">
        <f>Mitigation_Industry!$F$710*T$221+Mitigation_Industry!$G$710*T$220</f>
        <v>0</v>
      </c>
      <c r="U243" s="140">
        <f>Mitigation_Industry!$F$710*U$221+Mitigation_Industry!$G$710*U$220</f>
        <v>0</v>
      </c>
      <c r="V243" s="140">
        <f>Mitigation_Industry!$F$710*V$221+Mitigation_Industry!$G$710*V$220</f>
        <v>0</v>
      </c>
      <c r="W243" s="140">
        <f>Mitigation_Industry!$F$710*W$221+Mitigation_Industry!$G$710*W$220</f>
        <v>0</v>
      </c>
      <c r="X243" s="140">
        <f>Mitigation_Industry!$F$710*X$221+Mitigation_Industry!$G$710*X$220</f>
        <v>0</v>
      </c>
      <c r="Y243" s="140">
        <f>Mitigation_Industry!$F$710*Y$221+Mitigation_Industry!$G$710*Y$220</f>
        <v>0</v>
      </c>
      <c r="Z243" s="140">
        <f>Mitigation_Industry!$F$710*Z$221+Mitigation_Industry!$G$710*Z$220</f>
        <v>0</v>
      </c>
      <c r="AA243" s="140">
        <f>Mitigation_Industry!$F$710*AA$221+Mitigation_Industry!$G$710*AA$220</f>
        <v>0</v>
      </c>
      <c r="AB243" s="140">
        <f>Mitigation_Industry!$F$710*AB$221+Mitigation_Industry!$G$710*AB$220</f>
        <v>0</v>
      </c>
      <c r="AC243" s="140">
        <f>Mitigation_Industry!$F$710*AC$221+Mitigation_Industry!$G$710*AC$220</f>
        <v>0</v>
      </c>
      <c r="AD243" s="140">
        <f>Mitigation_Industry!$F$710*AD$221+Mitigation_Industry!$G$710*AD$220</f>
        <v>0</v>
      </c>
      <c r="AE243" s="140">
        <f>Mitigation_Industry!$F$710*AE$221+Mitigation_Industry!$G$710*AE$220</f>
        <v>0</v>
      </c>
      <c r="AF243" s="141"/>
      <c r="AG243" s="141"/>
      <c r="AH243" s="141"/>
      <c r="AI243" s="141"/>
    </row>
    <row r="244" spans="1:35" customFormat="1" ht="14.25" x14ac:dyDescent="0.45">
      <c r="B244" s="14" t="s">
        <v>2586</v>
      </c>
      <c r="C244" s="14" t="s">
        <v>43</v>
      </c>
      <c r="D244" s="15" t="s">
        <v>2587</v>
      </c>
      <c r="E244" s="16" t="s">
        <v>1398</v>
      </c>
      <c r="F244" s="14" t="s">
        <v>2564</v>
      </c>
      <c r="G244" s="17"/>
      <c r="H244" s="128" t="str">
        <f>Settings!$B$3&amp;".mit.pp.stl.bof.no.2"</f>
        <v>egy.mit.pp.stl.bof.no.2</v>
      </c>
      <c r="K244" s="139"/>
      <c r="L244" s="140">
        <f>Mitigation_Industry!$F$711*L$221+Mitigation_Industry!$G$711*L$220</f>
        <v>0</v>
      </c>
      <c r="M244" s="140">
        <f>Mitigation_Industry!$F$711*M$221+Mitigation_Industry!$G$711*M$220</f>
        <v>0</v>
      </c>
      <c r="N244" s="140">
        <f>Mitigation_Industry!$F$711*N$221+Mitigation_Industry!$G$711*N$220</f>
        <v>0</v>
      </c>
      <c r="O244" s="140">
        <f>Mitigation_Industry!$F$711*O$221+Mitigation_Industry!$G$711*O$220</f>
        <v>0</v>
      </c>
      <c r="P244" s="140">
        <f>Mitigation_Industry!$F$711*P$221+Mitigation_Industry!$G$711*P$220</f>
        <v>0</v>
      </c>
      <c r="Q244" s="140">
        <f>Mitigation_Industry!$F$711*Q$221+Mitigation_Industry!$G$711*Q$220</f>
        <v>0</v>
      </c>
      <c r="R244" s="140">
        <f>Mitigation_Industry!$F$711*R$221+Mitigation_Industry!$G$711*R$220</f>
        <v>0</v>
      </c>
      <c r="S244" s="140">
        <f>Mitigation_Industry!$F$711*S$221+Mitigation_Industry!$G$711*S$220</f>
        <v>0</v>
      </c>
      <c r="T244" s="140">
        <f>Mitigation_Industry!$F$711*T$221+Mitigation_Industry!$G$711*T$220</f>
        <v>0</v>
      </c>
      <c r="U244" s="140">
        <f>Mitigation_Industry!$F$711*U$221+Mitigation_Industry!$G$711*U$220</f>
        <v>0</v>
      </c>
      <c r="V244" s="140">
        <f>Mitigation_Industry!$F$711*V$221+Mitigation_Industry!$G$711*V$220</f>
        <v>0</v>
      </c>
      <c r="W244" s="140">
        <f>Mitigation_Industry!$F$711*W$221+Mitigation_Industry!$G$711*W$220</f>
        <v>0</v>
      </c>
      <c r="X244" s="140">
        <f>Mitigation_Industry!$F$711*X$221+Mitigation_Industry!$G$711*X$220</f>
        <v>0</v>
      </c>
      <c r="Y244" s="140">
        <f>Mitigation_Industry!$F$711*Y$221+Mitigation_Industry!$G$711*Y$220</f>
        <v>0</v>
      </c>
      <c r="Z244" s="140">
        <f>Mitigation_Industry!$F$711*Z$221+Mitigation_Industry!$G$711*Z$220</f>
        <v>0</v>
      </c>
      <c r="AA244" s="140">
        <f>Mitigation_Industry!$F$711*AA$221+Mitigation_Industry!$G$711*AA$220</f>
        <v>0</v>
      </c>
      <c r="AB244" s="140">
        <f>Mitigation_Industry!$F$711*AB$221+Mitigation_Industry!$G$711*AB$220</f>
        <v>0</v>
      </c>
      <c r="AC244" s="140">
        <f>Mitigation_Industry!$F$711*AC$221+Mitigation_Industry!$G$711*AC$220</f>
        <v>0</v>
      </c>
      <c r="AD244" s="140">
        <f>Mitigation_Industry!$F$711*AD$221+Mitigation_Industry!$G$711*AD$220</f>
        <v>0</v>
      </c>
      <c r="AE244" s="140">
        <f>Mitigation_Industry!$F$711*AE$221+Mitigation_Industry!$G$711*AE$220</f>
        <v>0</v>
      </c>
      <c r="AF244" s="141"/>
      <c r="AG244" s="141"/>
      <c r="AH244" s="141"/>
      <c r="AI244" s="141"/>
    </row>
    <row r="245" spans="1:35" customFormat="1" ht="14.25" x14ac:dyDescent="0.45">
      <c r="B245" s="14" t="s">
        <v>2588</v>
      </c>
      <c r="C245" s="14" t="s">
        <v>113</v>
      </c>
      <c r="D245" s="15" t="s">
        <v>2589</v>
      </c>
      <c r="E245" s="16" t="s">
        <v>1398</v>
      </c>
      <c r="F245" s="14" t="s">
        <v>2564</v>
      </c>
      <c r="G245" s="17"/>
      <c r="H245" s="128" t="str">
        <f>Settings!$B$3&amp;".mit.pp.cmt.dry.no.2"</f>
        <v>egy.mit.pp.cmt.dry.no.2</v>
      </c>
      <c r="K245" s="139"/>
      <c r="L245" s="140">
        <f>Mitigation_Industry!$F$712*L$221+Mitigation_Industry!$G$712*L$220</f>
        <v>0</v>
      </c>
      <c r="M245" s="140">
        <f>Mitigation_Industry!$F$712*M$221+Mitigation_Industry!$G$712*M$220</f>
        <v>0</v>
      </c>
      <c r="N245" s="140">
        <f>Mitigation_Industry!$F$712*N$221+Mitigation_Industry!$G$712*N$220</f>
        <v>0</v>
      </c>
      <c r="O245" s="140">
        <f>Mitigation_Industry!$F$712*O$221+Mitigation_Industry!$G$712*O$220</f>
        <v>0</v>
      </c>
      <c r="P245" s="140">
        <f>Mitigation_Industry!$F$712*P$221+Mitigation_Industry!$G$712*P$220</f>
        <v>0</v>
      </c>
      <c r="Q245" s="140">
        <f>Mitigation_Industry!$F$712*Q$221+Mitigation_Industry!$G$712*Q$220</f>
        <v>0</v>
      </c>
      <c r="R245" s="140">
        <f>Mitigation_Industry!$F$712*R$221+Mitigation_Industry!$G$712*R$220</f>
        <v>0</v>
      </c>
      <c r="S245" s="140">
        <f>Mitigation_Industry!$F$712*S$221+Mitigation_Industry!$G$712*S$220</f>
        <v>0</v>
      </c>
      <c r="T245" s="140">
        <f>Mitigation_Industry!$F$712*T$221+Mitigation_Industry!$G$712*T$220</f>
        <v>0</v>
      </c>
      <c r="U245" s="140">
        <f>Mitigation_Industry!$F$712*U$221+Mitigation_Industry!$G$712*U$220</f>
        <v>0</v>
      </c>
      <c r="V245" s="140">
        <f>Mitigation_Industry!$F$712*V$221+Mitigation_Industry!$G$712*V$220</f>
        <v>0</v>
      </c>
      <c r="W245" s="140">
        <f>Mitigation_Industry!$F$712*W$221+Mitigation_Industry!$G$712*W$220</f>
        <v>0</v>
      </c>
      <c r="X245" s="140">
        <f>Mitigation_Industry!$F$712*X$221+Mitigation_Industry!$G$712*X$220</f>
        <v>0</v>
      </c>
      <c r="Y245" s="140">
        <f>Mitigation_Industry!$F$712*Y$221+Mitigation_Industry!$G$712*Y$220</f>
        <v>0</v>
      </c>
      <c r="Z245" s="140">
        <f>Mitigation_Industry!$F$712*Z$221+Mitigation_Industry!$G$712*Z$220</f>
        <v>0</v>
      </c>
      <c r="AA245" s="140">
        <f>Mitigation_Industry!$F$712*AA$221+Mitigation_Industry!$G$712*AA$220</f>
        <v>0</v>
      </c>
      <c r="AB245" s="140">
        <f>Mitigation_Industry!$F$712*AB$221+Mitigation_Industry!$G$712*AB$220</f>
        <v>0</v>
      </c>
      <c r="AC245" s="140">
        <f>Mitigation_Industry!$F$712*AC$221+Mitigation_Industry!$G$712*AC$220</f>
        <v>0</v>
      </c>
      <c r="AD245" s="140">
        <f>Mitigation_Industry!$F$712*AD$221+Mitigation_Industry!$G$712*AD$220</f>
        <v>0</v>
      </c>
      <c r="AE245" s="140">
        <f>Mitigation_Industry!$F$712*AE$221+Mitigation_Industry!$G$712*AE$220</f>
        <v>0</v>
      </c>
      <c r="AF245" s="141"/>
      <c r="AG245" s="141"/>
      <c r="AH245" s="141"/>
      <c r="AI245" s="141"/>
    </row>
    <row r="246" spans="1:35" customFormat="1" ht="14.25" x14ac:dyDescent="0.45">
      <c r="B246" s="14" t="s">
        <v>2590</v>
      </c>
      <c r="C246" s="14" t="s">
        <v>117</v>
      </c>
      <c r="D246" s="15" t="s">
        <v>2591</v>
      </c>
      <c r="E246" s="16" t="s">
        <v>1398</v>
      </c>
      <c r="F246" s="14" t="s">
        <v>2564</v>
      </c>
      <c r="G246" s="17"/>
      <c r="H246" s="128" t="str">
        <f>Settings!$B$3&amp;".mit.pp.frt.amc.no.2"</f>
        <v>egy.mit.pp.frt.amc.no.2</v>
      </c>
      <c r="K246" s="139"/>
      <c r="L246" s="140">
        <f>Mitigation_Industry!$F$713*L$221+Mitigation_Industry!$G$713*L$220</f>
        <v>0</v>
      </c>
      <c r="M246" s="140">
        <f>Mitigation_Industry!$F$713*M$221+Mitigation_Industry!$G$713*M$220</f>
        <v>0</v>
      </c>
      <c r="N246" s="140">
        <f>Mitigation_Industry!$F$713*N$221+Mitigation_Industry!$G$713*N$220</f>
        <v>0</v>
      </c>
      <c r="O246" s="140">
        <f>Mitigation_Industry!$F$713*O$221+Mitigation_Industry!$G$713*O$220</f>
        <v>0</v>
      </c>
      <c r="P246" s="140">
        <f>Mitigation_Industry!$F$713*P$221+Mitigation_Industry!$G$713*P$220</f>
        <v>0</v>
      </c>
      <c r="Q246" s="140">
        <f>Mitigation_Industry!$F$713*Q$221+Mitigation_Industry!$G$713*Q$220</f>
        <v>0</v>
      </c>
      <c r="R246" s="140">
        <f>Mitigation_Industry!$F$713*R$221+Mitigation_Industry!$G$713*R$220</f>
        <v>0</v>
      </c>
      <c r="S246" s="140">
        <f>Mitigation_Industry!$F$713*S$221+Mitigation_Industry!$G$713*S$220</f>
        <v>0</v>
      </c>
      <c r="T246" s="140">
        <f>Mitigation_Industry!$F$713*T$221+Mitigation_Industry!$G$713*T$220</f>
        <v>0</v>
      </c>
      <c r="U246" s="140">
        <f>Mitigation_Industry!$F$713*U$221+Mitigation_Industry!$G$713*U$220</f>
        <v>0</v>
      </c>
      <c r="V246" s="140">
        <f>Mitigation_Industry!$F$713*V$221+Mitigation_Industry!$G$713*V$220</f>
        <v>0</v>
      </c>
      <c r="W246" s="140">
        <f>Mitigation_Industry!$F$713*W$221+Mitigation_Industry!$G$713*W$220</f>
        <v>0</v>
      </c>
      <c r="X246" s="140">
        <f>Mitigation_Industry!$F$713*X$221+Mitigation_Industry!$G$713*X$220</f>
        <v>0</v>
      </c>
      <c r="Y246" s="140">
        <f>Mitigation_Industry!$F$713*Y$221+Mitigation_Industry!$G$713*Y$220</f>
        <v>0</v>
      </c>
      <c r="Z246" s="140">
        <f>Mitigation_Industry!$F$713*Z$221+Mitigation_Industry!$G$713*Z$220</f>
        <v>0</v>
      </c>
      <c r="AA246" s="140">
        <f>Mitigation_Industry!$F$713*AA$221+Mitigation_Industry!$G$713*AA$220</f>
        <v>0</v>
      </c>
      <c r="AB246" s="140">
        <f>Mitigation_Industry!$F$713*AB$221+Mitigation_Industry!$G$713*AB$220</f>
        <v>0</v>
      </c>
      <c r="AC246" s="140">
        <f>Mitigation_Industry!$F$713*AC$221+Mitigation_Industry!$G$713*AC$220</f>
        <v>0</v>
      </c>
      <c r="AD246" s="140">
        <f>Mitigation_Industry!$F$713*AD$221+Mitigation_Industry!$G$713*AD$220</f>
        <v>0</v>
      </c>
      <c r="AE246" s="140">
        <f>Mitigation_Industry!$F$713*AE$221+Mitigation_Industry!$G$713*AE$220</f>
        <v>0</v>
      </c>
      <c r="AF246" s="141"/>
      <c r="AG246" s="141"/>
      <c r="AH246" s="141"/>
      <c r="AI246" s="141"/>
    </row>
    <row r="247" spans="1:35" customFormat="1" ht="14.25" x14ac:dyDescent="0.45">
      <c r="B247" s="14" t="s">
        <v>2592</v>
      </c>
      <c r="C247" s="14" t="s">
        <v>117</v>
      </c>
      <c r="D247" s="15" t="s">
        <v>2593</v>
      </c>
      <c r="E247" s="16" t="s">
        <v>1398</v>
      </c>
      <c r="F247" s="14" t="s">
        <v>2564</v>
      </c>
      <c r="G247" s="17"/>
      <c r="H247" s="128" t="str">
        <f>Settings!$B$3&amp;".mit.pp.frt.ure.no.2"</f>
        <v>egy.mit.pp.frt.ure.no.2</v>
      </c>
      <c r="K247" s="139"/>
      <c r="L247" s="140">
        <f>Mitigation_Industry!$F$714*L$221+Mitigation_Industry!$G$714*L$220</f>
        <v>0</v>
      </c>
      <c r="M247" s="140">
        <f>Mitigation_Industry!$F$714*M$221+Mitigation_Industry!$G$714*M$220</f>
        <v>0</v>
      </c>
      <c r="N247" s="140">
        <f>Mitigation_Industry!$F$714*N$221+Mitigation_Industry!$G$714*N$220</f>
        <v>0</v>
      </c>
      <c r="O247" s="140">
        <f>Mitigation_Industry!$F$714*O$221+Mitigation_Industry!$G$714*O$220</f>
        <v>0</v>
      </c>
      <c r="P247" s="140">
        <f>Mitigation_Industry!$F$714*P$221+Mitigation_Industry!$G$714*P$220</f>
        <v>0</v>
      </c>
      <c r="Q247" s="140">
        <f>Mitigation_Industry!$F$714*Q$221+Mitigation_Industry!$G$714*Q$220</f>
        <v>0</v>
      </c>
      <c r="R247" s="140">
        <f>Mitigation_Industry!$F$714*R$221+Mitigation_Industry!$G$714*R$220</f>
        <v>0</v>
      </c>
      <c r="S247" s="140">
        <f>Mitigation_Industry!$F$714*S$221+Mitigation_Industry!$G$714*S$220</f>
        <v>0</v>
      </c>
      <c r="T247" s="140">
        <f>Mitigation_Industry!$F$714*T$221+Mitigation_Industry!$G$714*T$220</f>
        <v>0</v>
      </c>
      <c r="U247" s="140">
        <f>Mitigation_Industry!$F$714*U$221+Mitigation_Industry!$G$714*U$220</f>
        <v>0</v>
      </c>
      <c r="V247" s="140">
        <f>Mitigation_Industry!$F$714*V$221+Mitigation_Industry!$G$714*V$220</f>
        <v>0</v>
      </c>
      <c r="W247" s="140">
        <f>Mitigation_Industry!$F$714*W$221+Mitigation_Industry!$G$714*W$220</f>
        <v>0</v>
      </c>
      <c r="X247" s="140">
        <f>Mitigation_Industry!$F$714*X$221+Mitigation_Industry!$G$714*X$220</f>
        <v>0</v>
      </c>
      <c r="Y247" s="140">
        <f>Mitigation_Industry!$F$714*Y$221+Mitigation_Industry!$G$714*Y$220</f>
        <v>0</v>
      </c>
      <c r="Z247" s="140">
        <f>Mitigation_Industry!$F$714*Z$221+Mitigation_Industry!$G$714*Z$220</f>
        <v>0</v>
      </c>
      <c r="AA247" s="140">
        <f>Mitigation_Industry!$F$714*AA$221+Mitigation_Industry!$G$714*AA$220</f>
        <v>0</v>
      </c>
      <c r="AB247" s="140">
        <f>Mitigation_Industry!$F$714*AB$221+Mitigation_Industry!$G$714*AB$220</f>
        <v>0</v>
      </c>
      <c r="AC247" s="140">
        <f>Mitigation_Industry!$F$714*AC$221+Mitigation_Industry!$G$714*AC$220</f>
        <v>0</v>
      </c>
      <c r="AD247" s="140">
        <f>Mitigation_Industry!$F$714*AD$221+Mitigation_Industry!$G$714*AD$220</f>
        <v>0</v>
      </c>
      <c r="AE247" s="140">
        <f>Mitigation_Industry!$F$714*AE$221+Mitigation_Industry!$G$714*AE$220</f>
        <v>0</v>
      </c>
      <c r="AF247" s="141"/>
      <c r="AG247" s="141"/>
      <c r="AH247" s="141"/>
      <c r="AI247" s="141"/>
    </row>
    <row r="248" spans="1:35" customFormat="1" ht="14.25" x14ac:dyDescent="0.45">
      <c r="B248" s="14" t="s">
        <v>2594</v>
      </c>
      <c r="C248" s="14" t="s">
        <v>117</v>
      </c>
      <c r="D248" s="15" t="s">
        <v>2595</v>
      </c>
      <c r="E248" s="16" t="s">
        <v>1398</v>
      </c>
      <c r="F248" s="14" t="s">
        <v>2564</v>
      </c>
      <c r="G248" s="17"/>
      <c r="H248" s="128" t="str">
        <f>Settings!$B$3&amp;".mit.pp.frt.nit.no.2"</f>
        <v>egy.mit.pp.frt.nit.no.2</v>
      </c>
      <c r="K248" s="139"/>
      <c r="L248" s="140">
        <f>Mitigation_Industry!$F$715*L$221+Mitigation_Industry!$G$715*L$220</f>
        <v>0</v>
      </c>
      <c r="M248" s="140">
        <f>Mitigation_Industry!$F$715*M$221+Mitigation_Industry!$G$715*M$220</f>
        <v>0</v>
      </c>
      <c r="N248" s="140">
        <f>Mitigation_Industry!$F$715*N$221+Mitigation_Industry!$G$715*N$220</f>
        <v>0</v>
      </c>
      <c r="O248" s="140">
        <f>Mitigation_Industry!$F$715*O$221+Mitigation_Industry!$G$715*O$220</f>
        <v>0</v>
      </c>
      <c r="P248" s="140">
        <f>Mitigation_Industry!$F$715*P$221+Mitigation_Industry!$G$715*P$220</f>
        <v>0</v>
      </c>
      <c r="Q248" s="140">
        <f>Mitigation_Industry!$F$715*Q$221+Mitigation_Industry!$G$715*Q$220</f>
        <v>0</v>
      </c>
      <c r="R248" s="140">
        <f>Mitigation_Industry!$F$715*R$221+Mitigation_Industry!$G$715*R$220</f>
        <v>0</v>
      </c>
      <c r="S248" s="140">
        <f>Mitigation_Industry!$F$715*S$221+Mitigation_Industry!$G$715*S$220</f>
        <v>0</v>
      </c>
      <c r="T248" s="140">
        <f>Mitigation_Industry!$F$715*T$221+Mitigation_Industry!$G$715*T$220</f>
        <v>0</v>
      </c>
      <c r="U248" s="140">
        <f>Mitigation_Industry!$F$715*U$221+Mitigation_Industry!$G$715*U$220</f>
        <v>0</v>
      </c>
      <c r="V248" s="140">
        <f>Mitigation_Industry!$F$715*V$221+Mitigation_Industry!$G$715*V$220</f>
        <v>0</v>
      </c>
      <c r="W248" s="140">
        <f>Mitigation_Industry!$F$715*W$221+Mitigation_Industry!$G$715*W$220</f>
        <v>0</v>
      </c>
      <c r="X248" s="140">
        <f>Mitigation_Industry!$F$715*X$221+Mitigation_Industry!$G$715*X$220</f>
        <v>0</v>
      </c>
      <c r="Y248" s="140">
        <f>Mitigation_Industry!$F$715*Y$221+Mitigation_Industry!$G$715*Y$220</f>
        <v>0</v>
      </c>
      <c r="Z248" s="140">
        <f>Mitigation_Industry!$F$715*Z$221+Mitigation_Industry!$G$715*Z$220</f>
        <v>0</v>
      </c>
      <c r="AA248" s="140">
        <f>Mitigation_Industry!$F$715*AA$221+Mitigation_Industry!$G$715*AA$220</f>
        <v>0</v>
      </c>
      <c r="AB248" s="140">
        <f>Mitigation_Industry!$F$715*AB$221+Mitigation_Industry!$G$715*AB$220</f>
        <v>0</v>
      </c>
      <c r="AC248" s="140">
        <f>Mitigation_Industry!$F$715*AC$221+Mitigation_Industry!$G$715*AC$220</f>
        <v>0</v>
      </c>
      <c r="AD248" s="140">
        <f>Mitigation_Industry!$F$715*AD$221+Mitigation_Industry!$G$715*AD$220</f>
        <v>0</v>
      </c>
      <c r="AE248" s="140">
        <f>Mitigation_Industry!$F$715*AE$221+Mitigation_Industry!$G$715*AE$220</f>
        <v>0</v>
      </c>
      <c r="AF248" s="141"/>
      <c r="AG248" s="141"/>
      <c r="AH248" s="141"/>
      <c r="AI248" s="141"/>
    </row>
    <row r="249" spans="1:35" customFormat="1" ht="14.25" x14ac:dyDescent="0.45">
      <c r="B249" s="14" t="s">
        <v>2596</v>
      </c>
      <c r="C249" s="14" t="s">
        <v>115</v>
      </c>
      <c r="D249" s="15" t="s">
        <v>2597</v>
      </c>
      <c r="E249" s="16" t="s">
        <v>1398</v>
      </c>
      <c r="F249" s="14" t="s">
        <v>2564</v>
      </c>
      <c r="G249" s="17"/>
      <c r="H249" s="128" t="str">
        <f>Settings!$B$3&amp;".mit.pp.alu.prp.no.2"</f>
        <v>egy.mit.pp.alu.prp.no.2</v>
      </c>
      <c r="K249" s="139"/>
      <c r="L249" s="140">
        <f>Mitigation_Industry!$F$716*L$221+Mitigation_Industry!$G$716*L$220</f>
        <v>0</v>
      </c>
      <c r="M249" s="140">
        <f>Mitigation_Industry!$F$716*M$221+Mitigation_Industry!$G$716*M$220</f>
        <v>0</v>
      </c>
      <c r="N249" s="140">
        <f>Mitigation_Industry!$F$716*N$221+Mitigation_Industry!$G$716*N$220</f>
        <v>0</v>
      </c>
      <c r="O249" s="140">
        <f>Mitigation_Industry!$F$716*O$221+Mitigation_Industry!$G$716*O$220</f>
        <v>0</v>
      </c>
      <c r="P249" s="140">
        <f>Mitigation_Industry!$F$716*P$221+Mitigation_Industry!$G$716*P$220</f>
        <v>0</v>
      </c>
      <c r="Q249" s="140">
        <f>Mitigation_Industry!$F$716*Q$221+Mitigation_Industry!$G$716*Q$220</f>
        <v>0</v>
      </c>
      <c r="R249" s="140">
        <f>Mitigation_Industry!$F$716*R$221+Mitigation_Industry!$G$716*R$220</f>
        <v>0</v>
      </c>
      <c r="S249" s="140">
        <f>Mitigation_Industry!$F$716*S$221+Mitigation_Industry!$G$716*S$220</f>
        <v>0</v>
      </c>
      <c r="T249" s="140">
        <f>Mitigation_Industry!$F$716*T$221+Mitigation_Industry!$G$716*T$220</f>
        <v>0</v>
      </c>
      <c r="U249" s="140">
        <f>Mitigation_Industry!$F$716*U$221+Mitigation_Industry!$G$716*U$220</f>
        <v>0</v>
      </c>
      <c r="V249" s="140">
        <f>Mitigation_Industry!$F$716*V$221+Mitigation_Industry!$G$716*V$220</f>
        <v>0</v>
      </c>
      <c r="W249" s="140">
        <f>Mitigation_Industry!$F$716*W$221+Mitigation_Industry!$G$716*W$220</f>
        <v>0</v>
      </c>
      <c r="X249" s="140">
        <f>Mitigation_Industry!$F$716*X$221+Mitigation_Industry!$G$716*X$220</f>
        <v>0</v>
      </c>
      <c r="Y249" s="140">
        <f>Mitigation_Industry!$F$716*Y$221+Mitigation_Industry!$G$716*Y$220</f>
        <v>0</v>
      </c>
      <c r="Z249" s="140">
        <f>Mitigation_Industry!$F$716*Z$221+Mitigation_Industry!$G$716*Z$220</f>
        <v>0</v>
      </c>
      <c r="AA249" s="140">
        <f>Mitigation_Industry!$F$716*AA$221+Mitigation_Industry!$G$716*AA$220</f>
        <v>0</v>
      </c>
      <c r="AB249" s="140">
        <f>Mitigation_Industry!$F$716*AB$221+Mitigation_Industry!$G$716*AB$220</f>
        <v>0</v>
      </c>
      <c r="AC249" s="140">
        <f>Mitigation_Industry!$F$716*AC$221+Mitigation_Industry!$G$716*AC$220</f>
        <v>0</v>
      </c>
      <c r="AD249" s="140">
        <f>Mitigation_Industry!$F$716*AD$221+Mitigation_Industry!$G$716*AD$220</f>
        <v>0</v>
      </c>
      <c r="AE249" s="140">
        <f>Mitigation_Industry!$F$716*AE$221+Mitigation_Industry!$G$716*AE$220</f>
        <v>0</v>
      </c>
      <c r="AF249" s="141"/>
      <c r="AG249" s="141"/>
      <c r="AH249" s="141"/>
      <c r="AI249" s="141"/>
    </row>
    <row r="250" spans="1:35" x14ac:dyDescent="0.35"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  <c r="AH250" s="135"/>
      <c r="AI250" s="135"/>
    </row>
    <row r="251" spans="1:35" customFormat="1" ht="14.25" x14ac:dyDescent="0.45">
      <c r="A251" s="11"/>
      <c r="B251" s="6"/>
      <c r="C251" s="7" t="s">
        <v>2598</v>
      </c>
      <c r="D251" s="6" t="s">
        <v>1488</v>
      </c>
      <c r="E251" s="7" t="s">
        <v>35</v>
      </c>
      <c r="F251" s="7" t="s">
        <v>45</v>
      </c>
      <c r="G251" s="7" t="s">
        <v>37</v>
      </c>
      <c r="H251" s="12" t="s">
        <v>38</v>
      </c>
      <c r="I251" s="6" t="s">
        <v>39</v>
      </c>
      <c r="J251" s="48">
        <v>2</v>
      </c>
      <c r="K251" s="137">
        <v>2021</v>
      </c>
      <c r="L251" s="138">
        <v>2022</v>
      </c>
      <c r="M251" s="137">
        <v>2023</v>
      </c>
      <c r="N251" s="137">
        <v>2024</v>
      </c>
      <c r="O251" s="137">
        <v>2025</v>
      </c>
      <c r="P251" s="137">
        <v>2026</v>
      </c>
      <c r="Q251" s="137">
        <v>2027</v>
      </c>
      <c r="R251" s="137">
        <v>2028</v>
      </c>
      <c r="S251" s="137">
        <v>2029</v>
      </c>
      <c r="T251" s="137">
        <v>2030</v>
      </c>
      <c r="U251" s="137">
        <v>2031</v>
      </c>
      <c r="V251" s="137">
        <v>2032</v>
      </c>
      <c r="W251" s="137">
        <v>2033</v>
      </c>
      <c r="X251" s="137">
        <v>2034</v>
      </c>
      <c r="Y251" s="137">
        <v>2035</v>
      </c>
      <c r="Z251" s="137">
        <v>2036</v>
      </c>
      <c r="AA251" s="137">
        <v>2037</v>
      </c>
      <c r="AB251" s="137">
        <v>2038</v>
      </c>
      <c r="AC251" s="137">
        <v>2039</v>
      </c>
      <c r="AD251" s="137">
        <v>2040</v>
      </c>
      <c r="AE251" s="137">
        <v>2041</v>
      </c>
      <c r="AF251" s="137">
        <v>2042</v>
      </c>
      <c r="AG251" s="137">
        <v>2043</v>
      </c>
      <c r="AH251" s="137">
        <v>2044</v>
      </c>
      <c r="AI251" s="137">
        <v>2045</v>
      </c>
    </row>
    <row r="252" spans="1:35" customFormat="1" ht="14.25" x14ac:dyDescent="0.45">
      <c r="B252" s="14" t="s">
        <v>1435</v>
      </c>
      <c r="C252" s="14" t="s">
        <v>43</v>
      </c>
      <c r="D252" s="15" t="s">
        <v>2599</v>
      </c>
      <c r="E252" s="16" t="s">
        <v>2068</v>
      </c>
      <c r="F252" s="14" t="s">
        <v>2598</v>
      </c>
      <c r="G252" s="17"/>
      <c r="H252" s="128" t="str">
        <f>Settings!$B$3&amp;".mit.wf.stl.drg.2"</f>
        <v>egy.mit.wf.stl.drg.2</v>
      </c>
      <c r="I252" t="s">
        <v>2600</v>
      </c>
      <c r="K252" s="139"/>
      <c r="L252" s="140">
        <f>Mitigation_Industry!L$729</f>
        <v>2.6717650641872548</v>
      </c>
      <c r="M252" s="140">
        <f>Mitigation_Industry!M$729</f>
        <v>2.789322727011494</v>
      </c>
      <c r="N252" s="140">
        <f>Mitigation_Industry!N$729</f>
        <v>2.9120529269999995</v>
      </c>
      <c r="O252" s="140">
        <f>Mitigation_Industry!O$729</f>
        <v>3.0401832557880004</v>
      </c>
      <c r="P252" s="140">
        <f>Mitigation_Industry!P$729</f>
        <v>3.173951319042672</v>
      </c>
      <c r="Q252" s="140">
        <f>Mitigation_Industry!Q$729</f>
        <v>3.3136051770805501</v>
      </c>
      <c r="R252" s="140">
        <f>Mitigation_Industry!R$729</f>
        <v>3.4594038048720939</v>
      </c>
      <c r="S252" s="140">
        <f>Mitigation_Industry!S$729</f>
        <v>3.6116175722864661</v>
      </c>
      <c r="T252" s="140">
        <f>Mitigation_Industry!T$729</f>
        <v>3.7705287454670713</v>
      </c>
      <c r="U252" s="140">
        <f>Mitigation_Industry!U$729</f>
        <v>3.9364320102676222</v>
      </c>
      <c r="V252" s="140">
        <f>Mitigation_Industry!V$729</f>
        <v>4.1096350187193975</v>
      </c>
      <c r="W252" s="140">
        <f>Mitigation_Industry!W$729</f>
        <v>4.2904589595430505</v>
      </c>
      <c r="X252" s="140">
        <f>Mitigation_Industry!X$729</f>
        <v>4.4792391537629452</v>
      </c>
      <c r="Y252" s="140">
        <f>Mitigation_Industry!Y$729</f>
        <v>4.6763256765285162</v>
      </c>
      <c r="Z252" s="140">
        <f>Mitigation_Industry!Z$729</f>
        <v>4.8820840062957691</v>
      </c>
      <c r="AA252" s="140">
        <f>Mitigation_Industry!AA$729</f>
        <v>5.096895702572783</v>
      </c>
      <c r="AB252" s="140">
        <f>Mitigation_Industry!AB$729</f>
        <v>5.3211591134859875</v>
      </c>
      <c r="AC252" s="140">
        <f>Mitigation_Industry!AC$729</f>
        <v>5.5552901144793703</v>
      </c>
      <c r="AD252" s="140">
        <f>Mitigation_Industry!AD$729</f>
        <v>5.7997228795164624</v>
      </c>
      <c r="AE252" s="140">
        <f>Mitigation_Industry!AE$729</f>
        <v>6.0549106862151856</v>
      </c>
      <c r="AF252" s="141"/>
      <c r="AG252" s="141"/>
      <c r="AH252" s="141"/>
      <c r="AI252" s="141"/>
    </row>
    <row r="253" spans="1:35" customFormat="1" ht="14.25" x14ac:dyDescent="0.45">
      <c r="B253" s="14" t="s">
        <v>1438</v>
      </c>
      <c r="C253" s="14" t="s">
        <v>43</v>
      </c>
      <c r="D253" s="15" t="s">
        <v>2601</v>
      </c>
      <c r="E253" s="16" t="s">
        <v>2068</v>
      </c>
      <c r="F253" s="14" t="s">
        <v>2598</v>
      </c>
      <c r="G253" s="17"/>
      <c r="H253" s="128" t="str">
        <f>Settings!$B$3&amp;".mit.wf.stl.scr.2"</f>
        <v>egy.mit.wf.stl.scr.2</v>
      </c>
      <c r="K253" s="139"/>
      <c r="L253" s="140">
        <f>Mitigation_Industry!L$730</f>
        <v>0.19764830228563882</v>
      </c>
      <c r="M253" s="140">
        <f>Mitigation_Industry!M$730</f>
        <v>0.20634482758620692</v>
      </c>
      <c r="N253" s="140">
        <f>Mitigation_Industry!N$730</f>
        <v>0.215424</v>
      </c>
      <c r="O253" s="140">
        <f>Mitigation_Industry!O$730</f>
        <v>0.22490265600000001</v>
      </c>
      <c r="P253" s="140">
        <f>Mitigation_Industry!P$730</f>
        <v>0.23479837286400002</v>
      </c>
      <c r="Q253" s="140">
        <f>Mitigation_Industry!Q$730</f>
        <v>0.24512950127001604</v>
      </c>
      <c r="R253" s="140">
        <f>Mitigation_Industry!R$730</f>
        <v>0.25591519932589668</v>
      </c>
      <c r="S253" s="140">
        <f>Mitigation_Industry!S$730</f>
        <v>0.26717546809623621</v>
      </c>
      <c r="T253" s="140">
        <f>Mitigation_Industry!T$730</f>
        <v>0.27893118869247063</v>
      </c>
      <c r="U253" s="140">
        <f>Mitigation_Industry!U$730</f>
        <v>0.29120416099493934</v>
      </c>
      <c r="V253" s="140">
        <f>Mitigation_Industry!V$730</f>
        <v>0.30401714407871661</v>
      </c>
      <c r="W253" s="140">
        <f>Mitigation_Industry!W$730</f>
        <v>0.31739389841818022</v>
      </c>
      <c r="X253" s="140">
        <f>Mitigation_Industry!X$730</f>
        <v>0.33135922994858014</v>
      </c>
      <c r="Y253" s="140">
        <f>Mitigation_Industry!Y$730</f>
        <v>0.34593903606631771</v>
      </c>
      <c r="Z253" s="140">
        <f>Mitigation_Industry!Z$730</f>
        <v>0.36116035365323562</v>
      </c>
      <c r="AA253" s="140">
        <f>Mitigation_Industry!AA$730</f>
        <v>0.37705140921397801</v>
      </c>
      <c r="AB253" s="140">
        <f>Mitigation_Industry!AB$730</f>
        <v>0.39364167121939314</v>
      </c>
      <c r="AC253" s="140">
        <f>Mitigation_Industry!AC$730</f>
        <v>0.41096190475304639</v>
      </c>
      <c r="AD253" s="140">
        <f>Mitigation_Industry!AD$730</f>
        <v>0.42904422856218044</v>
      </c>
      <c r="AE253" s="140">
        <f>Mitigation_Industry!AE$730</f>
        <v>0.44792217461891631</v>
      </c>
      <c r="AF253" s="141"/>
      <c r="AG253" s="141"/>
      <c r="AH253" s="141"/>
      <c r="AI253" s="141"/>
    </row>
    <row r="254" spans="1:35" customFormat="1" ht="14.25" x14ac:dyDescent="0.45">
      <c r="B254" s="14" t="s">
        <v>1441</v>
      </c>
      <c r="C254" s="14" t="s">
        <v>43</v>
      </c>
      <c r="D254" s="15" t="s">
        <v>2602</v>
      </c>
      <c r="E254" s="16" t="s">
        <v>2068</v>
      </c>
      <c r="F254" s="14" t="s">
        <v>2598</v>
      </c>
      <c r="G254" s="17"/>
      <c r="H254" s="128" t="str">
        <f>Settings!$B$3&amp;".mit.wf.stl.bof.2"</f>
        <v>egy.mit.wf.stl.bof.2</v>
      </c>
      <c r="K254" s="139"/>
      <c r="L254" s="140">
        <f>Mitigation_Industry!L$731</f>
        <v>0</v>
      </c>
      <c r="M254" s="140">
        <f>Mitigation_Industry!M$731</f>
        <v>0</v>
      </c>
      <c r="N254" s="140">
        <f>Mitigation_Industry!N$731</f>
        <v>0</v>
      </c>
      <c r="O254" s="140">
        <f>Mitigation_Industry!O$731</f>
        <v>0</v>
      </c>
      <c r="P254" s="140">
        <f>Mitigation_Industry!P$731</f>
        <v>0</v>
      </c>
      <c r="Q254" s="140">
        <f>Mitigation_Industry!Q$731</f>
        <v>0</v>
      </c>
      <c r="R254" s="140">
        <f>Mitigation_Industry!R$731</f>
        <v>0</v>
      </c>
      <c r="S254" s="140">
        <f>Mitigation_Industry!S$731</f>
        <v>0</v>
      </c>
      <c r="T254" s="140">
        <f>Mitigation_Industry!T$731</f>
        <v>0</v>
      </c>
      <c r="U254" s="140">
        <f>Mitigation_Industry!U$731</f>
        <v>0</v>
      </c>
      <c r="V254" s="140">
        <f>Mitigation_Industry!V$731</f>
        <v>0</v>
      </c>
      <c r="W254" s="140">
        <f>Mitigation_Industry!W$731</f>
        <v>0</v>
      </c>
      <c r="X254" s="140">
        <f>Mitigation_Industry!X$731</f>
        <v>0</v>
      </c>
      <c r="Y254" s="140">
        <f>Mitigation_Industry!Y$731</f>
        <v>0</v>
      </c>
      <c r="Z254" s="140">
        <f>Mitigation_Industry!Z$731</f>
        <v>0</v>
      </c>
      <c r="AA254" s="140">
        <f>Mitigation_Industry!AA$731</f>
        <v>0</v>
      </c>
      <c r="AB254" s="140">
        <f>Mitigation_Industry!AB$731</f>
        <v>0</v>
      </c>
      <c r="AC254" s="140">
        <f>Mitigation_Industry!AC$731</f>
        <v>0</v>
      </c>
      <c r="AD254" s="140">
        <f>Mitigation_Industry!AD$731</f>
        <v>0</v>
      </c>
      <c r="AE254" s="140">
        <f>Mitigation_Industry!AE$731</f>
        <v>0</v>
      </c>
      <c r="AF254" s="141"/>
      <c r="AG254" s="141"/>
      <c r="AH254" s="141"/>
      <c r="AI254" s="141"/>
    </row>
    <row r="255" spans="1:35" customFormat="1" ht="14.25" x14ac:dyDescent="0.45">
      <c r="B255" s="14" t="s">
        <v>1444</v>
      </c>
      <c r="C255" s="14" t="s">
        <v>113</v>
      </c>
      <c r="D255" s="15" t="s">
        <v>2603</v>
      </c>
      <c r="E255" s="16" t="s">
        <v>2068</v>
      </c>
      <c r="F255" s="14" t="s">
        <v>2598</v>
      </c>
      <c r="G255" s="17"/>
      <c r="H255" s="128" t="str">
        <f>Settings!$B$3&amp;".mit.wf.cmt.dry.2"</f>
        <v>egy.mit.wf.cmt.dry.2</v>
      </c>
      <c r="K255" s="139"/>
      <c r="L255" s="140">
        <f>Mitigation_Industry!L$732</f>
        <v>14.692706044200628</v>
      </c>
      <c r="M255" s="140">
        <f>Mitigation_Industry!M$732</f>
        <v>15.177565343659246</v>
      </c>
      <c r="N255" s="140">
        <f>Mitigation_Industry!N$732</f>
        <v>15.678424999999999</v>
      </c>
      <c r="O255" s="140">
        <f>Mitigation_Industry!O$732</f>
        <v>16.195813024999996</v>
      </c>
      <c r="P255" s="140">
        <f>Mitigation_Industry!P$732</f>
        <v>16.730274854824994</v>
      </c>
      <c r="Q255" s="140">
        <f>Mitigation_Industry!Q$732</f>
        <v>17.282373925034218</v>
      </c>
      <c r="R255" s="140">
        <f>Mitigation_Industry!R$732</f>
        <v>17.852692264560343</v>
      </c>
      <c r="S255" s="140">
        <f>Mitigation_Industry!S$732</f>
        <v>18.441831109290838</v>
      </c>
      <c r="T255" s="140">
        <f>Mitigation_Industry!T$732</f>
        <v>19.050411535897432</v>
      </c>
      <c r="U255" s="140">
        <f>Mitigation_Industry!U$732</f>
        <v>19.679075116582045</v>
      </c>
      <c r="V255" s="140">
        <f>Mitigation_Industry!V$732</f>
        <v>20.328484595429249</v>
      </c>
      <c r="W255" s="140">
        <f>Mitigation_Industry!W$732</f>
        <v>20.999324587078412</v>
      </c>
      <c r="X255" s="140">
        <f>Mitigation_Industry!X$732</f>
        <v>21.692302298451992</v>
      </c>
      <c r="Y255" s="140">
        <f>Mitigation_Industry!Y$732</f>
        <v>22.40814827430091</v>
      </c>
      <c r="Z255" s="140">
        <f>Mitigation_Industry!Z$732</f>
        <v>23.147617167352838</v>
      </c>
      <c r="AA255" s="140">
        <f>Mitigation_Industry!AA$732</f>
        <v>23.911488533875481</v>
      </c>
      <c r="AB255" s="140">
        <f>Mitigation_Industry!AB$732</f>
        <v>24.700567655493362</v>
      </c>
      <c r="AC255" s="140">
        <f>Mitigation_Industry!AC$732</f>
        <v>25.515686388124642</v>
      </c>
      <c r="AD255" s="140">
        <f>Mitigation_Industry!AD$732</f>
        <v>26.357704038932756</v>
      </c>
      <c r="AE255" s="140">
        <f>Mitigation_Industry!AE$732</f>
        <v>27.227508272217527</v>
      </c>
      <c r="AF255" s="141"/>
      <c r="AG255" s="141"/>
      <c r="AH255" s="141"/>
      <c r="AI255" s="141"/>
    </row>
    <row r="256" spans="1:35" customFormat="1" ht="14.25" x14ac:dyDescent="0.45">
      <c r="B256" s="14" t="s">
        <v>1447</v>
      </c>
      <c r="C256" s="14" t="s">
        <v>117</v>
      </c>
      <c r="D256" s="15" t="s">
        <v>2604</v>
      </c>
      <c r="E256" s="16" t="s">
        <v>2068</v>
      </c>
      <c r="F256" s="14" t="s">
        <v>2598</v>
      </c>
      <c r="G256" s="17"/>
      <c r="H256" s="128" t="str">
        <f>Settings!$B$3&amp;".mit.wf.frt.amc.2"</f>
        <v>egy.mit.wf.frt.amc.2</v>
      </c>
      <c r="K256" s="139"/>
      <c r="L256" s="140">
        <f>Mitigation_Industry!L$733</f>
        <v>3.3747527008551588</v>
      </c>
      <c r="M256" s="140">
        <f>Mitigation_Industry!M$733</f>
        <v>3.4489972602739725</v>
      </c>
      <c r="N256" s="140">
        <f>Mitigation_Industry!N$733</f>
        <v>3.5248751999999999</v>
      </c>
      <c r="O256" s="140">
        <f>Mitigation_Industry!O$733</f>
        <v>3.6024224544000001</v>
      </c>
      <c r="P256" s="140">
        <f>Mitigation_Industry!P$733</f>
        <v>3.6816757483967999</v>
      </c>
      <c r="Q256" s="140">
        <f>Mitigation_Industry!Q$733</f>
        <v>3.7626726148615299</v>
      </c>
      <c r="R256" s="140">
        <f>Mitigation_Industry!R$733</f>
        <v>3.8454514123884831</v>
      </c>
      <c r="S256" s="140">
        <f>Mitigation_Industry!S$733</f>
        <v>3.9300513434610296</v>
      </c>
      <c r="T256" s="140">
        <f>Mitigation_Industry!T$733</f>
        <v>4.0165124730171726</v>
      </c>
      <c r="U256" s="140">
        <f>Mitigation_Industry!U$733</f>
        <v>4.1048757474235504</v>
      </c>
      <c r="V256" s="140">
        <f>Mitigation_Industry!V$733</f>
        <v>4.1951830138668695</v>
      </c>
      <c r="W256" s="140">
        <f>Mitigation_Industry!W$733</f>
        <v>4.2874770401719395</v>
      </c>
      <c r="X256" s="140">
        <f>Mitigation_Industry!X$733</f>
        <v>4.3818015350557227</v>
      </c>
      <c r="Y256" s="140">
        <f>Mitigation_Industry!Y$733</f>
        <v>4.4782011688269483</v>
      </c>
      <c r="Z256" s="140">
        <f>Mitigation_Industry!Z$733</f>
        <v>4.5767215945411417</v>
      </c>
      <c r="AA256" s="140">
        <f>Mitigation_Industry!AA$733</f>
        <v>4.6774094696210469</v>
      </c>
      <c r="AB256" s="140">
        <f>Mitigation_Industry!AB$733</f>
        <v>4.7803124779527089</v>
      </c>
      <c r="AC256" s="140">
        <f>Mitigation_Industry!AC$733</f>
        <v>4.8854793524676694</v>
      </c>
      <c r="AD256" s="140">
        <f>Mitigation_Industry!AD$733</f>
        <v>4.9929598982219581</v>
      </c>
      <c r="AE256" s="140">
        <f>Mitigation_Industry!AE$733</f>
        <v>5.1028050159828409</v>
      </c>
      <c r="AF256" s="141"/>
      <c r="AG256" s="141"/>
      <c r="AH256" s="141"/>
      <c r="AI256" s="141"/>
    </row>
    <row r="257" spans="1:35" customFormat="1" ht="14.25" x14ac:dyDescent="0.45">
      <c r="B257" s="14" t="s">
        <v>1450</v>
      </c>
      <c r="C257" s="14" t="s">
        <v>117</v>
      </c>
      <c r="D257" s="15" t="s">
        <v>2605</v>
      </c>
      <c r="E257" s="16" t="s">
        <v>2068</v>
      </c>
      <c r="F257" s="14" t="s">
        <v>2598</v>
      </c>
      <c r="G257" s="17"/>
      <c r="H257" s="128" t="str">
        <f>Settings!$B$3&amp;".mit.wf.frt.ure.2"</f>
        <v>egy.mit.wf.frt.ure.2</v>
      </c>
      <c r="K257" s="139"/>
      <c r="L257" s="140">
        <f>Mitigation_Industry!L$734</f>
        <v>0.30078009811543305</v>
      </c>
      <c r="M257" s="140">
        <f>Mitigation_Industry!M$734</f>
        <v>0.30739726027397257</v>
      </c>
      <c r="N257" s="140">
        <f>Mitigation_Industry!N$734</f>
        <v>0.31415999999999999</v>
      </c>
      <c r="O257" s="140">
        <f>Mitigation_Industry!O$734</f>
        <v>0.32107151999999994</v>
      </c>
      <c r="P257" s="140">
        <f>Mitigation_Industry!P$734</f>
        <v>0.32813509343999991</v>
      </c>
      <c r="Q257" s="140">
        <f>Mitigation_Industry!Q$734</f>
        <v>0.33535406549567992</v>
      </c>
      <c r="R257" s="140">
        <f>Mitigation_Industry!R$734</f>
        <v>0.34273185493658498</v>
      </c>
      <c r="S257" s="140">
        <f>Mitigation_Industry!S$734</f>
        <v>0.35027195574518982</v>
      </c>
      <c r="T257" s="140">
        <f>Mitigation_Industry!T$734</f>
        <v>0.3579779387715839</v>
      </c>
      <c r="U257" s="140">
        <f>Mitigation_Industry!U$734</f>
        <v>0.36585345342455883</v>
      </c>
      <c r="V257" s="140">
        <f>Mitigation_Industry!V$734</f>
        <v>0.37390222939989914</v>
      </c>
      <c r="W257" s="140">
        <f>Mitigation_Industry!W$734</f>
        <v>0.38212807844669694</v>
      </c>
      <c r="X257" s="140">
        <f>Mitigation_Industry!X$734</f>
        <v>0.39053489617252429</v>
      </c>
      <c r="Y257" s="140">
        <f>Mitigation_Industry!Y$734</f>
        <v>0.39912666388831985</v>
      </c>
      <c r="Z257" s="140">
        <f>Mitigation_Industry!Z$734</f>
        <v>0.4079074504938629</v>
      </c>
      <c r="AA257" s="140">
        <f>Mitigation_Industry!AA$734</f>
        <v>0.41688141440472787</v>
      </c>
      <c r="AB257" s="140">
        <f>Mitigation_Industry!AB$734</f>
        <v>0.42605280552163183</v>
      </c>
      <c r="AC257" s="140">
        <f>Mitigation_Industry!AC$734</f>
        <v>0.43542596724310778</v>
      </c>
      <c r="AD257" s="140">
        <f>Mitigation_Industry!AD$734</f>
        <v>0.44500533852245616</v>
      </c>
      <c r="AE257" s="140">
        <f>Mitigation_Industry!AE$734</f>
        <v>0.45479545596995019</v>
      </c>
      <c r="AF257" s="141"/>
      <c r="AG257" s="141"/>
      <c r="AH257" s="141"/>
      <c r="AI257" s="141"/>
    </row>
    <row r="258" spans="1:35" customFormat="1" ht="14.25" x14ac:dyDescent="0.45">
      <c r="B258" s="14" t="s">
        <v>1453</v>
      </c>
      <c r="C258" s="14" t="s">
        <v>117</v>
      </c>
      <c r="D258" s="15" t="s">
        <v>2606</v>
      </c>
      <c r="E258" s="16" t="s">
        <v>2068</v>
      </c>
      <c r="F258" s="14" t="s">
        <v>2598</v>
      </c>
      <c r="G258" s="17"/>
      <c r="H258" s="128" t="str">
        <f>Settings!$B$3&amp;".mit.wf.frt.nit.2"</f>
        <v>egy.mit.wf.frt.nit.2</v>
      </c>
      <c r="K258" s="139"/>
      <c r="L258" s="140">
        <f>Mitigation_Industry!L$735</f>
        <v>6.4452878167592806E-2</v>
      </c>
      <c r="M258" s="140">
        <f>Mitigation_Industry!M$735</f>
        <v>6.5870841487279841E-2</v>
      </c>
      <c r="N258" s="140">
        <f>Mitigation_Industry!N$735</f>
        <v>6.7319999999999991E-2</v>
      </c>
      <c r="O258" s="140">
        <f>Mitigation_Industry!O$735</f>
        <v>6.8801039999999994E-2</v>
      </c>
      <c r="P258" s="140">
        <f>Mitigation_Industry!P$735</f>
        <v>7.031466287999999E-2</v>
      </c>
      <c r="Q258" s="140">
        <f>Mitigation_Industry!Q$735</f>
        <v>7.1861585463359995E-2</v>
      </c>
      <c r="R258" s="140">
        <f>Mitigation_Industry!R$735</f>
        <v>7.3442540343553922E-2</v>
      </c>
      <c r="S258" s="140">
        <f>Mitigation_Industry!S$735</f>
        <v>7.5058276231112109E-2</v>
      </c>
      <c r="T258" s="140">
        <f>Mitigation_Industry!T$735</f>
        <v>7.6709558308196563E-2</v>
      </c>
      <c r="U258" s="140">
        <f>Mitigation_Industry!U$735</f>
        <v>7.8397168590976896E-2</v>
      </c>
      <c r="V258" s="140">
        <f>Mitigation_Industry!V$735</f>
        <v>8.012190629997841E-2</v>
      </c>
      <c r="W258" s="140">
        <f>Mitigation_Industry!W$735</f>
        <v>8.1884588238577902E-2</v>
      </c>
      <c r="X258" s="140">
        <f>Mitigation_Industry!X$735</f>
        <v>8.3686049179826624E-2</v>
      </c>
      <c r="Y258" s="140">
        <f>Mitigation_Industry!Y$735</f>
        <v>8.5527142261782832E-2</v>
      </c>
      <c r="Z258" s="140">
        <f>Mitigation_Industry!Z$735</f>
        <v>8.7408739391542062E-2</v>
      </c>
      <c r="AA258" s="140">
        <f>Mitigation_Industry!AA$735</f>
        <v>8.9331731658155972E-2</v>
      </c>
      <c r="AB258" s="140">
        <f>Mitigation_Industry!AB$735</f>
        <v>9.1297029754635384E-2</v>
      </c>
      <c r="AC258" s="140">
        <f>Mitigation_Industry!AC$735</f>
        <v>9.3305564409237374E-2</v>
      </c>
      <c r="AD258" s="140">
        <f>Mitigation_Industry!AD$735</f>
        <v>9.5358286826240604E-2</v>
      </c>
      <c r="AE258" s="140">
        <f>Mitigation_Industry!AE$735</f>
        <v>9.74561691364179E-2</v>
      </c>
      <c r="AF258" s="141"/>
      <c r="AG258" s="141"/>
      <c r="AH258" s="141"/>
      <c r="AI258" s="141"/>
    </row>
    <row r="259" spans="1:35" customFormat="1" ht="14.25" x14ac:dyDescent="0.45">
      <c r="B259" s="14" t="s">
        <v>1456</v>
      </c>
      <c r="C259" s="14" t="s">
        <v>115</v>
      </c>
      <c r="D259" s="15" t="s">
        <v>2607</v>
      </c>
      <c r="E259" s="16" t="s">
        <v>2068</v>
      </c>
      <c r="F259" s="14" t="s">
        <v>2598</v>
      </c>
      <c r="G259" s="17"/>
      <c r="H259" s="128" t="str">
        <f>Settings!$B$3&amp;".mit.wf.alu.prp.2"</f>
        <v>egy.mit.wf.alu.prp.2</v>
      </c>
      <c r="K259" s="139"/>
      <c r="L259" s="140">
        <f>Mitigation_Industry!L$736</f>
        <v>3.3266099144224071E-2</v>
      </c>
      <c r="M259" s="140">
        <f>Mitigation_Industry!M$736</f>
        <v>3.5095734597156404E-2</v>
      </c>
      <c r="N259" s="140">
        <f>Mitigation_Industry!N$736</f>
        <v>3.7026000000000003E-2</v>
      </c>
      <c r="O259" s="140">
        <f>Mitigation_Industry!O$736</f>
        <v>3.9062430000000002E-2</v>
      </c>
      <c r="P259" s="140">
        <f>Mitigation_Industry!P$736</f>
        <v>4.1210863649999999E-2</v>
      </c>
      <c r="Q259" s="140">
        <f>Mitigation_Industry!Q$736</f>
        <v>4.3477461150749991E-2</v>
      </c>
      <c r="R259" s="140">
        <f>Mitigation_Industry!R$736</f>
        <v>4.5868721514041248E-2</v>
      </c>
      <c r="S259" s="140">
        <f>Mitigation_Industry!S$736</f>
        <v>4.8391501197313509E-2</v>
      </c>
      <c r="T259" s="140">
        <f>Mitigation_Industry!T$736</f>
        <v>5.105303376316575E-2</v>
      </c>
      <c r="U259" s="140">
        <f>Mitigation_Industry!U$736</f>
        <v>5.3860950620139861E-2</v>
      </c>
      <c r="V259" s="140">
        <f>Mitigation_Industry!V$736</f>
        <v>5.6823302904247558E-2</v>
      </c>
      <c r="W259" s="140">
        <f>Mitigation_Industry!W$736</f>
        <v>5.9948584563981173E-2</v>
      </c>
      <c r="X259" s="140">
        <f>Mitigation_Industry!X$736</f>
        <v>6.3245756715000129E-2</v>
      </c>
      <c r="Y259" s="140">
        <f>Mitigation_Industry!Y$736</f>
        <v>6.6724273334325138E-2</v>
      </c>
      <c r="Z259" s="140">
        <f>Mitigation_Industry!Z$736</f>
        <v>7.039410836771301E-2</v>
      </c>
      <c r="AA259" s="140">
        <f>Mitigation_Industry!AA$736</f>
        <v>7.426578432793722E-2</v>
      </c>
      <c r="AB259" s="140">
        <f>Mitigation_Industry!AB$736</f>
        <v>7.8350402465973787E-2</v>
      </c>
      <c r="AC259" s="140">
        <f>Mitigation_Industry!AC$736</f>
        <v>8.2659674601602312E-2</v>
      </c>
      <c r="AD259" s="140">
        <f>Mitigation_Industry!AD$736</f>
        <v>8.7205956704690446E-2</v>
      </c>
      <c r="AE259" s="140">
        <f>Mitigation_Industry!AE$736</f>
        <v>9.2002284323448424E-2</v>
      </c>
      <c r="AF259" s="141"/>
      <c r="AG259" s="141"/>
      <c r="AH259" s="141"/>
      <c r="AI259" s="141"/>
    </row>
    <row r="260" spans="1:35" x14ac:dyDescent="0.35"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  <c r="AA260" s="135"/>
      <c r="AB260" s="135"/>
      <c r="AC260" s="135"/>
      <c r="AD260" s="135"/>
      <c r="AE260" s="135"/>
      <c r="AF260" s="135"/>
      <c r="AG260" s="135"/>
      <c r="AH260" s="135"/>
      <c r="AI260" s="135"/>
    </row>
    <row r="261" spans="1:35" customFormat="1" ht="14.25" x14ac:dyDescent="0.45">
      <c r="A261" s="11"/>
      <c r="B261" s="6"/>
      <c r="C261" s="7" t="s">
        <v>2608</v>
      </c>
      <c r="D261" s="6" t="s">
        <v>1488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137">
        <v>2021</v>
      </c>
      <c r="L261" s="138">
        <v>2022</v>
      </c>
      <c r="M261" s="137">
        <v>2023</v>
      </c>
      <c r="N261" s="137">
        <v>2024</v>
      </c>
      <c r="O261" s="137">
        <v>2025</v>
      </c>
      <c r="P261" s="137">
        <v>2026</v>
      </c>
      <c r="Q261" s="137">
        <v>2027</v>
      </c>
      <c r="R261" s="137">
        <v>2028</v>
      </c>
      <c r="S261" s="137">
        <v>2029</v>
      </c>
      <c r="T261" s="137">
        <v>2030</v>
      </c>
      <c r="U261" s="137">
        <v>2031</v>
      </c>
      <c r="V261" s="137">
        <v>2032</v>
      </c>
      <c r="W261" s="137">
        <v>2033</v>
      </c>
      <c r="X261" s="137">
        <v>2034</v>
      </c>
      <c r="Y261" s="137">
        <v>2035</v>
      </c>
      <c r="Z261" s="137">
        <v>2036</v>
      </c>
      <c r="AA261" s="137">
        <v>2037</v>
      </c>
      <c r="AB261" s="137">
        <v>2038</v>
      </c>
      <c r="AC261" s="137">
        <v>2039</v>
      </c>
      <c r="AD261" s="137">
        <v>2040</v>
      </c>
      <c r="AE261" s="137">
        <v>2041</v>
      </c>
      <c r="AF261" s="137">
        <v>2042</v>
      </c>
      <c r="AG261" s="137">
        <v>2043</v>
      </c>
      <c r="AH261" s="137">
        <v>2044</v>
      </c>
      <c r="AI261" s="137">
        <v>2045</v>
      </c>
    </row>
    <row r="262" spans="1:35" customFormat="1" ht="14.25" x14ac:dyDescent="0.45">
      <c r="B262" s="14" t="s">
        <v>1435</v>
      </c>
      <c r="C262" s="14" t="s">
        <v>43</v>
      </c>
      <c r="D262" s="15" t="s">
        <v>2609</v>
      </c>
      <c r="E262" s="16" t="s">
        <v>2610</v>
      </c>
      <c r="F262" s="14" t="s">
        <v>2608</v>
      </c>
      <c r="G262" s="17"/>
      <c r="H262" s="128" t="str">
        <f>Settings!$B$3&amp;".mit.bf.stl.drg.2"</f>
        <v>egy.mit.bf.stl.drg.2</v>
      </c>
      <c r="I262" t="s">
        <v>2611</v>
      </c>
      <c r="K262" s="139"/>
      <c r="L262" s="142">
        <f>Mitigation_Industry!$E$751</f>
        <v>1.0536051565782599E-3</v>
      </c>
      <c r="M262" s="142">
        <f>Mitigation_Industry!$E$751</f>
        <v>1.0536051565782599E-3</v>
      </c>
      <c r="N262" s="142">
        <f>Mitigation_Industry!$E$751</f>
        <v>1.0536051565782599E-3</v>
      </c>
      <c r="O262" s="142">
        <f>Mitigation_Industry!$E$751</f>
        <v>1.0536051565782599E-3</v>
      </c>
      <c r="P262" s="142">
        <f>Mitigation_Industry!$E$751</f>
        <v>1.0536051565782599E-3</v>
      </c>
      <c r="Q262" s="142">
        <f>Mitigation_Industry!$E$751</f>
        <v>1.0536051565782599E-3</v>
      </c>
      <c r="R262" s="142">
        <f>Mitigation_Industry!$E$751</f>
        <v>1.0536051565782599E-3</v>
      </c>
      <c r="S262" s="142">
        <f>Mitigation_Industry!$E$751</f>
        <v>1.0536051565782599E-3</v>
      </c>
      <c r="T262" s="142">
        <f>Mitigation_Industry!$E$751</f>
        <v>1.0536051565782599E-3</v>
      </c>
      <c r="U262" s="142">
        <f>Mitigation_Industry!$E$751</f>
        <v>1.0536051565782599E-3</v>
      </c>
      <c r="V262" s="142">
        <f>Mitigation_Industry!$E$751</f>
        <v>1.0536051565782599E-3</v>
      </c>
      <c r="W262" s="142">
        <f>Mitigation_Industry!$E$751</f>
        <v>1.0536051565782599E-3</v>
      </c>
      <c r="X262" s="142">
        <f>Mitigation_Industry!$E$751</f>
        <v>1.0536051565782599E-3</v>
      </c>
      <c r="Y262" s="142">
        <f>Mitigation_Industry!$E$751</f>
        <v>1.0536051565782599E-3</v>
      </c>
      <c r="Z262" s="142">
        <f>Mitigation_Industry!$E$751</f>
        <v>1.0536051565782599E-3</v>
      </c>
      <c r="AA262" s="142">
        <f>Mitigation_Industry!$E$751</f>
        <v>1.0536051565782599E-3</v>
      </c>
      <c r="AB262" s="142">
        <f>Mitigation_Industry!$E$751</f>
        <v>1.0536051565782599E-3</v>
      </c>
      <c r="AC262" s="142">
        <f>Mitigation_Industry!$E$751</f>
        <v>1.0536051565782599E-3</v>
      </c>
      <c r="AD262" s="142">
        <f>Mitigation_Industry!$E$751</f>
        <v>1.0536051565782599E-3</v>
      </c>
      <c r="AE262" s="142">
        <f>Mitigation_Industry!$E$751</f>
        <v>1.0536051565782599E-3</v>
      </c>
      <c r="AF262" s="141"/>
      <c r="AG262" s="141"/>
      <c r="AH262" s="141"/>
      <c r="AI262" s="141"/>
    </row>
    <row r="263" spans="1:35" customFormat="1" ht="14.25" x14ac:dyDescent="0.45">
      <c r="B263" s="14" t="s">
        <v>1438</v>
      </c>
      <c r="C263" s="14" t="s">
        <v>43</v>
      </c>
      <c r="D263" s="15" t="s">
        <v>2612</v>
      </c>
      <c r="E263" s="16" t="s">
        <v>2610</v>
      </c>
      <c r="F263" s="14" t="s">
        <v>2608</v>
      </c>
      <c r="G263" s="17"/>
      <c r="H263" s="128" t="str">
        <f>Settings!$B$3&amp;".mit.bf.stl.scr.2"</f>
        <v>egy.mit.bf.stl.scr.2</v>
      </c>
      <c r="K263" s="139"/>
      <c r="L263" s="142">
        <f>Mitigation_Industry!$E$752</f>
        <v>2.0202707317519501E-4</v>
      </c>
      <c r="M263" s="142">
        <f>Mitigation_Industry!$E$752</f>
        <v>2.0202707317519501E-4</v>
      </c>
      <c r="N263" s="142">
        <f>Mitigation_Industry!$E$752</f>
        <v>2.0202707317519501E-4</v>
      </c>
      <c r="O263" s="142">
        <f>Mitigation_Industry!$E$752</f>
        <v>2.0202707317519501E-4</v>
      </c>
      <c r="P263" s="142">
        <f>Mitigation_Industry!$E$752</f>
        <v>2.0202707317519501E-4</v>
      </c>
      <c r="Q263" s="142">
        <f>Mitigation_Industry!$E$752</f>
        <v>2.0202707317519501E-4</v>
      </c>
      <c r="R263" s="142">
        <f>Mitigation_Industry!$E$752</f>
        <v>2.0202707317519501E-4</v>
      </c>
      <c r="S263" s="142">
        <f>Mitigation_Industry!$E$752</f>
        <v>2.0202707317519501E-4</v>
      </c>
      <c r="T263" s="142">
        <f>Mitigation_Industry!$E$752</f>
        <v>2.0202707317519501E-4</v>
      </c>
      <c r="U263" s="142">
        <f>Mitigation_Industry!$E$752</f>
        <v>2.0202707317519501E-4</v>
      </c>
      <c r="V263" s="142">
        <f>Mitigation_Industry!$E$752</f>
        <v>2.0202707317519501E-4</v>
      </c>
      <c r="W263" s="142">
        <f>Mitigation_Industry!$E$752</f>
        <v>2.0202707317519501E-4</v>
      </c>
      <c r="X263" s="142">
        <f>Mitigation_Industry!$E$752</f>
        <v>2.0202707317519501E-4</v>
      </c>
      <c r="Y263" s="142">
        <f>Mitigation_Industry!$E$752</f>
        <v>2.0202707317519501E-4</v>
      </c>
      <c r="Z263" s="142">
        <f>Mitigation_Industry!$E$752</f>
        <v>2.0202707317519501E-4</v>
      </c>
      <c r="AA263" s="142">
        <f>Mitigation_Industry!$E$752</f>
        <v>2.0202707317519501E-4</v>
      </c>
      <c r="AB263" s="142">
        <f>Mitigation_Industry!$E$752</f>
        <v>2.0202707317519501E-4</v>
      </c>
      <c r="AC263" s="142">
        <f>Mitigation_Industry!$E$752</f>
        <v>2.0202707317519501E-4</v>
      </c>
      <c r="AD263" s="142">
        <f>Mitigation_Industry!$E$752</f>
        <v>2.0202707317519501E-4</v>
      </c>
      <c r="AE263" s="142">
        <f>Mitigation_Industry!$E$752</f>
        <v>2.0202707317519501E-4</v>
      </c>
      <c r="AF263" s="141"/>
      <c r="AG263" s="141"/>
      <c r="AH263" s="141"/>
      <c r="AI263" s="141"/>
    </row>
    <row r="264" spans="1:35" customFormat="1" ht="14.25" x14ac:dyDescent="0.45">
      <c r="B264" s="14" t="s">
        <v>1441</v>
      </c>
      <c r="C264" s="14" t="s">
        <v>43</v>
      </c>
      <c r="D264" s="15" t="s">
        <v>2613</v>
      </c>
      <c r="E264" s="16" t="s">
        <v>2610</v>
      </c>
      <c r="F264" s="14" t="s">
        <v>2608</v>
      </c>
      <c r="G264" s="17"/>
      <c r="H264" s="128" t="str">
        <f>Settings!$B$3&amp;".mit.bf.stl.bof.2"</f>
        <v>egy.mit.bf.stl.bof.2</v>
      </c>
      <c r="K264" s="139"/>
      <c r="L264" s="142">
        <f>Mitigation_Industry!$E$753</f>
        <v>5.1293294387550598E-4</v>
      </c>
      <c r="M264" s="142">
        <f>Mitigation_Industry!$E$753</f>
        <v>5.1293294387550598E-4</v>
      </c>
      <c r="N264" s="142">
        <f>Mitigation_Industry!$E$753</f>
        <v>5.1293294387550598E-4</v>
      </c>
      <c r="O264" s="142">
        <f>Mitigation_Industry!$E$753</f>
        <v>5.1293294387550598E-4</v>
      </c>
      <c r="P264" s="142">
        <f>Mitigation_Industry!$E$753</f>
        <v>5.1293294387550598E-4</v>
      </c>
      <c r="Q264" s="142">
        <f>Mitigation_Industry!$E$753</f>
        <v>5.1293294387550598E-4</v>
      </c>
      <c r="R264" s="142">
        <f>Mitigation_Industry!$E$753</f>
        <v>5.1293294387550598E-4</v>
      </c>
      <c r="S264" s="142">
        <f>Mitigation_Industry!$E$753</f>
        <v>5.1293294387550598E-4</v>
      </c>
      <c r="T264" s="142">
        <f>Mitigation_Industry!$E$753</f>
        <v>5.1293294387550598E-4</v>
      </c>
      <c r="U264" s="142">
        <f>Mitigation_Industry!$E$753</f>
        <v>5.1293294387550598E-4</v>
      </c>
      <c r="V264" s="142">
        <f>Mitigation_Industry!$E$753</f>
        <v>5.1293294387550598E-4</v>
      </c>
      <c r="W264" s="142">
        <f>Mitigation_Industry!$E$753</f>
        <v>5.1293294387550598E-4</v>
      </c>
      <c r="X264" s="142">
        <f>Mitigation_Industry!$E$753</f>
        <v>5.1293294387550598E-4</v>
      </c>
      <c r="Y264" s="142">
        <f>Mitigation_Industry!$E$753</f>
        <v>5.1293294387550598E-4</v>
      </c>
      <c r="Z264" s="142">
        <f>Mitigation_Industry!$E$753</f>
        <v>5.1293294387550598E-4</v>
      </c>
      <c r="AA264" s="142">
        <f>Mitigation_Industry!$E$753</f>
        <v>5.1293294387550598E-4</v>
      </c>
      <c r="AB264" s="142">
        <f>Mitigation_Industry!$E$753</f>
        <v>5.1293294387550598E-4</v>
      </c>
      <c r="AC264" s="142">
        <f>Mitigation_Industry!$E$753</f>
        <v>5.1293294387550598E-4</v>
      </c>
      <c r="AD264" s="142">
        <f>Mitigation_Industry!$E$753</f>
        <v>5.1293294387550598E-4</v>
      </c>
      <c r="AE264" s="142">
        <f>Mitigation_Industry!$E$753</f>
        <v>5.1293294387550598E-4</v>
      </c>
      <c r="AF264" s="141"/>
      <c r="AG264" s="141"/>
      <c r="AH264" s="141"/>
      <c r="AI264" s="141"/>
    </row>
    <row r="265" spans="1:35" customFormat="1" ht="14.25" x14ac:dyDescent="0.45">
      <c r="B265" s="14" t="s">
        <v>1444</v>
      </c>
      <c r="C265" s="14" t="s">
        <v>113</v>
      </c>
      <c r="D265" s="15" t="s">
        <v>2614</v>
      </c>
      <c r="E265" s="16" t="s">
        <v>2610</v>
      </c>
      <c r="F265" s="14" t="s">
        <v>2608</v>
      </c>
      <c r="G265" s="17"/>
      <c r="H265" s="128" t="str">
        <f>Settings!$B$3&amp;".mit.bf.cmt.dry.2"</f>
        <v>egy.mit.bf.cmt.dry.2</v>
      </c>
      <c r="K265" s="139"/>
      <c r="L265" s="142">
        <f>Mitigation_Industry!$E$754</f>
        <v>8.3381608939051E-4</v>
      </c>
      <c r="M265" s="142">
        <f>Mitigation_Industry!$E$754</f>
        <v>8.3381608939051E-4</v>
      </c>
      <c r="N265" s="142">
        <f>Mitigation_Industry!$E$754</f>
        <v>8.3381608939051E-4</v>
      </c>
      <c r="O265" s="142">
        <f>Mitigation_Industry!$E$754</f>
        <v>8.3381608939051E-4</v>
      </c>
      <c r="P265" s="142">
        <f>Mitigation_Industry!$E$754</f>
        <v>8.3381608939051E-4</v>
      </c>
      <c r="Q265" s="142">
        <f>Mitigation_Industry!$E$754</f>
        <v>8.3381608939051E-4</v>
      </c>
      <c r="R265" s="142">
        <f>Mitigation_Industry!$E$754</f>
        <v>8.3381608939051E-4</v>
      </c>
      <c r="S265" s="142">
        <f>Mitigation_Industry!$E$754</f>
        <v>8.3381608939051E-4</v>
      </c>
      <c r="T265" s="142">
        <f>Mitigation_Industry!$E$754</f>
        <v>8.3381608939051E-4</v>
      </c>
      <c r="U265" s="142">
        <f>Mitigation_Industry!$E$754</f>
        <v>8.3381608939051E-4</v>
      </c>
      <c r="V265" s="142">
        <f>Mitigation_Industry!$E$754</f>
        <v>8.3381608939051E-4</v>
      </c>
      <c r="W265" s="142">
        <f>Mitigation_Industry!$E$754</f>
        <v>8.3381608939051E-4</v>
      </c>
      <c r="X265" s="142">
        <f>Mitigation_Industry!$E$754</f>
        <v>8.3381608939051E-4</v>
      </c>
      <c r="Y265" s="142">
        <f>Mitigation_Industry!$E$754</f>
        <v>8.3381608939051E-4</v>
      </c>
      <c r="Z265" s="142">
        <f>Mitigation_Industry!$E$754</f>
        <v>8.3381608939051E-4</v>
      </c>
      <c r="AA265" s="142">
        <f>Mitigation_Industry!$E$754</f>
        <v>8.3381608939051E-4</v>
      </c>
      <c r="AB265" s="142">
        <f>Mitigation_Industry!$E$754</f>
        <v>8.3381608939051E-4</v>
      </c>
      <c r="AC265" s="142">
        <f>Mitigation_Industry!$E$754</f>
        <v>8.3381608939051E-4</v>
      </c>
      <c r="AD265" s="142">
        <f>Mitigation_Industry!$E$754</f>
        <v>8.3381608939051E-4</v>
      </c>
      <c r="AE265" s="142">
        <f>Mitigation_Industry!$E$754</f>
        <v>8.3381608939051E-4</v>
      </c>
      <c r="AF265" s="141"/>
      <c r="AG265" s="141"/>
      <c r="AH265" s="141"/>
      <c r="AI265" s="141"/>
    </row>
    <row r="266" spans="1:35" customFormat="1" ht="14.25" x14ac:dyDescent="0.45">
      <c r="B266" s="14" t="s">
        <v>1447</v>
      </c>
      <c r="C266" s="14" t="s">
        <v>117</v>
      </c>
      <c r="D266" s="15" t="s">
        <v>2615</v>
      </c>
      <c r="E266" s="16" t="s">
        <v>2610</v>
      </c>
      <c r="F266" s="14" t="s">
        <v>2608</v>
      </c>
      <c r="G266" s="17"/>
      <c r="H266" s="128" t="str">
        <f>Settings!$B$3&amp;".mit.bf.frt.amc.2"</f>
        <v>egy.mit.bf.frt.amc.2</v>
      </c>
      <c r="K266" s="139"/>
      <c r="L266" s="142">
        <f>Mitigation_Industry!$E$755</f>
        <v>1.98450938723838E-3</v>
      </c>
      <c r="M266" s="142">
        <f>Mitigation_Industry!$E$755</f>
        <v>1.98450938723838E-3</v>
      </c>
      <c r="N266" s="142">
        <f>Mitigation_Industry!$E$755</f>
        <v>1.98450938723838E-3</v>
      </c>
      <c r="O266" s="142">
        <f>Mitigation_Industry!$E$755</f>
        <v>1.98450938723838E-3</v>
      </c>
      <c r="P266" s="142">
        <f>Mitigation_Industry!$E$755</f>
        <v>1.98450938723838E-3</v>
      </c>
      <c r="Q266" s="142">
        <f>Mitigation_Industry!$E$755</f>
        <v>1.98450938723838E-3</v>
      </c>
      <c r="R266" s="142">
        <f>Mitigation_Industry!$E$755</f>
        <v>1.98450938723838E-3</v>
      </c>
      <c r="S266" s="142">
        <f>Mitigation_Industry!$E$755</f>
        <v>1.98450938723838E-3</v>
      </c>
      <c r="T266" s="142">
        <f>Mitigation_Industry!$E$755</f>
        <v>1.98450938723838E-3</v>
      </c>
      <c r="U266" s="142">
        <f>Mitigation_Industry!$E$755</f>
        <v>1.98450938723838E-3</v>
      </c>
      <c r="V266" s="142">
        <f>Mitigation_Industry!$E$755</f>
        <v>1.98450938723838E-3</v>
      </c>
      <c r="W266" s="142">
        <f>Mitigation_Industry!$E$755</f>
        <v>1.98450938723838E-3</v>
      </c>
      <c r="X266" s="142">
        <f>Mitigation_Industry!$E$755</f>
        <v>1.98450938723838E-3</v>
      </c>
      <c r="Y266" s="142">
        <f>Mitigation_Industry!$E$755</f>
        <v>1.98450938723838E-3</v>
      </c>
      <c r="Z266" s="142">
        <f>Mitigation_Industry!$E$755</f>
        <v>1.98450938723838E-3</v>
      </c>
      <c r="AA266" s="142">
        <f>Mitigation_Industry!$E$755</f>
        <v>1.98450938723838E-3</v>
      </c>
      <c r="AB266" s="142">
        <f>Mitigation_Industry!$E$755</f>
        <v>1.98450938723838E-3</v>
      </c>
      <c r="AC266" s="142">
        <f>Mitigation_Industry!$E$755</f>
        <v>1.98450938723838E-3</v>
      </c>
      <c r="AD266" s="142">
        <f>Mitigation_Industry!$E$755</f>
        <v>1.98450938723838E-3</v>
      </c>
      <c r="AE266" s="142">
        <f>Mitigation_Industry!$E$755</f>
        <v>1.98450938723838E-3</v>
      </c>
      <c r="AF266" s="141"/>
      <c r="AG266" s="141"/>
      <c r="AH266" s="141"/>
      <c r="AI266" s="141"/>
    </row>
    <row r="267" spans="1:35" customFormat="1" ht="14.25" x14ac:dyDescent="0.45">
      <c r="B267" s="14" t="s">
        <v>1450</v>
      </c>
      <c r="C267" s="14" t="s">
        <v>117</v>
      </c>
      <c r="D267" s="15" t="s">
        <v>2616</v>
      </c>
      <c r="E267" s="16" t="s">
        <v>2610</v>
      </c>
      <c r="F267" s="14" t="s">
        <v>2608</v>
      </c>
      <c r="G267" s="17"/>
      <c r="H267" s="128" t="str">
        <f>Settings!$B$3&amp;".mit.bf.frt.ure.2"</f>
        <v>egy.mit.bf.frt.ure.2</v>
      </c>
      <c r="K267" s="139"/>
      <c r="L267" s="142">
        <f>Mitigation_Industry!$E$756</f>
        <v>0</v>
      </c>
      <c r="M267" s="142">
        <f>Mitigation_Industry!$E$756</f>
        <v>0</v>
      </c>
      <c r="N267" s="142">
        <f>Mitigation_Industry!$E$756</f>
        <v>0</v>
      </c>
      <c r="O267" s="142">
        <f>Mitigation_Industry!$E$756</f>
        <v>0</v>
      </c>
      <c r="P267" s="142">
        <f>Mitigation_Industry!$E$756</f>
        <v>0</v>
      </c>
      <c r="Q267" s="142">
        <f>Mitigation_Industry!$E$756</f>
        <v>0</v>
      </c>
      <c r="R267" s="142">
        <f>Mitigation_Industry!$E$756</f>
        <v>0</v>
      </c>
      <c r="S267" s="142">
        <f>Mitigation_Industry!$E$756</f>
        <v>0</v>
      </c>
      <c r="T267" s="142">
        <f>Mitigation_Industry!$E$756</f>
        <v>0</v>
      </c>
      <c r="U267" s="142">
        <f>Mitigation_Industry!$E$756</f>
        <v>0</v>
      </c>
      <c r="V267" s="142">
        <f>Mitigation_Industry!$E$756</f>
        <v>0</v>
      </c>
      <c r="W267" s="142">
        <f>Mitigation_Industry!$E$756</f>
        <v>0</v>
      </c>
      <c r="X267" s="142">
        <f>Mitigation_Industry!$E$756</f>
        <v>0</v>
      </c>
      <c r="Y267" s="142">
        <f>Mitigation_Industry!$E$756</f>
        <v>0</v>
      </c>
      <c r="Z267" s="142">
        <f>Mitigation_Industry!$E$756</f>
        <v>0</v>
      </c>
      <c r="AA267" s="142">
        <f>Mitigation_Industry!$E$756</f>
        <v>0</v>
      </c>
      <c r="AB267" s="142">
        <f>Mitigation_Industry!$E$756</f>
        <v>0</v>
      </c>
      <c r="AC267" s="142">
        <f>Mitigation_Industry!$E$756</f>
        <v>0</v>
      </c>
      <c r="AD267" s="142">
        <f>Mitigation_Industry!$E$756</f>
        <v>0</v>
      </c>
      <c r="AE267" s="142">
        <f>Mitigation_Industry!$E$756</f>
        <v>0</v>
      </c>
      <c r="AF267" s="141"/>
      <c r="AG267" s="141"/>
      <c r="AH267" s="141"/>
      <c r="AI267" s="141"/>
    </row>
    <row r="268" spans="1:35" customFormat="1" ht="14.25" x14ac:dyDescent="0.45">
      <c r="B268" s="14" t="s">
        <v>1453</v>
      </c>
      <c r="C268" s="14" t="s">
        <v>117</v>
      </c>
      <c r="D268" s="15" t="s">
        <v>2617</v>
      </c>
      <c r="E268" s="16" t="s">
        <v>2610</v>
      </c>
      <c r="F268" s="14" t="s">
        <v>2608</v>
      </c>
      <c r="G268" s="17"/>
      <c r="H268" s="128" t="str">
        <f>Settings!$B$3&amp;".mit.bf.frt.nit.2"</f>
        <v>egy.mit.bf.frt.nit.2</v>
      </c>
      <c r="K268" s="139"/>
      <c r="L268" s="142">
        <f>Mitigation_Industry!$E$757</f>
        <v>1.04982212449868E-2</v>
      </c>
      <c r="M268" s="142">
        <f>Mitigation_Industry!$E$757</f>
        <v>1.04982212449868E-2</v>
      </c>
      <c r="N268" s="142">
        <f>Mitigation_Industry!$E$757</f>
        <v>1.04982212449868E-2</v>
      </c>
      <c r="O268" s="142">
        <f>Mitigation_Industry!$E$757</f>
        <v>1.04982212449868E-2</v>
      </c>
      <c r="P268" s="142">
        <f>Mitigation_Industry!$E$757</f>
        <v>1.04982212449868E-2</v>
      </c>
      <c r="Q268" s="142">
        <f>Mitigation_Industry!$E$757</f>
        <v>1.04982212449868E-2</v>
      </c>
      <c r="R268" s="142">
        <f>Mitigation_Industry!$E$757</f>
        <v>1.04982212449868E-2</v>
      </c>
      <c r="S268" s="142">
        <f>Mitigation_Industry!$E$757</f>
        <v>1.04982212449868E-2</v>
      </c>
      <c r="T268" s="142">
        <f>Mitigation_Industry!$E$757</f>
        <v>1.04982212449868E-2</v>
      </c>
      <c r="U268" s="142">
        <f>Mitigation_Industry!$E$757</f>
        <v>1.04982212449868E-2</v>
      </c>
      <c r="V268" s="142">
        <f>Mitigation_Industry!$E$757</f>
        <v>1.04982212449868E-2</v>
      </c>
      <c r="W268" s="142">
        <f>Mitigation_Industry!$E$757</f>
        <v>1.04982212449868E-2</v>
      </c>
      <c r="X268" s="142">
        <f>Mitigation_Industry!$E$757</f>
        <v>1.04982212449868E-2</v>
      </c>
      <c r="Y268" s="142">
        <f>Mitigation_Industry!$E$757</f>
        <v>1.04982212449868E-2</v>
      </c>
      <c r="Z268" s="142">
        <f>Mitigation_Industry!$E$757</f>
        <v>1.04982212449868E-2</v>
      </c>
      <c r="AA268" s="142">
        <f>Mitigation_Industry!$E$757</f>
        <v>1.04982212449868E-2</v>
      </c>
      <c r="AB268" s="142">
        <f>Mitigation_Industry!$E$757</f>
        <v>1.04982212449868E-2</v>
      </c>
      <c r="AC268" s="142">
        <f>Mitigation_Industry!$E$757</f>
        <v>1.04982212449868E-2</v>
      </c>
      <c r="AD268" s="142">
        <f>Mitigation_Industry!$E$757</f>
        <v>1.04982212449868E-2</v>
      </c>
      <c r="AE268" s="142">
        <f>Mitigation_Industry!$E$757</f>
        <v>1.04982212449868E-2</v>
      </c>
      <c r="AF268" s="141"/>
      <c r="AG268" s="141"/>
      <c r="AH268" s="141"/>
      <c r="AI268" s="141"/>
    </row>
    <row r="269" spans="1:35" customFormat="1" ht="14.25" x14ac:dyDescent="0.45">
      <c r="B269" s="14" t="s">
        <v>1456</v>
      </c>
      <c r="C269" s="14" t="s">
        <v>115</v>
      </c>
      <c r="D269" s="15" t="s">
        <v>2618</v>
      </c>
      <c r="E269" s="16" t="s">
        <v>2610</v>
      </c>
      <c r="F269" s="14" t="s">
        <v>2608</v>
      </c>
      <c r="G269" s="17"/>
      <c r="H269" s="128" t="str">
        <f>Settings!$B$3&amp;".mit.bf.alu.prp.2"</f>
        <v>egy.mit.bf.alu.prp.2</v>
      </c>
      <c r="K269" s="139"/>
      <c r="L269" s="142">
        <f>Mitigation_Industry!$E$758</f>
        <v>8.3381608939051E-4</v>
      </c>
      <c r="M269" s="142">
        <f>Mitigation_Industry!$E$758</f>
        <v>8.3381608939051E-4</v>
      </c>
      <c r="N269" s="142">
        <f>Mitigation_Industry!$E$758</f>
        <v>8.3381608939051E-4</v>
      </c>
      <c r="O269" s="142">
        <f>Mitigation_Industry!$E$758</f>
        <v>8.3381608939051E-4</v>
      </c>
      <c r="P269" s="142">
        <f>Mitigation_Industry!$E$758</f>
        <v>8.3381608939051E-4</v>
      </c>
      <c r="Q269" s="142">
        <f>Mitigation_Industry!$E$758</f>
        <v>8.3381608939051E-4</v>
      </c>
      <c r="R269" s="142">
        <f>Mitigation_Industry!$E$758</f>
        <v>8.3381608939051E-4</v>
      </c>
      <c r="S269" s="142">
        <f>Mitigation_Industry!$E$758</f>
        <v>8.3381608939051E-4</v>
      </c>
      <c r="T269" s="142">
        <f>Mitigation_Industry!$E$758</f>
        <v>8.3381608939051E-4</v>
      </c>
      <c r="U269" s="142">
        <f>Mitigation_Industry!$E$758</f>
        <v>8.3381608939051E-4</v>
      </c>
      <c r="V269" s="142">
        <f>Mitigation_Industry!$E$758</f>
        <v>8.3381608939051E-4</v>
      </c>
      <c r="W269" s="142">
        <f>Mitigation_Industry!$E$758</f>
        <v>8.3381608939051E-4</v>
      </c>
      <c r="X269" s="142">
        <f>Mitigation_Industry!$E$758</f>
        <v>8.3381608939051E-4</v>
      </c>
      <c r="Y269" s="142">
        <f>Mitigation_Industry!$E$758</f>
        <v>8.3381608939051E-4</v>
      </c>
      <c r="Z269" s="142">
        <f>Mitigation_Industry!$E$758</f>
        <v>8.3381608939051E-4</v>
      </c>
      <c r="AA269" s="142">
        <f>Mitigation_Industry!$E$758</f>
        <v>8.3381608939051E-4</v>
      </c>
      <c r="AB269" s="142">
        <f>Mitigation_Industry!$E$758</f>
        <v>8.3381608939051E-4</v>
      </c>
      <c r="AC269" s="142">
        <f>Mitigation_Industry!$E$758</f>
        <v>8.3381608939051E-4</v>
      </c>
      <c r="AD269" s="142">
        <f>Mitigation_Industry!$E$758</f>
        <v>8.3381608939051E-4</v>
      </c>
      <c r="AE269" s="142">
        <f>Mitigation_Industry!$E$758</f>
        <v>8.3381608939051E-4</v>
      </c>
      <c r="AF269" s="141"/>
      <c r="AG269" s="141"/>
      <c r="AH269" s="141"/>
      <c r="AI269" s="141"/>
    </row>
    <row r="270" spans="1:35" x14ac:dyDescent="0.35"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</row>
    <row r="271" spans="1:35" customFormat="1" ht="14.25" x14ac:dyDescent="0.45">
      <c r="A271" s="11"/>
      <c r="B271" s="6"/>
      <c r="C271" s="7" t="s">
        <v>2619</v>
      </c>
      <c r="D271" s="6" t="s">
        <v>1488</v>
      </c>
      <c r="E271" s="7" t="s">
        <v>35</v>
      </c>
      <c r="F271" s="7" t="s">
        <v>45</v>
      </c>
      <c r="G271" s="7" t="s">
        <v>37</v>
      </c>
      <c r="H271" s="12" t="s">
        <v>38</v>
      </c>
      <c r="I271" s="6" t="s">
        <v>39</v>
      </c>
      <c r="J271" s="48">
        <v>2</v>
      </c>
      <c r="K271" s="137">
        <v>2021</v>
      </c>
      <c r="L271" s="138">
        <v>2022</v>
      </c>
      <c r="M271" s="137">
        <v>2023</v>
      </c>
      <c r="N271" s="137">
        <v>2024</v>
      </c>
      <c r="O271" s="137">
        <v>2025</v>
      </c>
      <c r="P271" s="137">
        <v>2026</v>
      </c>
      <c r="Q271" s="137">
        <v>2027</v>
      </c>
      <c r="R271" s="137">
        <v>2028</v>
      </c>
      <c r="S271" s="137">
        <v>2029</v>
      </c>
      <c r="T271" s="137">
        <v>2030</v>
      </c>
      <c r="U271" s="137">
        <v>2031</v>
      </c>
      <c r="V271" s="137">
        <v>2032</v>
      </c>
      <c r="W271" s="137">
        <v>2033</v>
      </c>
      <c r="X271" s="137">
        <v>2034</v>
      </c>
      <c r="Y271" s="137">
        <v>2035</v>
      </c>
      <c r="Z271" s="137">
        <v>2036</v>
      </c>
      <c r="AA271" s="137">
        <v>2037</v>
      </c>
      <c r="AB271" s="137">
        <v>2038</v>
      </c>
      <c r="AC271" s="137">
        <v>2039</v>
      </c>
      <c r="AD271" s="137">
        <v>2040</v>
      </c>
      <c r="AE271" s="137">
        <v>2041</v>
      </c>
      <c r="AF271" s="137">
        <v>2042</v>
      </c>
      <c r="AG271" s="137">
        <v>2043</v>
      </c>
      <c r="AH271" s="137">
        <v>2044</v>
      </c>
      <c r="AI271" s="137">
        <v>2045</v>
      </c>
    </row>
    <row r="272" spans="1:35" customFormat="1" ht="14.25" x14ac:dyDescent="0.45">
      <c r="B272" s="14" t="s">
        <v>2565</v>
      </c>
      <c r="C272" s="14" t="s">
        <v>43</v>
      </c>
      <c r="D272" s="15" t="s">
        <v>2620</v>
      </c>
      <c r="E272" s="16" t="s">
        <v>2610</v>
      </c>
      <c r="F272" s="14" t="s">
        <v>2619</v>
      </c>
      <c r="G272" s="17"/>
      <c r="H272" s="128" t="str">
        <f>Settings!$B$3&amp;".mit.bp.stl.drg.np.2"</f>
        <v>egy.mit.bp.stl.drg.np.2</v>
      </c>
      <c r="I272" t="s">
        <v>2621</v>
      </c>
      <c r="K272" s="139"/>
      <c r="L272" s="142">
        <f>Mitigation_Industry!$E$762</f>
        <v>3.4469507031574592E-3</v>
      </c>
      <c r="M272" s="142">
        <f>Mitigation_Industry!$E$762</f>
        <v>3.4469507031574592E-3</v>
      </c>
      <c r="N272" s="142">
        <f>Mitigation_Industry!$E$762</f>
        <v>3.4469507031574592E-3</v>
      </c>
      <c r="O272" s="142">
        <f>Mitigation_Industry!$E$762</f>
        <v>3.4469507031574592E-3</v>
      </c>
      <c r="P272" s="142">
        <f>Mitigation_Industry!$E$762</f>
        <v>3.4469507031574592E-3</v>
      </c>
      <c r="Q272" s="142">
        <f>Mitigation_Industry!$E$762</f>
        <v>3.4469507031574592E-3</v>
      </c>
      <c r="R272" s="142">
        <f>Mitigation_Industry!$E$762</f>
        <v>3.4469507031574592E-3</v>
      </c>
      <c r="S272" s="142">
        <f>Mitigation_Industry!$E$762</f>
        <v>3.4469507031574592E-3</v>
      </c>
      <c r="T272" s="142">
        <f>Mitigation_Industry!$E$762</f>
        <v>3.4469507031574592E-3</v>
      </c>
      <c r="U272" s="142">
        <f>Mitigation_Industry!$E$762</f>
        <v>3.4469507031574592E-3</v>
      </c>
      <c r="V272" s="142">
        <f>Mitigation_Industry!$E$762</f>
        <v>3.4469507031574592E-3</v>
      </c>
      <c r="W272" s="142">
        <f>Mitigation_Industry!$E$762</f>
        <v>3.4469507031574592E-3</v>
      </c>
      <c r="X272" s="142">
        <f>Mitigation_Industry!$E$762</f>
        <v>3.4469507031574592E-3</v>
      </c>
      <c r="Y272" s="142">
        <f>Mitigation_Industry!$E$762</f>
        <v>3.4469507031574592E-3</v>
      </c>
      <c r="Z272" s="142">
        <f>Mitigation_Industry!$E$762</f>
        <v>3.4469507031574592E-3</v>
      </c>
      <c r="AA272" s="142">
        <f>Mitigation_Industry!$E$762</f>
        <v>3.4469507031574592E-3</v>
      </c>
      <c r="AB272" s="142">
        <f>Mitigation_Industry!$E$762</f>
        <v>3.4469507031574592E-3</v>
      </c>
      <c r="AC272" s="142">
        <f>Mitigation_Industry!$E$762</f>
        <v>3.4469507031574592E-3</v>
      </c>
      <c r="AD272" s="142">
        <f>Mitigation_Industry!$E$762</f>
        <v>3.4469507031574592E-3</v>
      </c>
      <c r="AE272" s="142">
        <f>Mitigation_Industry!$E$762</f>
        <v>3.4469507031574592E-3</v>
      </c>
      <c r="AF272" s="141"/>
      <c r="AG272" s="141"/>
      <c r="AH272" s="141"/>
      <c r="AI272" s="141"/>
    </row>
    <row r="273" spans="2:35" customFormat="1" ht="14.25" x14ac:dyDescent="0.45">
      <c r="B273" s="14" t="s">
        <v>2568</v>
      </c>
      <c r="C273" s="14" t="s">
        <v>43</v>
      </c>
      <c r="D273" s="15" t="s">
        <v>2622</v>
      </c>
      <c r="E273" s="16" t="s">
        <v>2610</v>
      </c>
      <c r="F273" s="14" t="s">
        <v>2619</v>
      </c>
      <c r="G273" s="17"/>
      <c r="H273" s="128" t="str">
        <f>Settings!$B$3&amp;".mit.bp.stl.scr.np.2"</f>
        <v>egy.mit.bp.stl.scr.np.2</v>
      </c>
      <c r="K273" s="139"/>
      <c r="L273" s="142">
        <f>Mitigation_Industry!$E$763</f>
        <v>1.6366491404021942E-3</v>
      </c>
      <c r="M273" s="142">
        <f>Mitigation_Industry!$E$763</f>
        <v>1.6366491404021942E-3</v>
      </c>
      <c r="N273" s="142">
        <f>Mitigation_Industry!$E$763</f>
        <v>1.6366491404021942E-3</v>
      </c>
      <c r="O273" s="142">
        <f>Mitigation_Industry!$E$763</f>
        <v>1.6366491404021942E-3</v>
      </c>
      <c r="P273" s="142">
        <f>Mitigation_Industry!$E$763</f>
        <v>1.6366491404021942E-3</v>
      </c>
      <c r="Q273" s="142">
        <f>Mitigation_Industry!$E$763</f>
        <v>1.6366491404021942E-3</v>
      </c>
      <c r="R273" s="142">
        <f>Mitigation_Industry!$E$763</f>
        <v>1.6366491404021942E-3</v>
      </c>
      <c r="S273" s="142">
        <f>Mitigation_Industry!$E$763</f>
        <v>1.6366491404021942E-3</v>
      </c>
      <c r="T273" s="142">
        <f>Mitigation_Industry!$E$763</f>
        <v>1.6366491404021942E-3</v>
      </c>
      <c r="U273" s="142">
        <f>Mitigation_Industry!$E$763</f>
        <v>1.6366491404021942E-3</v>
      </c>
      <c r="V273" s="142">
        <f>Mitigation_Industry!$E$763</f>
        <v>1.6366491404021942E-3</v>
      </c>
      <c r="W273" s="142">
        <f>Mitigation_Industry!$E$763</f>
        <v>1.6366491404021942E-3</v>
      </c>
      <c r="X273" s="142">
        <f>Mitigation_Industry!$E$763</f>
        <v>1.6366491404021942E-3</v>
      </c>
      <c r="Y273" s="142">
        <f>Mitigation_Industry!$E$763</f>
        <v>1.6366491404021942E-3</v>
      </c>
      <c r="Z273" s="142">
        <f>Mitigation_Industry!$E$763</f>
        <v>1.6366491404021942E-3</v>
      </c>
      <c r="AA273" s="142">
        <f>Mitigation_Industry!$E$763</f>
        <v>1.6366491404021942E-3</v>
      </c>
      <c r="AB273" s="142">
        <f>Mitigation_Industry!$E$763</f>
        <v>1.6366491404021942E-3</v>
      </c>
      <c r="AC273" s="142">
        <f>Mitigation_Industry!$E$763</f>
        <v>1.6366491404021942E-3</v>
      </c>
      <c r="AD273" s="142">
        <f>Mitigation_Industry!$E$763</f>
        <v>1.6366491404021942E-3</v>
      </c>
      <c r="AE273" s="142">
        <f>Mitigation_Industry!$E$763</f>
        <v>1.6366491404021942E-3</v>
      </c>
      <c r="AF273" s="141"/>
      <c r="AG273" s="141"/>
      <c r="AH273" s="141"/>
      <c r="AI273" s="141"/>
    </row>
    <row r="274" spans="2:35" customFormat="1" ht="14.25" x14ac:dyDescent="0.45">
      <c r="B274" s="14" t="s">
        <v>2570</v>
      </c>
      <c r="C274" s="14" t="s">
        <v>43</v>
      </c>
      <c r="D274" s="15" t="s">
        <v>2623</v>
      </c>
      <c r="E274" s="16" t="s">
        <v>2610</v>
      </c>
      <c r="F274" s="14" t="s">
        <v>2619</v>
      </c>
      <c r="G274" s="17"/>
      <c r="H274" s="128" t="str">
        <f>Settings!$B$3&amp;".mit.bp.stl.bof.np.2"</f>
        <v>egy.mit.bp.stl.bof.np.2</v>
      </c>
      <c r="K274" s="139"/>
      <c r="L274" s="142">
        <f>Mitigation_Industry!$E$764</f>
        <v>2.6960722989211347E-3</v>
      </c>
      <c r="M274" s="142">
        <f>Mitigation_Industry!$E$764</f>
        <v>2.6960722989211347E-3</v>
      </c>
      <c r="N274" s="142">
        <f>Mitigation_Industry!$E$764</f>
        <v>2.6960722989211347E-3</v>
      </c>
      <c r="O274" s="142">
        <f>Mitigation_Industry!$E$764</f>
        <v>2.6960722989211347E-3</v>
      </c>
      <c r="P274" s="142">
        <f>Mitigation_Industry!$E$764</f>
        <v>2.6960722989211347E-3</v>
      </c>
      <c r="Q274" s="142">
        <f>Mitigation_Industry!$E$764</f>
        <v>2.6960722989211347E-3</v>
      </c>
      <c r="R274" s="142">
        <f>Mitigation_Industry!$E$764</f>
        <v>2.6960722989211347E-3</v>
      </c>
      <c r="S274" s="142">
        <f>Mitigation_Industry!$E$764</f>
        <v>2.6960722989211347E-3</v>
      </c>
      <c r="T274" s="142">
        <f>Mitigation_Industry!$E$764</f>
        <v>2.6960722989211347E-3</v>
      </c>
      <c r="U274" s="142">
        <f>Mitigation_Industry!$E$764</f>
        <v>2.6960722989211347E-3</v>
      </c>
      <c r="V274" s="142">
        <f>Mitigation_Industry!$E$764</f>
        <v>2.6960722989211347E-3</v>
      </c>
      <c r="W274" s="142">
        <f>Mitigation_Industry!$E$764</f>
        <v>2.6960722989211347E-3</v>
      </c>
      <c r="X274" s="142">
        <f>Mitigation_Industry!$E$764</f>
        <v>2.6960722989211347E-3</v>
      </c>
      <c r="Y274" s="142">
        <f>Mitigation_Industry!$E$764</f>
        <v>2.6960722989211347E-3</v>
      </c>
      <c r="Z274" s="142">
        <f>Mitigation_Industry!$E$764</f>
        <v>2.6960722989211347E-3</v>
      </c>
      <c r="AA274" s="142">
        <f>Mitigation_Industry!$E$764</f>
        <v>2.6960722989211347E-3</v>
      </c>
      <c r="AB274" s="142">
        <f>Mitigation_Industry!$E$764</f>
        <v>2.6960722989211347E-3</v>
      </c>
      <c r="AC274" s="142">
        <f>Mitigation_Industry!$E$764</f>
        <v>2.6960722989211347E-3</v>
      </c>
      <c r="AD274" s="142">
        <f>Mitigation_Industry!$E$764</f>
        <v>2.6960722989211347E-3</v>
      </c>
      <c r="AE274" s="142">
        <f>Mitigation_Industry!$E$764</f>
        <v>2.6960722989211347E-3</v>
      </c>
      <c r="AF274" s="141"/>
      <c r="AG274" s="141"/>
      <c r="AH274" s="141"/>
      <c r="AI274" s="141"/>
    </row>
    <row r="275" spans="2:35" customFormat="1" ht="14.25" x14ac:dyDescent="0.45">
      <c r="B275" s="14" t="s">
        <v>2572</v>
      </c>
      <c r="C275" s="14" t="s">
        <v>113</v>
      </c>
      <c r="D275" s="15" t="s">
        <v>2624</v>
      </c>
      <c r="E275" s="16" t="s">
        <v>2610</v>
      </c>
      <c r="F275" s="14" t="s">
        <v>2619</v>
      </c>
      <c r="G275" s="17"/>
      <c r="H275" s="128" t="str">
        <f>Settings!$B$3&amp;".mit.bp.cmt.dry.np.2"</f>
        <v>egy.mit.bp.cmt.dry.np.2</v>
      </c>
      <c r="K275" s="139"/>
      <c r="L275" s="142">
        <f>Mitigation_Industry!$E$765</f>
        <v>3.3464675036139224E-3</v>
      </c>
      <c r="M275" s="142">
        <f>Mitigation_Industry!$E$765</f>
        <v>3.3464675036139224E-3</v>
      </c>
      <c r="N275" s="142">
        <f>Mitigation_Industry!$E$765</f>
        <v>3.3464675036139224E-3</v>
      </c>
      <c r="O275" s="142">
        <f>Mitigation_Industry!$E$765</f>
        <v>3.3464675036139224E-3</v>
      </c>
      <c r="P275" s="142">
        <f>Mitigation_Industry!$E$765</f>
        <v>3.3464675036139224E-3</v>
      </c>
      <c r="Q275" s="142">
        <f>Mitigation_Industry!$E$765</f>
        <v>3.3464675036139224E-3</v>
      </c>
      <c r="R275" s="142">
        <f>Mitigation_Industry!$E$765</f>
        <v>3.3464675036139224E-3</v>
      </c>
      <c r="S275" s="142">
        <f>Mitigation_Industry!$E$765</f>
        <v>3.3464675036139224E-3</v>
      </c>
      <c r="T275" s="142">
        <f>Mitigation_Industry!$E$765</f>
        <v>3.3464675036139224E-3</v>
      </c>
      <c r="U275" s="142">
        <f>Mitigation_Industry!$E$765</f>
        <v>3.3464675036139224E-3</v>
      </c>
      <c r="V275" s="142">
        <f>Mitigation_Industry!$E$765</f>
        <v>3.3464675036139224E-3</v>
      </c>
      <c r="W275" s="142">
        <f>Mitigation_Industry!$E$765</f>
        <v>3.3464675036139224E-3</v>
      </c>
      <c r="X275" s="142">
        <f>Mitigation_Industry!$E$765</f>
        <v>3.3464675036139224E-3</v>
      </c>
      <c r="Y275" s="142">
        <f>Mitigation_Industry!$E$765</f>
        <v>3.3464675036139224E-3</v>
      </c>
      <c r="Z275" s="142">
        <f>Mitigation_Industry!$E$765</f>
        <v>3.3464675036139224E-3</v>
      </c>
      <c r="AA275" s="142">
        <f>Mitigation_Industry!$E$765</f>
        <v>3.3464675036139224E-3</v>
      </c>
      <c r="AB275" s="142">
        <f>Mitigation_Industry!$E$765</f>
        <v>3.3464675036139224E-3</v>
      </c>
      <c r="AC275" s="142">
        <f>Mitigation_Industry!$E$765</f>
        <v>3.3464675036139224E-3</v>
      </c>
      <c r="AD275" s="142">
        <f>Mitigation_Industry!$E$765</f>
        <v>3.3464675036139224E-3</v>
      </c>
      <c r="AE275" s="142">
        <f>Mitigation_Industry!$E$765</f>
        <v>3.3464675036139224E-3</v>
      </c>
      <c r="AF275" s="141"/>
      <c r="AG275" s="141"/>
      <c r="AH275" s="141"/>
      <c r="AI275" s="141"/>
    </row>
    <row r="276" spans="2:35" customFormat="1" ht="14.25" x14ac:dyDescent="0.45">
      <c r="B276" s="14" t="s">
        <v>2574</v>
      </c>
      <c r="C276" s="14" t="s">
        <v>117</v>
      </c>
      <c r="D276" s="15" t="s">
        <v>2625</v>
      </c>
      <c r="E276" s="16" t="s">
        <v>2610</v>
      </c>
      <c r="F276" s="14" t="s">
        <v>2619</v>
      </c>
      <c r="G276" s="17"/>
      <c r="H276" s="128" t="str">
        <f>Settings!$B$3&amp;".mit.bp.frt.amc.np.2"</f>
        <v>egy.mit.bp.frt.amc.np.2</v>
      </c>
      <c r="K276" s="139"/>
      <c r="L276" s="142">
        <f>Mitigation_Industry!$E$766</f>
        <v>0</v>
      </c>
      <c r="M276" s="142">
        <f>Mitigation_Industry!$E$766</f>
        <v>0</v>
      </c>
      <c r="N276" s="142">
        <f>Mitigation_Industry!$E$766</f>
        <v>0</v>
      </c>
      <c r="O276" s="142">
        <f>Mitigation_Industry!$E$766</f>
        <v>0</v>
      </c>
      <c r="P276" s="142">
        <f>Mitigation_Industry!$E$766</f>
        <v>0</v>
      </c>
      <c r="Q276" s="142">
        <f>Mitigation_Industry!$E$766</f>
        <v>0</v>
      </c>
      <c r="R276" s="142">
        <f>Mitigation_Industry!$E$766</f>
        <v>0</v>
      </c>
      <c r="S276" s="142">
        <f>Mitigation_Industry!$E$766</f>
        <v>0</v>
      </c>
      <c r="T276" s="142">
        <f>Mitigation_Industry!$E$766</f>
        <v>0</v>
      </c>
      <c r="U276" s="142">
        <f>Mitigation_Industry!$E$766</f>
        <v>0</v>
      </c>
      <c r="V276" s="142">
        <f>Mitigation_Industry!$E$766</f>
        <v>0</v>
      </c>
      <c r="W276" s="142">
        <f>Mitigation_Industry!$E$766</f>
        <v>0</v>
      </c>
      <c r="X276" s="142">
        <f>Mitigation_Industry!$E$766</f>
        <v>0</v>
      </c>
      <c r="Y276" s="142">
        <f>Mitigation_Industry!$E$766</f>
        <v>0</v>
      </c>
      <c r="Z276" s="142">
        <f>Mitigation_Industry!$E$766</f>
        <v>0</v>
      </c>
      <c r="AA276" s="142">
        <f>Mitigation_Industry!$E$766</f>
        <v>0</v>
      </c>
      <c r="AB276" s="142">
        <f>Mitigation_Industry!$E$766</f>
        <v>0</v>
      </c>
      <c r="AC276" s="142">
        <f>Mitigation_Industry!$E$766</f>
        <v>0</v>
      </c>
      <c r="AD276" s="142">
        <f>Mitigation_Industry!$E$766</f>
        <v>0</v>
      </c>
      <c r="AE276" s="142">
        <f>Mitigation_Industry!$E$766</f>
        <v>0</v>
      </c>
      <c r="AF276" s="141"/>
      <c r="AG276" s="141"/>
      <c r="AH276" s="141"/>
      <c r="AI276" s="141"/>
    </row>
    <row r="277" spans="2:35" customFormat="1" ht="14.25" x14ac:dyDescent="0.45">
      <c r="B277" s="14" t="s">
        <v>2576</v>
      </c>
      <c r="C277" s="14" t="s">
        <v>117</v>
      </c>
      <c r="D277" s="15" t="s">
        <v>2626</v>
      </c>
      <c r="E277" s="16" t="s">
        <v>2610</v>
      </c>
      <c r="F277" s="14" t="s">
        <v>2619</v>
      </c>
      <c r="G277" s="17"/>
      <c r="H277" s="128" t="str">
        <f>Settings!$B$3&amp;".mit.bp.frt.ure.np.2"</f>
        <v>egy.mit.bp.frt.ure.np.2</v>
      </c>
      <c r="K277" s="139"/>
      <c r="L277" s="142">
        <f>Mitigation_Industry!$E$767</f>
        <v>0</v>
      </c>
      <c r="M277" s="142">
        <f>Mitigation_Industry!$E$767</f>
        <v>0</v>
      </c>
      <c r="N277" s="142">
        <f>Mitigation_Industry!$E$767</f>
        <v>0</v>
      </c>
      <c r="O277" s="142">
        <f>Mitigation_Industry!$E$767</f>
        <v>0</v>
      </c>
      <c r="P277" s="142">
        <f>Mitigation_Industry!$E$767</f>
        <v>0</v>
      </c>
      <c r="Q277" s="142">
        <f>Mitigation_Industry!$E$767</f>
        <v>0</v>
      </c>
      <c r="R277" s="142">
        <f>Mitigation_Industry!$E$767</f>
        <v>0</v>
      </c>
      <c r="S277" s="142">
        <f>Mitigation_Industry!$E$767</f>
        <v>0</v>
      </c>
      <c r="T277" s="142">
        <f>Mitigation_Industry!$E$767</f>
        <v>0</v>
      </c>
      <c r="U277" s="142">
        <f>Mitigation_Industry!$E$767</f>
        <v>0</v>
      </c>
      <c r="V277" s="142">
        <f>Mitigation_Industry!$E$767</f>
        <v>0</v>
      </c>
      <c r="W277" s="142">
        <f>Mitigation_Industry!$E$767</f>
        <v>0</v>
      </c>
      <c r="X277" s="142">
        <f>Mitigation_Industry!$E$767</f>
        <v>0</v>
      </c>
      <c r="Y277" s="142">
        <f>Mitigation_Industry!$E$767</f>
        <v>0</v>
      </c>
      <c r="Z277" s="142">
        <f>Mitigation_Industry!$E$767</f>
        <v>0</v>
      </c>
      <c r="AA277" s="142">
        <f>Mitigation_Industry!$E$767</f>
        <v>0</v>
      </c>
      <c r="AB277" s="142">
        <f>Mitigation_Industry!$E$767</f>
        <v>0</v>
      </c>
      <c r="AC277" s="142">
        <f>Mitigation_Industry!$E$767</f>
        <v>0</v>
      </c>
      <c r="AD277" s="142">
        <f>Mitigation_Industry!$E$767</f>
        <v>0</v>
      </c>
      <c r="AE277" s="142">
        <f>Mitigation_Industry!$E$767</f>
        <v>0</v>
      </c>
      <c r="AF277" s="141"/>
      <c r="AG277" s="141"/>
      <c r="AH277" s="141"/>
      <c r="AI277" s="141"/>
    </row>
    <row r="278" spans="2:35" customFormat="1" ht="14.25" x14ac:dyDescent="0.45">
      <c r="B278" s="14" t="s">
        <v>2578</v>
      </c>
      <c r="C278" s="14" t="s">
        <v>117</v>
      </c>
      <c r="D278" s="15" t="s">
        <v>2627</v>
      </c>
      <c r="E278" s="16" t="s">
        <v>2610</v>
      </c>
      <c r="F278" s="14" t="s">
        <v>2619</v>
      </c>
      <c r="G278" s="17"/>
      <c r="H278" s="128" t="str">
        <f>Settings!$B$3&amp;".mit.bp.frt.nit.np.2"</f>
        <v>egy.mit.bp.frt.nit.np.2</v>
      </c>
      <c r="K278" s="139"/>
      <c r="L278" s="142">
        <f>Mitigation_Industry!$E$768</f>
        <v>0</v>
      </c>
      <c r="M278" s="142">
        <f>Mitigation_Industry!$E$768</f>
        <v>0</v>
      </c>
      <c r="N278" s="142">
        <f>Mitigation_Industry!$E$768</f>
        <v>0</v>
      </c>
      <c r="O278" s="142">
        <f>Mitigation_Industry!$E$768</f>
        <v>0</v>
      </c>
      <c r="P278" s="142">
        <f>Mitigation_Industry!$E$768</f>
        <v>0</v>
      </c>
      <c r="Q278" s="142">
        <f>Mitigation_Industry!$E$768</f>
        <v>0</v>
      </c>
      <c r="R278" s="142">
        <f>Mitigation_Industry!$E$768</f>
        <v>0</v>
      </c>
      <c r="S278" s="142">
        <f>Mitigation_Industry!$E$768</f>
        <v>0</v>
      </c>
      <c r="T278" s="142">
        <f>Mitigation_Industry!$E$768</f>
        <v>0</v>
      </c>
      <c r="U278" s="142">
        <f>Mitigation_Industry!$E$768</f>
        <v>0</v>
      </c>
      <c r="V278" s="142">
        <f>Mitigation_Industry!$E$768</f>
        <v>0</v>
      </c>
      <c r="W278" s="142">
        <f>Mitigation_Industry!$E$768</f>
        <v>0</v>
      </c>
      <c r="X278" s="142">
        <f>Mitigation_Industry!$E$768</f>
        <v>0</v>
      </c>
      <c r="Y278" s="142">
        <f>Mitigation_Industry!$E$768</f>
        <v>0</v>
      </c>
      <c r="Z278" s="142">
        <f>Mitigation_Industry!$E$768</f>
        <v>0</v>
      </c>
      <c r="AA278" s="142">
        <f>Mitigation_Industry!$E$768</f>
        <v>0</v>
      </c>
      <c r="AB278" s="142">
        <f>Mitigation_Industry!$E$768</f>
        <v>0</v>
      </c>
      <c r="AC278" s="142">
        <f>Mitigation_Industry!$E$768</f>
        <v>0</v>
      </c>
      <c r="AD278" s="142">
        <f>Mitigation_Industry!$E$768</f>
        <v>0</v>
      </c>
      <c r="AE278" s="142">
        <f>Mitigation_Industry!$E$768</f>
        <v>0</v>
      </c>
      <c r="AF278" s="141"/>
      <c r="AG278" s="141"/>
      <c r="AH278" s="141"/>
      <c r="AI278" s="141"/>
    </row>
    <row r="279" spans="2:35" customFormat="1" ht="14.25" x14ac:dyDescent="0.45">
      <c r="B279" s="14" t="s">
        <v>2580</v>
      </c>
      <c r="C279" s="14" t="s">
        <v>115</v>
      </c>
      <c r="D279" s="15" t="s">
        <v>2628</v>
      </c>
      <c r="E279" s="16" t="s">
        <v>2610</v>
      </c>
      <c r="F279" s="14" t="s">
        <v>2619</v>
      </c>
      <c r="G279" s="17"/>
      <c r="H279" s="128" t="str">
        <f>Settings!$B$3&amp;".mit.bp.alu.prp.np.2"</f>
        <v>egy.mit.bp.alu.prp.np.2</v>
      </c>
      <c r="K279" s="139"/>
      <c r="L279" s="142">
        <f>Mitigation_Industry!$E$769</f>
        <v>1.9988245320635362E-3</v>
      </c>
      <c r="M279" s="142">
        <f>Mitigation_Industry!$E$769</f>
        <v>1.9988245320635362E-3</v>
      </c>
      <c r="N279" s="142">
        <f>Mitigation_Industry!$E$769</f>
        <v>1.9988245320635362E-3</v>
      </c>
      <c r="O279" s="142">
        <f>Mitigation_Industry!$E$769</f>
        <v>1.9988245320635362E-3</v>
      </c>
      <c r="P279" s="142">
        <f>Mitigation_Industry!$E$769</f>
        <v>1.9988245320635362E-3</v>
      </c>
      <c r="Q279" s="142">
        <f>Mitigation_Industry!$E$769</f>
        <v>1.9988245320635362E-3</v>
      </c>
      <c r="R279" s="142">
        <f>Mitigation_Industry!$E$769</f>
        <v>1.9988245320635362E-3</v>
      </c>
      <c r="S279" s="142">
        <f>Mitigation_Industry!$E$769</f>
        <v>1.9988245320635362E-3</v>
      </c>
      <c r="T279" s="142">
        <f>Mitigation_Industry!$E$769</f>
        <v>1.9988245320635362E-3</v>
      </c>
      <c r="U279" s="142">
        <f>Mitigation_Industry!$E$769</f>
        <v>1.9988245320635362E-3</v>
      </c>
      <c r="V279" s="142">
        <f>Mitigation_Industry!$E$769</f>
        <v>1.9988245320635362E-3</v>
      </c>
      <c r="W279" s="142">
        <f>Mitigation_Industry!$E$769</f>
        <v>1.9988245320635362E-3</v>
      </c>
      <c r="X279" s="142">
        <f>Mitigation_Industry!$E$769</f>
        <v>1.9988245320635362E-3</v>
      </c>
      <c r="Y279" s="142">
        <f>Mitigation_Industry!$E$769</f>
        <v>1.9988245320635362E-3</v>
      </c>
      <c r="Z279" s="142">
        <f>Mitigation_Industry!$E$769</f>
        <v>1.9988245320635362E-3</v>
      </c>
      <c r="AA279" s="142">
        <f>Mitigation_Industry!$E$769</f>
        <v>1.9988245320635362E-3</v>
      </c>
      <c r="AB279" s="142">
        <f>Mitigation_Industry!$E$769</f>
        <v>1.9988245320635362E-3</v>
      </c>
      <c r="AC279" s="142">
        <f>Mitigation_Industry!$E$769</f>
        <v>1.9988245320635362E-3</v>
      </c>
      <c r="AD279" s="142">
        <f>Mitigation_Industry!$E$769</f>
        <v>1.9988245320635362E-3</v>
      </c>
      <c r="AE279" s="142">
        <f>Mitigation_Industry!$E$769</f>
        <v>1.9988245320635362E-3</v>
      </c>
      <c r="AF279" s="141"/>
      <c r="AG279" s="141"/>
      <c r="AH279" s="141"/>
      <c r="AI279" s="141"/>
    </row>
    <row r="280" spans="2:35" customFormat="1" ht="14.25" x14ac:dyDescent="0.45">
      <c r="B280" s="14" t="s">
        <v>2582</v>
      </c>
      <c r="C280" s="14" t="s">
        <v>43</v>
      </c>
      <c r="D280" s="15" t="s">
        <v>2629</v>
      </c>
      <c r="E280" s="16" t="s">
        <v>2610</v>
      </c>
      <c r="F280" s="14" t="s">
        <v>2619</v>
      </c>
      <c r="G280" s="17"/>
      <c r="H280" s="128" t="str">
        <f>Settings!$B$3&amp;".mit.bp.stl.drg.no.2"</f>
        <v>egy.mit.bp.stl.drg.no.2</v>
      </c>
      <c r="K280" s="139"/>
      <c r="L280" s="142">
        <f>Mitigation_Industry!$G$762</f>
        <v>0</v>
      </c>
      <c r="M280" s="142">
        <f>Mitigation_Industry!$G$762</f>
        <v>0</v>
      </c>
      <c r="N280" s="142">
        <f>Mitigation_Industry!$G$762</f>
        <v>0</v>
      </c>
      <c r="O280" s="142">
        <f>Mitigation_Industry!$G$762</f>
        <v>0</v>
      </c>
      <c r="P280" s="142">
        <f>Mitigation_Industry!$G$762</f>
        <v>0</v>
      </c>
      <c r="Q280" s="142">
        <f>Mitigation_Industry!$G$762</f>
        <v>0</v>
      </c>
      <c r="R280" s="142">
        <f>Mitigation_Industry!$G$762</f>
        <v>0</v>
      </c>
      <c r="S280" s="142">
        <f>Mitigation_Industry!$G$762</f>
        <v>0</v>
      </c>
      <c r="T280" s="142">
        <f>Mitigation_Industry!$G$762</f>
        <v>0</v>
      </c>
      <c r="U280" s="142">
        <f>Mitigation_Industry!$G$762</f>
        <v>0</v>
      </c>
      <c r="V280" s="142">
        <f>Mitigation_Industry!$G$762</f>
        <v>0</v>
      </c>
      <c r="W280" s="142">
        <f>Mitigation_Industry!$G$762</f>
        <v>0</v>
      </c>
      <c r="X280" s="142">
        <f>Mitigation_Industry!$G$762</f>
        <v>0</v>
      </c>
      <c r="Y280" s="142">
        <f>Mitigation_Industry!$G$762</f>
        <v>0</v>
      </c>
      <c r="Z280" s="142">
        <f>Mitigation_Industry!$G$762</f>
        <v>0</v>
      </c>
      <c r="AA280" s="142">
        <f>Mitigation_Industry!$G$762</f>
        <v>0</v>
      </c>
      <c r="AB280" s="142">
        <f>Mitigation_Industry!$G$762</f>
        <v>0</v>
      </c>
      <c r="AC280" s="142">
        <f>Mitigation_Industry!$G$762</f>
        <v>0</v>
      </c>
      <c r="AD280" s="142">
        <f>Mitigation_Industry!$G$762</f>
        <v>0</v>
      </c>
      <c r="AE280" s="142">
        <f>Mitigation_Industry!$G$762</f>
        <v>0</v>
      </c>
      <c r="AF280" s="141"/>
      <c r="AG280" s="141"/>
      <c r="AH280" s="141"/>
      <c r="AI280" s="141"/>
    </row>
    <row r="281" spans="2:35" customFormat="1" ht="14.25" x14ac:dyDescent="0.45">
      <c r="B281" s="14" t="s">
        <v>2584</v>
      </c>
      <c r="C281" s="14" t="s">
        <v>43</v>
      </c>
      <c r="D281" s="15" t="s">
        <v>2630</v>
      </c>
      <c r="E281" s="16" t="s">
        <v>2610</v>
      </c>
      <c r="F281" s="14" t="s">
        <v>2619</v>
      </c>
      <c r="G281" s="17"/>
      <c r="H281" s="128" t="str">
        <f>Settings!$B$3&amp;".mit.bp.stl.scr.no.2"</f>
        <v>egy.mit.bp.stl.scr.no.2</v>
      </c>
      <c r="K281" s="139"/>
      <c r="L281" s="142">
        <f>Mitigation_Industry!$G$763</f>
        <v>0</v>
      </c>
      <c r="M281" s="142">
        <f>Mitigation_Industry!$G$763</f>
        <v>0</v>
      </c>
      <c r="N281" s="142">
        <f>Mitigation_Industry!$G$763</f>
        <v>0</v>
      </c>
      <c r="O281" s="142">
        <f>Mitigation_Industry!$G$763</f>
        <v>0</v>
      </c>
      <c r="P281" s="142">
        <f>Mitigation_Industry!$G$763</f>
        <v>0</v>
      </c>
      <c r="Q281" s="142">
        <f>Mitigation_Industry!$G$763</f>
        <v>0</v>
      </c>
      <c r="R281" s="142">
        <f>Mitigation_Industry!$G$763</f>
        <v>0</v>
      </c>
      <c r="S281" s="142">
        <f>Mitigation_Industry!$G$763</f>
        <v>0</v>
      </c>
      <c r="T281" s="142">
        <f>Mitigation_Industry!$G$763</f>
        <v>0</v>
      </c>
      <c r="U281" s="142">
        <f>Mitigation_Industry!$G$763</f>
        <v>0</v>
      </c>
      <c r="V281" s="142">
        <f>Mitigation_Industry!$G$763</f>
        <v>0</v>
      </c>
      <c r="W281" s="142">
        <f>Mitigation_Industry!$G$763</f>
        <v>0</v>
      </c>
      <c r="X281" s="142">
        <f>Mitigation_Industry!$G$763</f>
        <v>0</v>
      </c>
      <c r="Y281" s="142">
        <f>Mitigation_Industry!$G$763</f>
        <v>0</v>
      </c>
      <c r="Z281" s="142">
        <f>Mitigation_Industry!$G$763</f>
        <v>0</v>
      </c>
      <c r="AA281" s="142">
        <f>Mitigation_Industry!$G$763</f>
        <v>0</v>
      </c>
      <c r="AB281" s="142">
        <f>Mitigation_Industry!$G$763</f>
        <v>0</v>
      </c>
      <c r="AC281" s="142">
        <f>Mitigation_Industry!$G$763</f>
        <v>0</v>
      </c>
      <c r="AD281" s="142">
        <f>Mitigation_Industry!$G$763</f>
        <v>0</v>
      </c>
      <c r="AE281" s="142">
        <f>Mitigation_Industry!$G$763</f>
        <v>0</v>
      </c>
      <c r="AF281" s="141"/>
      <c r="AG281" s="141"/>
      <c r="AH281" s="141"/>
      <c r="AI281" s="141"/>
    </row>
    <row r="282" spans="2:35" customFormat="1" ht="14.25" x14ac:dyDescent="0.45">
      <c r="B282" s="14" t="s">
        <v>2586</v>
      </c>
      <c r="C282" s="14" t="s">
        <v>43</v>
      </c>
      <c r="D282" s="15" t="s">
        <v>2631</v>
      </c>
      <c r="E282" s="16" t="s">
        <v>2610</v>
      </c>
      <c r="F282" s="14" t="s">
        <v>2619</v>
      </c>
      <c r="G282" s="17"/>
      <c r="H282" s="128" t="str">
        <f>Settings!$B$3&amp;".mit.bp.stl.bof.no.2"</f>
        <v>egy.mit.bp.stl.bof.no.2</v>
      </c>
      <c r="K282" s="139"/>
      <c r="L282" s="142">
        <f>Mitigation_Industry!$G$764</f>
        <v>0</v>
      </c>
      <c r="M282" s="142">
        <f>Mitigation_Industry!$G$764</f>
        <v>0</v>
      </c>
      <c r="N282" s="142">
        <f>Mitigation_Industry!$G$764</f>
        <v>0</v>
      </c>
      <c r="O282" s="142">
        <f>Mitigation_Industry!$G$764</f>
        <v>0</v>
      </c>
      <c r="P282" s="142">
        <f>Mitigation_Industry!$G$764</f>
        <v>0</v>
      </c>
      <c r="Q282" s="142">
        <f>Mitigation_Industry!$G$764</f>
        <v>0</v>
      </c>
      <c r="R282" s="142">
        <f>Mitigation_Industry!$G$764</f>
        <v>0</v>
      </c>
      <c r="S282" s="142">
        <f>Mitigation_Industry!$G$764</f>
        <v>0</v>
      </c>
      <c r="T282" s="142">
        <f>Mitigation_Industry!$G$764</f>
        <v>0</v>
      </c>
      <c r="U282" s="142">
        <f>Mitigation_Industry!$G$764</f>
        <v>0</v>
      </c>
      <c r="V282" s="142">
        <f>Mitigation_Industry!$G$764</f>
        <v>0</v>
      </c>
      <c r="W282" s="142">
        <f>Mitigation_Industry!$G$764</f>
        <v>0</v>
      </c>
      <c r="X282" s="142">
        <f>Mitigation_Industry!$G$764</f>
        <v>0</v>
      </c>
      <c r="Y282" s="142">
        <f>Mitigation_Industry!$G$764</f>
        <v>0</v>
      </c>
      <c r="Z282" s="142">
        <f>Mitigation_Industry!$G$764</f>
        <v>0</v>
      </c>
      <c r="AA282" s="142">
        <f>Mitigation_Industry!$G$764</f>
        <v>0</v>
      </c>
      <c r="AB282" s="142">
        <f>Mitigation_Industry!$G$764</f>
        <v>0</v>
      </c>
      <c r="AC282" s="142">
        <f>Mitigation_Industry!$G$764</f>
        <v>0</v>
      </c>
      <c r="AD282" s="142">
        <f>Mitigation_Industry!$G$764</f>
        <v>0</v>
      </c>
      <c r="AE282" s="142">
        <f>Mitigation_Industry!$G$764</f>
        <v>0</v>
      </c>
      <c r="AF282" s="141"/>
      <c r="AG282" s="141"/>
      <c r="AH282" s="141"/>
      <c r="AI282" s="141"/>
    </row>
    <row r="283" spans="2:35" customFormat="1" ht="14.25" x14ac:dyDescent="0.45">
      <c r="B283" s="14" t="s">
        <v>2588</v>
      </c>
      <c r="C283" s="14" t="s">
        <v>113</v>
      </c>
      <c r="D283" s="15" t="s">
        <v>2632</v>
      </c>
      <c r="E283" s="16" t="s">
        <v>2610</v>
      </c>
      <c r="F283" s="14" t="s">
        <v>2619</v>
      </c>
      <c r="G283" s="17"/>
      <c r="H283" s="128" t="str">
        <f>Settings!$B$3&amp;".mit.bp.cmt.dry.no.2"</f>
        <v>egy.mit.bp.cmt.dry.no.2</v>
      </c>
      <c r="K283" s="139"/>
      <c r="L283" s="142">
        <f>Mitigation_Industry!$G$765</f>
        <v>0</v>
      </c>
      <c r="M283" s="142">
        <f>Mitigation_Industry!$G$765</f>
        <v>0</v>
      </c>
      <c r="N283" s="142">
        <f>Mitigation_Industry!$G$765</f>
        <v>0</v>
      </c>
      <c r="O283" s="142">
        <f>Mitigation_Industry!$G$765</f>
        <v>0</v>
      </c>
      <c r="P283" s="142">
        <f>Mitigation_Industry!$G$765</f>
        <v>0</v>
      </c>
      <c r="Q283" s="142">
        <f>Mitigation_Industry!$G$765</f>
        <v>0</v>
      </c>
      <c r="R283" s="142">
        <f>Mitigation_Industry!$G$765</f>
        <v>0</v>
      </c>
      <c r="S283" s="142">
        <f>Mitigation_Industry!$G$765</f>
        <v>0</v>
      </c>
      <c r="T283" s="142">
        <f>Mitigation_Industry!$G$765</f>
        <v>0</v>
      </c>
      <c r="U283" s="142">
        <f>Mitigation_Industry!$G$765</f>
        <v>0</v>
      </c>
      <c r="V283" s="142">
        <f>Mitigation_Industry!$G$765</f>
        <v>0</v>
      </c>
      <c r="W283" s="142">
        <f>Mitigation_Industry!$G$765</f>
        <v>0</v>
      </c>
      <c r="X283" s="142">
        <f>Mitigation_Industry!$G$765</f>
        <v>0</v>
      </c>
      <c r="Y283" s="142">
        <f>Mitigation_Industry!$G$765</f>
        <v>0</v>
      </c>
      <c r="Z283" s="142">
        <f>Mitigation_Industry!$G$765</f>
        <v>0</v>
      </c>
      <c r="AA283" s="142">
        <f>Mitigation_Industry!$G$765</f>
        <v>0</v>
      </c>
      <c r="AB283" s="142">
        <f>Mitigation_Industry!$G$765</f>
        <v>0</v>
      </c>
      <c r="AC283" s="142">
        <f>Mitigation_Industry!$G$765</f>
        <v>0</v>
      </c>
      <c r="AD283" s="142">
        <f>Mitigation_Industry!$G$765</f>
        <v>0</v>
      </c>
      <c r="AE283" s="142">
        <f>Mitigation_Industry!$G$765</f>
        <v>0</v>
      </c>
      <c r="AF283" s="141"/>
      <c r="AG283" s="141"/>
      <c r="AH283" s="141"/>
      <c r="AI283" s="141"/>
    </row>
    <row r="284" spans="2:35" customFormat="1" ht="14.25" x14ac:dyDescent="0.45">
      <c r="B284" s="14" t="s">
        <v>2590</v>
      </c>
      <c r="C284" s="14" t="s">
        <v>117</v>
      </c>
      <c r="D284" s="15" t="s">
        <v>2633</v>
      </c>
      <c r="E284" s="16" t="s">
        <v>2610</v>
      </c>
      <c r="F284" s="14" t="s">
        <v>2619</v>
      </c>
      <c r="G284" s="17"/>
      <c r="H284" s="128" t="str">
        <f>Settings!$B$3&amp;".mit.bp.frt.amc.no.2"</f>
        <v>egy.mit.bp.frt.amc.no.2</v>
      </c>
      <c r="K284" s="139"/>
      <c r="L284" s="142">
        <f>Mitigation_Industry!$G$766</f>
        <v>0</v>
      </c>
      <c r="M284" s="142">
        <f>Mitigation_Industry!$G$766</f>
        <v>0</v>
      </c>
      <c r="N284" s="142">
        <f>Mitigation_Industry!$G$766</f>
        <v>0</v>
      </c>
      <c r="O284" s="142">
        <f>Mitigation_Industry!$G$766</f>
        <v>0</v>
      </c>
      <c r="P284" s="142">
        <f>Mitigation_Industry!$G$766</f>
        <v>0</v>
      </c>
      <c r="Q284" s="142">
        <f>Mitigation_Industry!$G$766</f>
        <v>0</v>
      </c>
      <c r="R284" s="142">
        <f>Mitigation_Industry!$G$766</f>
        <v>0</v>
      </c>
      <c r="S284" s="142">
        <f>Mitigation_Industry!$G$766</f>
        <v>0</v>
      </c>
      <c r="T284" s="142">
        <f>Mitigation_Industry!$G$766</f>
        <v>0</v>
      </c>
      <c r="U284" s="142">
        <f>Mitigation_Industry!$G$766</f>
        <v>0</v>
      </c>
      <c r="V284" s="142">
        <f>Mitigation_Industry!$G$766</f>
        <v>0</v>
      </c>
      <c r="W284" s="142">
        <f>Mitigation_Industry!$G$766</f>
        <v>0</v>
      </c>
      <c r="X284" s="142">
        <f>Mitigation_Industry!$G$766</f>
        <v>0</v>
      </c>
      <c r="Y284" s="142">
        <f>Mitigation_Industry!$G$766</f>
        <v>0</v>
      </c>
      <c r="Z284" s="142">
        <f>Mitigation_Industry!$G$766</f>
        <v>0</v>
      </c>
      <c r="AA284" s="142">
        <f>Mitigation_Industry!$G$766</f>
        <v>0</v>
      </c>
      <c r="AB284" s="142">
        <f>Mitigation_Industry!$G$766</f>
        <v>0</v>
      </c>
      <c r="AC284" s="142">
        <f>Mitigation_Industry!$G$766</f>
        <v>0</v>
      </c>
      <c r="AD284" s="142">
        <f>Mitigation_Industry!$G$766</f>
        <v>0</v>
      </c>
      <c r="AE284" s="142">
        <f>Mitigation_Industry!$G$766</f>
        <v>0</v>
      </c>
      <c r="AF284" s="141"/>
      <c r="AG284" s="141"/>
      <c r="AH284" s="141"/>
      <c r="AI284" s="141"/>
    </row>
    <row r="285" spans="2:35" customFormat="1" ht="14.25" x14ac:dyDescent="0.45">
      <c r="B285" s="14" t="s">
        <v>2592</v>
      </c>
      <c r="C285" s="14" t="s">
        <v>117</v>
      </c>
      <c r="D285" s="15" t="s">
        <v>2634</v>
      </c>
      <c r="E285" s="16" t="s">
        <v>2610</v>
      </c>
      <c r="F285" s="14" t="s">
        <v>2619</v>
      </c>
      <c r="G285" s="17"/>
      <c r="H285" s="128" t="str">
        <f>Settings!$B$3&amp;".mit.bp.frt.ure.no.2"</f>
        <v>egy.mit.bp.frt.ure.no.2</v>
      </c>
      <c r="K285" s="139"/>
      <c r="L285" s="142">
        <f>Mitigation_Industry!$G$767</f>
        <v>0</v>
      </c>
      <c r="M285" s="142">
        <f>Mitigation_Industry!$G$767</f>
        <v>0</v>
      </c>
      <c r="N285" s="142">
        <f>Mitigation_Industry!$G$767</f>
        <v>0</v>
      </c>
      <c r="O285" s="142">
        <f>Mitigation_Industry!$G$767</f>
        <v>0</v>
      </c>
      <c r="P285" s="142">
        <f>Mitigation_Industry!$G$767</f>
        <v>0</v>
      </c>
      <c r="Q285" s="142">
        <f>Mitigation_Industry!$G$767</f>
        <v>0</v>
      </c>
      <c r="R285" s="142">
        <f>Mitigation_Industry!$G$767</f>
        <v>0</v>
      </c>
      <c r="S285" s="142">
        <f>Mitigation_Industry!$G$767</f>
        <v>0</v>
      </c>
      <c r="T285" s="142">
        <f>Mitigation_Industry!$G$767</f>
        <v>0</v>
      </c>
      <c r="U285" s="142">
        <f>Mitigation_Industry!$G$767</f>
        <v>0</v>
      </c>
      <c r="V285" s="142">
        <f>Mitigation_Industry!$G$767</f>
        <v>0</v>
      </c>
      <c r="W285" s="142">
        <f>Mitigation_Industry!$G$767</f>
        <v>0</v>
      </c>
      <c r="X285" s="142">
        <f>Mitigation_Industry!$G$767</f>
        <v>0</v>
      </c>
      <c r="Y285" s="142">
        <f>Mitigation_Industry!$G$767</f>
        <v>0</v>
      </c>
      <c r="Z285" s="142">
        <f>Mitigation_Industry!$G$767</f>
        <v>0</v>
      </c>
      <c r="AA285" s="142">
        <f>Mitigation_Industry!$G$767</f>
        <v>0</v>
      </c>
      <c r="AB285" s="142">
        <f>Mitigation_Industry!$G$767</f>
        <v>0</v>
      </c>
      <c r="AC285" s="142">
        <f>Mitigation_Industry!$G$767</f>
        <v>0</v>
      </c>
      <c r="AD285" s="142">
        <f>Mitigation_Industry!$G$767</f>
        <v>0</v>
      </c>
      <c r="AE285" s="142">
        <f>Mitigation_Industry!$G$767</f>
        <v>0</v>
      </c>
      <c r="AF285" s="141"/>
      <c r="AG285" s="141"/>
      <c r="AH285" s="141"/>
      <c r="AI285" s="141"/>
    </row>
    <row r="286" spans="2:35" customFormat="1" ht="14.25" x14ac:dyDescent="0.45">
      <c r="B286" s="14" t="s">
        <v>2594</v>
      </c>
      <c r="C286" s="14" t="s">
        <v>117</v>
      </c>
      <c r="D286" s="15" t="s">
        <v>2635</v>
      </c>
      <c r="E286" s="16" t="s">
        <v>2610</v>
      </c>
      <c r="F286" s="14" t="s">
        <v>2619</v>
      </c>
      <c r="G286" s="17"/>
      <c r="H286" s="128" t="str">
        <f>Settings!$B$3&amp;".mit.bp.frt.nit.no.2"</f>
        <v>egy.mit.bp.frt.nit.no.2</v>
      </c>
      <c r="K286" s="139"/>
      <c r="L286" s="142">
        <f>Mitigation_Industry!$G$768</f>
        <v>7.8858436436826454E-3</v>
      </c>
      <c r="M286" s="142">
        <f>Mitigation_Industry!$G$768</f>
        <v>7.8858436436826454E-3</v>
      </c>
      <c r="N286" s="142">
        <f>Mitigation_Industry!$G$768</f>
        <v>7.8858436436826454E-3</v>
      </c>
      <c r="O286" s="142">
        <f>Mitigation_Industry!$G$768</f>
        <v>7.8858436436826454E-3</v>
      </c>
      <c r="P286" s="142">
        <f>Mitigation_Industry!$G$768</f>
        <v>7.8858436436826454E-3</v>
      </c>
      <c r="Q286" s="142">
        <f>Mitigation_Industry!$G$768</f>
        <v>7.8858436436826454E-3</v>
      </c>
      <c r="R286" s="142">
        <f>Mitigation_Industry!$G$768</f>
        <v>7.8858436436826454E-3</v>
      </c>
      <c r="S286" s="142">
        <f>Mitigation_Industry!$G$768</f>
        <v>7.8858436436826454E-3</v>
      </c>
      <c r="T286" s="142">
        <f>Mitigation_Industry!$G$768</f>
        <v>7.8858436436826454E-3</v>
      </c>
      <c r="U286" s="142">
        <f>Mitigation_Industry!$G$768</f>
        <v>7.8858436436826454E-3</v>
      </c>
      <c r="V286" s="142">
        <f>Mitigation_Industry!$G$768</f>
        <v>7.8858436436826454E-3</v>
      </c>
      <c r="W286" s="142">
        <f>Mitigation_Industry!$G$768</f>
        <v>7.8858436436826454E-3</v>
      </c>
      <c r="X286" s="142">
        <f>Mitigation_Industry!$G$768</f>
        <v>7.8858436436826454E-3</v>
      </c>
      <c r="Y286" s="142">
        <f>Mitigation_Industry!$G$768</f>
        <v>7.8858436436826454E-3</v>
      </c>
      <c r="Z286" s="142">
        <f>Mitigation_Industry!$G$768</f>
        <v>7.8858436436826454E-3</v>
      </c>
      <c r="AA286" s="142">
        <f>Mitigation_Industry!$G$768</f>
        <v>7.8858436436826454E-3</v>
      </c>
      <c r="AB286" s="142">
        <f>Mitigation_Industry!$G$768</f>
        <v>7.8858436436826454E-3</v>
      </c>
      <c r="AC286" s="142">
        <f>Mitigation_Industry!$G$768</f>
        <v>7.8858436436826454E-3</v>
      </c>
      <c r="AD286" s="142">
        <f>Mitigation_Industry!$G$768</f>
        <v>7.8858436436826454E-3</v>
      </c>
      <c r="AE286" s="142">
        <f>Mitigation_Industry!$G$768</f>
        <v>7.8858436436826454E-3</v>
      </c>
      <c r="AF286" s="141"/>
      <c r="AG286" s="141"/>
      <c r="AH286" s="141"/>
      <c r="AI286" s="141"/>
    </row>
    <row r="287" spans="2:35" customFormat="1" ht="14.25" x14ac:dyDescent="0.45">
      <c r="B287" s="14" t="s">
        <v>2596</v>
      </c>
      <c r="C287" s="14" t="s">
        <v>115</v>
      </c>
      <c r="D287" s="15" t="s">
        <v>2636</v>
      </c>
      <c r="E287" s="16" t="s">
        <v>2610</v>
      </c>
      <c r="F287" s="14" t="s">
        <v>2619</v>
      </c>
      <c r="G287" s="17"/>
      <c r="H287" s="128" t="str">
        <f>Settings!$B$3&amp;".mit.bp.alu.prp.no.2"</f>
        <v>egy.mit.bp.alu.prp.no.2</v>
      </c>
      <c r="K287" s="139"/>
      <c r="L287" s="142">
        <f>Mitigation_Industry!$G$769</f>
        <v>1.9988245320635362E-3</v>
      </c>
      <c r="M287" s="142">
        <f>Mitigation_Industry!$G$769</f>
        <v>1.9988245320635362E-3</v>
      </c>
      <c r="N287" s="142">
        <f>Mitigation_Industry!$G$769</f>
        <v>1.9988245320635362E-3</v>
      </c>
      <c r="O287" s="142">
        <f>Mitigation_Industry!$G$769</f>
        <v>1.9988245320635362E-3</v>
      </c>
      <c r="P287" s="142">
        <f>Mitigation_Industry!$G$769</f>
        <v>1.9988245320635362E-3</v>
      </c>
      <c r="Q287" s="142">
        <f>Mitigation_Industry!$G$769</f>
        <v>1.9988245320635362E-3</v>
      </c>
      <c r="R287" s="142">
        <f>Mitigation_Industry!$G$769</f>
        <v>1.9988245320635362E-3</v>
      </c>
      <c r="S287" s="142">
        <f>Mitigation_Industry!$G$769</f>
        <v>1.9988245320635362E-3</v>
      </c>
      <c r="T287" s="142">
        <f>Mitigation_Industry!$G$769</f>
        <v>1.9988245320635362E-3</v>
      </c>
      <c r="U287" s="142">
        <f>Mitigation_Industry!$G$769</f>
        <v>1.9988245320635362E-3</v>
      </c>
      <c r="V287" s="142">
        <f>Mitigation_Industry!$G$769</f>
        <v>1.9988245320635362E-3</v>
      </c>
      <c r="W287" s="142">
        <f>Mitigation_Industry!$G$769</f>
        <v>1.9988245320635362E-3</v>
      </c>
      <c r="X287" s="142">
        <f>Mitigation_Industry!$G$769</f>
        <v>1.9988245320635362E-3</v>
      </c>
      <c r="Y287" s="142">
        <f>Mitigation_Industry!$G$769</f>
        <v>1.9988245320635362E-3</v>
      </c>
      <c r="Z287" s="142">
        <f>Mitigation_Industry!$G$769</f>
        <v>1.9988245320635362E-3</v>
      </c>
      <c r="AA287" s="142">
        <f>Mitigation_Industry!$G$769</f>
        <v>1.9988245320635362E-3</v>
      </c>
      <c r="AB287" s="142">
        <f>Mitigation_Industry!$G$769</f>
        <v>1.9988245320635362E-3</v>
      </c>
      <c r="AC287" s="142">
        <f>Mitigation_Industry!$G$769</f>
        <v>1.9988245320635362E-3</v>
      </c>
      <c r="AD287" s="142">
        <f>Mitigation_Industry!$G$769</f>
        <v>1.9988245320635362E-3</v>
      </c>
      <c r="AE287" s="142">
        <f>Mitigation_Industry!$G$769</f>
        <v>1.9988245320635362E-3</v>
      </c>
      <c r="AF287" s="141"/>
      <c r="AG287" s="141"/>
      <c r="AH287" s="141"/>
      <c r="AI287" s="141"/>
    </row>
    <row r="288" spans="2:35" x14ac:dyDescent="0.35"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  <c r="AA288" s="135"/>
      <c r="AB288" s="135"/>
      <c r="AC288" s="135"/>
      <c r="AD288" s="135"/>
      <c r="AE288" s="135"/>
      <c r="AF288" s="135"/>
      <c r="AG288" s="135"/>
      <c r="AH288" s="135"/>
      <c r="AI288" s="135"/>
    </row>
    <row r="289" spans="1:35" customFormat="1" ht="14.25" x14ac:dyDescent="0.45">
      <c r="A289" s="11"/>
      <c r="B289" s="6"/>
      <c r="C289" s="7" t="s">
        <v>2637</v>
      </c>
      <c r="D289" s="6" t="s">
        <v>1488</v>
      </c>
      <c r="E289" s="7" t="s">
        <v>35</v>
      </c>
      <c r="F289" s="7" t="s">
        <v>45</v>
      </c>
      <c r="G289" s="7" t="s">
        <v>37</v>
      </c>
      <c r="H289" s="12" t="s">
        <v>38</v>
      </c>
      <c r="I289" s="6" t="s">
        <v>39</v>
      </c>
      <c r="J289" s="48">
        <v>2</v>
      </c>
      <c r="K289" s="137">
        <v>2021</v>
      </c>
      <c r="L289" s="138">
        <v>2022</v>
      </c>
      <c r="M289" s="137">
        <v>2023</v>
      </c>
      <c r="N289" s="137">
        <v>2024</v>
      </c>
      <c r="O289" s="137">
        <v>2025</v>
      </c>
      <c r="P289" s="137">
        <v>2026</v>
      </c>
      <c r="Q289" s="137">
        <v>2027</v>
      </c>
      <c r="R289" s="137">
        <v>2028</v>
      </c>
      <c r="S289" s="137">
        <v>2029</v>
      </c>
      <c r="T289" s="137">
        <v>2030</v>
      </c>
      <c r="U289" s="137">
        <v>2031</v>
      </c>
      <c r="V289" s="137">
        <v>2032</v>
      </c>
      <c r="W289" s="137">
        <v>2033</v>
      </c>
      <c r="X289" s="137">
        <v>2034</v>
      </c>
      <c r="Y289" s="137">
        <v>2035</v>
      </c>
      <c r="Z289" s="137">
        <v>2036</v>
      </c>
      <c r="AA289" s="137">
        <v>2037</v>
      </c>
      <c r="AB289" s="137">
        <v>2038</v>
      </c>
      <c r="AC289" s="137">
        <v>2039</v>
      </c>
      <c r="AD289" s="137">
        <v>2040</v>
      </c>
      <c r="AE289" s="137">
        <v>2041</v>
      </c>
      <c r="AF289" s="137">
        <v>2042</v>
      </c>
      <c r="AG289" s="137">
        <v>2043</v>
      </c>
      <c r="AH289" s="137">
        <v>2044</v>
      </c>
      <c r="AI289" s="137">
        <v>2045</v>
      </c>
    </row>
    <row r="290" spans="1:35" customFormat="1" ht="14.25" x14ac:dyDescent="0.45">
      <c r="B290" s="14" t="s">
        <v>2565</v>
      </c>
      <c r="C290" s="14" t="s">
        <v>43</v>
      </c>
      <c r="D290" s="15" t="s">
        <v>2638</v>
      </c>
      <c r="E290" s="16" t="s">
        <v>2068</v>
      </c>
      <c r="F290" s="14" t="s">
        <v>2637</v>
      </c>
      <c r="G290" s="17"/>
      <c r="H290" s="128" t="str">
        <f>Settings!$B$3&amp;".mit.wm.stl.drg.np.2"</f>
        <v>egy.mit.wm.stl.drg.np.2</v>
      </c>
      <c r="I290" t="s">
        <v>2639</v>
      </c>
      <c r="K290" s="139"/>
      <c r="L290" s="140">
        <f>Mitigation_Industry!L$675*Mitigation_Industry!$J$672*MAX(Mitigation_Industry!$J$663,0)*Mitigation_Industry!$F$762/1000</f>
        <v>0.17734546065090059</v>
      </c>
      <c r="M290" s="140">
        <f>Mitigation_Industry!M$675*Mitigation_Industry!$J$672*MAX(Mitigation_Industry!$J$663,0)*Mitigation_Industry!$F$762/1000</f>
        <v>0.18514866091954021</v>
      </c>
      <c r="N290" s="140">
        <f>Mitigation_Industry!N$675*Mitigation_Industry!$J$672*MAX(Mitigation_Industry!$J$663,0)*Mitigation_Industry!$F$762/1000</f>
        <v>0.193295202</v>
      </c>
      <c r="O290" s="140">
        <f>Mitigation_Industry!O$675*Mitigation_Industry!$J$672*MAX(Mitigation_Industry!$J$663,0)*Mitigation_Industry!$F$762/1000</f>
        <v>0.20180019088800003</v>
      </c>
      <c r="P290" s="140">
        <f>Mitigation_Industry!P$675*Mitigation_Industry!$J$672*MAX(Mitigation_Industry!$J$663,0)*Mitigation_Industry!$F$762/1000</f>
        <v>0.21067939928707202</v>
      </c>
      <c r="Q290" s="140">
        <f>Mitigation_Industry!Q$675*Mitigation_Industry!$J$672*MAX(Mitigation_Industry!$J$663,0)*Mitigation_Industry!$F$762/1000</f>
        <v>0.21994929285570322</v>
      </c>
      <c r="R290" s="140">
        <f>Mitigation_Industry!R$675*Mitigation_Industry!$J$672*MAX(Mitigation_Industry!$J$663,0)*Mitigation_Industry!$F$762/1000</f>
        <v>0.22962706174135414</v>
      </c>
      <c r="S290" s="140">
        <f>Mitigation_Industry!S$675*Mitigation_Industry!$J$672*MAX(Mitigation_Industry!$J$663,0)*Mitigation_Industry!$F$762/1000</f>
        <v>0.2397306524579737</v>
      </c>
      <c r="T290" s="140">
        <f>Mitigation_Industry!T$675*Mitigation_Industry!$J$672*MAX(Mitigation_Industry!$J$663,0)*Mitigation_Industry!$F$762/1000</f>
        <v>0.25027880116612461</v>
      </c>
      <c r="U290" s="140">
        <f>Mitigation_Industry!U$675*Mitigation_Industry!$J$672*MAX(Mitigation_Industry!$J$663,0)*Mitigation_Industry!$F$762/1000</f>
        <v>0.2612910684174341</v>
      </c>
      <c r="V290" s="140">
        <f>Mitigation_Industry!V$675*Mitigation_Industry!$J$672*MAX(Mitigation_Industry!$J$663,0)*Mitigation_Industry!$F$762/1000</f>
        <v>0.27278787542780114</v>
      </c>
      <c r="W290" s="140">
        <f>Mitigation_Industry!W$675*Mitigation_Industry!$J$672*MAX(Mitigation_Industry!$J$663,0)*Mitigation_Industry!$F$762/1000</f>
        <v>0.28479054194662445</v>
      </c>
      <c r="X290" s="140">
        <f>Mitigation_Industry!X$675*Mitigation_Industry!$J$672*MAX(Mitigation_Industry!$J$663,0)*Mitigation_Industry!$F$762/1000</f>
        <v>0.29732132579227588</v>
      </c>
      <c r="Y290" s="140">
        <f>Mitigation_Industry!Y$675*Mitigation_Industry!$J$672*MAX(Mitigation_Industry!$J$663,0)*Mitigation_Industry!$F$762/1000</f>
        <v>0.3104034641271361</v>
      </c>
      <c r="Z290" s="140">
        <f>Mitigation_Industry!Z$675*Mitigation_Industry!$J$672*MAX(Mitigation_Industry!$J$663,0)*Mitigation_Industry!$F$762/1000</f>
        <v>0.32406121654872999</v>
      </c>
      <c r="AA290" s="140">
        <f>Mitigation_Industry!AA$675*Mitigation_Industry!$J$672*MAX(Mitigation_Industry!$J$663,0)*Mitigation_Industry!$F$762/1000</f>
        <v>0.33831991007687412</v>
      </c>
      <c r="AB290" s="140">
        <f>Mitigation_Industry!AB$675*Mitigation_Industry!$J$672*MAX(Mitigation_Industry!$J$663,0)*Mitigation_Industry!$F$762/1000</f>
        <v>0.35320598612025667</v>
      </c>
      <c r="AC290" s="140">
        <f>Mitigation_Industry!AC$675*Mitigation_Industry!$J$672*MAX(Mitigation_Industry!$J$663,0)*Mitigation_Industry!$F$762/1000</f>
        <v>0.36874704950954795</v>
      </c>
      <c r="AD290" s="140">
        <f>Mitigation_Industry!AD$675*Mitigation_Industry!$J$672*MAX(Mitigation_Industry!$J$663,0)*Mitigation_Industry!$F$762/1000</f>
        <v>0.38497191968796801</v>
      </c>
      <c r="AE290" s="140">
        <f>Mitigation_Industry!AE$675*Mitigation_Industry!$J$672*MAX(Mitigation_Industry!$J$663,0)*Mitigation_Industry!$F$762/1000</f>
        <v>0.40191068415423858</v>
      </c>
      <c r="AF290" s="141"/>
      <c r="AG290" s="141"/>
      <c r="AH290" s="141"/>
      <c r="AI290" s="141"/>
    </row>
    <row r="291" spans="1:35" customFormat="1" ht="14.25" x14ac:dyDescent="0.45">
      <c r="B291" s="14" t="s">
        <v>2568</v>
      </c>
      <c r="C291" s="14" t="s">
        <v>43</v>
      </c>
      <c r="D291" s="15" t="s">
        <v>2640</v>
      </c>
      <c r="E291" s="16" t="s">
        <v>2068</v>
      </c>
      <c r="F291" s="14" t="s">
        <v>2637</v>
      </c>
      <c r="G291" s="17"/>
      <c r="H291" s="128" t="str">
        <f>Settings!$B$3&amp;".mit.wm.stl.scr.np.2"</f>
        <v>egy.mit.wm.stl.scr.np.2</v>
      </c>
      <c r="K291" s="139"/>
      <c r="L291" s="140">
        <f>Mitigation_Industry!L$676*Mitigation_Industry!$J$672*MAX(Mitigation_Industry!$J$664,0)*Mitigation_Industry!$F$763/1000</f>
        <v>0.19368983132954593</v>
      </c>
      <c r="M291" s="140">
        <f>Mitigation_Industry!M$676*Mitigation_Industry!$J$672*MAX(Mitigation_Industry!$J$664,0)*Mitigation_Industry!$F$763/1000</f>
        <v>0.20221218390804596</v>
      </c>
      <c r="N291" s="140">
        <f>Mitigation_Industry!N$676*Mitigation_Industry!$J$672*MAX(Mitigation_Industry!$J$664,0)*Mitigation_Industry!$F$763/1000</f>
        <v>0.21110951999999997</v>
      </c>
      <c r="O291" s="140">
        <f>Mitigation_Industry!O$676*Mitigation_Industry!$J$672*MAX(Mitigation_Industry!$J$664,0)*Mitigation_Industry!$F$763/1000</f>
        <v>0.22039833887999999</v>
      </c>
      <c r="P291" s="140">
        <f>Mitigation_Industry!P$676*Mitigation_Industry!$J$672*MAX(Mitigation_Industry!$J$664,0)*Mitigation_Industry!$F$763/1000</f>
        <v>0.23009586579071997</v>
      </c>
      <c r="Q291" s="140">
        <f>Mitigation_Industry!Q$676*Mitigation_Industry!$J$672*MAX(Mitigation_Industry!$J$664,0)*Mitigation_Industry!$F$763/1000</f>
        <v>0.24022008388551169</v>
      </c>
      <c r="R291" s="140">
        <f>Mitigation_Industry!R$676*Mitigation_Industry!$J$672*MAX(Mitigation_Industry!$J$664,0)*Mitigation_Industry!$F$763/1000</f>
        <v>0.25078976757647414</v>
      </c>
      <c r="S291" s="140">
        <f>Mitigation_Industry!S$676*Mitigation_Industry!$J$672*MAX(Mitigation_Industry!$J$664,0)*Mitigation_Industry!$F$763/1000</f>
        <v>0.26182451734983908</v>
      </c>
      <c r="T291" s="140">
        <f>Mitigation_Industry!T$676*Mitigation_Industry!$J$672*MAX(Mitigation_Industry!$J$664,0)*Mitigation_Industry!$F$763/1000</f>
        <v>0.27334479611323198</v>
      </c>
      <c r="U291" s="140">
        <f>Mitigation_Industry!U$676*Mitigation_Industry!$J$672*MAX(Mitigation_Industry!$J$664,0)*Mitigation_Industry!$F$763/1000</f>
        <v>0.28537196714221424</v>
      </c>
      <c r="V291" s="140">
        <f>Mitigation_Industry!V$676*Mitigation_Industry!$J$672*MAX(Mitigation_Industry!$J$664,0)*Mitigation_Industry!$F$763/1000</f>
        <v>0.29792833369647159</v>
      </c>
      <c r="W291" s="140">
        <f>Mitigation_Industry!W$676*Mitigation_Industry!$J$672*MAX(Mitigation_Industry!$J$664,0)*Mitigation_Industry!$F$763/1000</f>
        <v>0.31103718037911643</v>
      </c>
      <c r="X291" s="140">
        <f>Mitigation_Industry!X$676*Mitigation_Industry!$J$672*MAX(Mitigation_Industry!$J$664,0)*Mitigation_Industry!$F$763/1000</f>
        <v>0.32472281631579752</v>
      </c>
      <c r="Y291" s="140">
        <f>Mitigation_Industry!Y$676*Mitigation_Industry!$J$672*MAX(Mitigation_Industry!$J$664,0)*Mitigation_Industry!$F$763/1000</f>
        <v>0.33901062023369266</v>
      </c>
      <c r="Z291" s="140">
        <f>Mitigation_Industry!Z$676*Mitigation_Industry!$J$672*MAX(Mitigation_Industry!$J$664,0)*Mitigation_Industry!$F$763/1000</f>
        <v>0.35392708752397511</v>
      </c>
      <c r="AA291" s="140">
        <f>Mitigation_Industry!AA$676*Mitigation_Industry!$J$672*MAX(Mitigation_Industry!$J$664,0)*Mitigation_Industry!$F$763/1000</f>
        <v>0.36949987937502998</v>
      </c>
      <c r="AB291" s="140">
        <f>Mitigation_Industry!AB$676*Mitigation_Industry!$J$672*MAX(Mitigation_Industry!$J$664,0)*Mitigation_Industry!$F$763/1000</f>
        <v>0.38575787406753137</v>
      </c>
      <c r="AC291" s="140">
        <f>Mitigation_Industry!AC$676*Mitigation_Industry!$J$672*MAX(Mitigation_Industry!$J$664,0)*Mitigation_Industry!$F$763/1000</f>
        <v>0.40273122052650273</v>
      </c>
      <c r="AD291" s="140">
        <f>Mitigation_Industry!AD$676*Mitigation_Industry!$J$672*MAX(Mitigation_Industry!$J$664,0)*Mitigation_Industry!$F$763/1000</f>
        <v>0.42045139422966882</v>
      </c>
      <c r="AE291" s="140">
        <f>Mitigation_Industry!AE$676*Mitigation_Industry!$J$672*MAX(Mitigation_Industry!$J$664,0)*Mitigation_Industry!$F$763/1000</f>
        <v>0.43895125557577425</v>
      </c>
      <c r="AF291" s="141"/>
      <c r="AG291" s="141"/>
      <c r="AH291" s="141"/>
      <c r="AI291" s="141"/>
    </row>
    <row r="292" spans="1:35" customFormat="1" ht="14.25" x14ac:dyDescent="0.45">
      <c r="B292" s="14" t="s">
        <v>2570</v>
      </c>
      <c r="C292" s="14" t="s">
        <v>43</v>
      </c>
      <c r="D292" s="15" t="s">
        <v>2641</v>
      </c>
      <c r="E292" s="16" t="s">
        <v>2068</v>
      </c>
      <c r="F292" s="14" t="s">
        <v>2637</v>
      </c>
      <c r="G292" s="17"/>
      <c r="H292" s="128" t="str">
        <f>Settings!$B$3&amp;".mit.wm.stl.bof.np.2"</f>
        <v>egy.mit.wm.stl.bof.np.2</v>
      </c>
      <c r="K292" s="139"/>
      <c r="L292" s="140">
        <f>Mitigation_Industry!L$677*Mitigation_Industry!$J$672*MAX(Mitigation_Industry!$J$665,0)*Mitigation_Industry!$F$764/1000</f>
        <v>0</v>
      </c>
      <c r="M292" s="140">
        <f>Mitigation_Industry!M$677*Mitigation_Industry!$J$672*MAX(Mitigation_Industry!$J$665,0)*Mitigation_Industry!$F$764/1000</f>
        <v>0</v>
      </c>
      <c r="N292" s="140">
        <f>Mitigation_Industry!N$677*Mitigation_Industry!$J$672*MAX(Mitigation_Industry!$J$665,0)*Mitigation_Industry!$F$764/1000</f>
        <v>0</v>
      </c>
      <c r="O292" s="140">
        <f>Mitigation_Industry!O$677*Mitigation_Industry!$J$672*MAX(Mitigation_Industry!$J$665,0)*Mitigation_Industry!$F$764/1000</f>
        <v>0</v>
      </c>
      <c r="P292" s="140">
        <f>Mitigation_Industry!P$677*Mitigation_Industry!$J$672*MAX(Mitigation_Industry!$J$665,0)*Mitigation_Industry!$F$764/1000</f>
        <v>0</v>
      </c>
      <c r="Q292" s="140">
        <f>Mitigation_Industry!Q$677*Mitigation_Industry!$J$672*MAX(Mitigation_Industry!$J$665,0)*Mitigation_Industry!$F$764/1000</f>
        <v>0</v>
      </c>
      <c r="R292" s="140">
        <f>Mitigation_Industry!R$677*Mitigation_Industry!$J$672*MAX(Mitigation_Industry!$J$665,0)*Mitigation_Industry!$F$764/1000</f>
        <v>0</v>
      </c>
      <c r="S292" s="140">
        <f>Mitigation_Industry!S$677*Mitigation_Industry!$J$672*MAX(Mitigation_Industry!$J$665,0)*Mitigation_Industry!$F$764/1000</f>
        <v>0</v>
      </c>
      <c r="T292" s="140">
        <f>Mitigation_Industry!T$677*Mitigation_Industry!$J$672*MAX(Mitigation_Industry!$J$665,0)*Mitigation_Industry!$F$764/1000</f>
        <v>0</v>
      </c>
      <c r="U292" s="140">
        <f>Mitigation_Industry!U$677*Mitigation_Industry!$J$672*MAX(Mitigation_Industry!$J$665,0)*Mitigation_Industry!$F$764/1000</f>
        <v>0</v>
      </c>
      <c r="V292" s="140">
        <f>Mitigation_Industry!V$677*Mitigation_Industry!$J$672*MAX(Mitigation_Industry!$J$665,0)*Mitigation_Industry!$F$764/1000</f>
        <v>0</v>
      </c>
      <c r="W292" s="140">
        <f>Mitigation_Industry!W$677*Mitigation_Industry!$J$672*MAX(Mitigation_Industry!$J$665,0)*Mitigation_Industry!$F$764/1000</f>
        <v>0</v>
      </c>
      <c r="X292" s="140">
        <f>Mitigation_Industry!X$677*Mitigation_Industry!$J$672*MAX(Mitigation_Industry!$J$665,0)*Mitigation_Industry!$F$764/1000</f>
        <v>0</v>
      </c>
      <c r="Y292" s="140">
        <f>Mitigation_Industry!Y$677*Mitigation_Industry!$J$672*MAX(Mitigation_Industry!$J$665,0)*Mitigation_Industry!$F$764/1000</f>
        <v>0</v>
      </c>
      <c r="Z292" s="140">
        <f>Mitigation_Industry!Z$677*Mitigation_Industry!$J$672*MAX(Mitigation_Industry!$J$665,0)*Mitigation_Industry!$F$764/1000</f>
        <v>0</v>
      </c>
      <c r="AA292" s="140">
        <f>Mitigation_Industry!AA$677*Mitigation_Industry!$J$672*MAX(Mitigation_Industry!$J$665,0)*Mitigation_Industry!$F$764/1000</f>
        <v>0</v>
      </c>
      <c r="AB292" s="140">
        <f>Mitigation_Industry!AB$677*Mitigation_Industry!$J$672*MAX(Mitigation_Industry!$J$665,0)*Mitigation_Industry!$F$764/1000</f>
        <v>0</v>
      </c>
      <c r="AC292" s="140">
        <f>Mitigation_Industry!AC$677*Mitigation_Industry!$J$672*MAX(Mitigation_Industry!$J$665,0)*Mitigation_Industry!$F$764/1000</f>
        <v>0</v>
      </c>
      <c r="AD292" s="140">
        <f>Mitigation_Industry!AD$677*Mitigation_Industry!$J$672*MAX(Mitigation_Industry!$J$665,0)*Mitigation_Industry!$F$764/1000</f>
        <v>0</v>
      </c>
      <c r="AE292" s="140">
        <f>Mitigation_Industry!AE$677*Mitigation_Industry!$J$672*MAX(Mitigation_Industry!$J$665,0)*Mitigation_Industry!$F$764/1000</f>
        <v>0</v>
      </c>
      <c r="AF292" s="141"/>
      <c r="AG292" s="141"/>
      <c r="AH292" s="141"/>
      <c r="AI292" s="141"/>
    </row>
    <row r="293" spans="1:35" customFormat="1" ht="14.25" x14ac:dyDescent="0.45">
      <c r="B293" s="14" t="s">
        <v>2572</v>
      </c>
      <c r="C293" s="14" t="s">
        <v>113</v>
      </c>
      <c r="D293" s="15" t="s">
        <v>2642</v>
      </c>
      <c r="E293" s="16" t="s">
        <v>2068</v>
      </c>
      <c r="F293" s="14" t="s">
        <v>2637</v>
      </c>
      <c r="G293" s="17"/>
      <c r="H293" s="128" t="str">
        <f>Settings!$B$3&amp;".mit.wm.cmt.dry.np.2"</f>
        <v>egy.mit.wm.cmt.dry.np.2</v>
      </c>
      <c r="K293" s="139"/>
      <c r="L293" s="140">
        <f>Mitigation_Industry!L$678*Mitigation_Industry!$J$672*MAX(Mitigation_Industry!$J$666,0)*Mitigation_Industry!$F$765/1000</f>
        <v>25.163138219961041</v>
      </c>
      <c r="M293" s="140">
        <f>Mitigation_Industry!M$678*Mitigation_Industry!$J$672*MAX(Mitigation_Industry!$J$666,0)*Mitigation_Industry!$F$765/1000</f>
        <v>25.993521781219755</v>
      </c>
      <c r="N293" s="140">
        <f>Mitigation_Industry!N$678*Mitigation_Industry!$J$672*MAX(Mitigation_Industry!$J$666,0)*Mitigation_Industry!$F$765/1000</f>
        <v>26.851308</v>
      </c>
      <c r="O293" s="140">
        <f>Mitigation_Industry!O$678*Mitigation_Industry!$J$672*MAX(Mitigation_Industry!$J$666,0)*Mitigation_Industry!$F$765/1000</f>
        <v>27.737401163999998</v>
      </c>
      <c r="P293" s="140">
        <f>Mitigation_Industry!P$678*Mitigation_Industry!$J$672*MAX(Mitigation_Industry!$J$666,0)*Mitigation_Industry!$F$765/1000</f>
        <v>28.652735402411995</v>
      </c>
      <c r="Q293" s="140">
        <f>Mitigation_Industry!Q$678*Mitigation_Industry!$J$672*MAX(Mitigation_Industry!$J$666,0)*Mitigation_Industry!$F$765/1000</f>
        <v>29.598275670691589</v>
      </c>
      <c r="R293" s="140">
        <f>Mitigation_Industry!R$678*Mitigation_Industry!$J$672*MAX(Mitigation_Industry!$J$666,0)*Mitigation_Industry!$F$765/1000</f>
        <v>30.575018767824407</v>
      </c>
      <c r="S293" s="140">
        <f>Mitigation_Industry!S$678*Mitigation_Industry!$J$672*MAX(Mitigation_Industry!$J$666,0)*Mitigation_Industry!$F$765/1000</f>
        <v>31.583994387162612</v>
      </c>
      <c r="T293" s="140">
        <f>Mitigation_Industry!T$678*Mitigation_Industry!$J$672*MAX(Mitigation_Industry!$J$666,0)*Mitigation_Industry!$F$765/1000</f>
        <v>32.626266201938975</v>
      </c>
      <c r="U293" s="140">
        <f>Mitigation_Industry!U$678*Mitigation_Industry!$J$672*MAX(Mitigation_Industry!$J$666,0)*Mitigation_Industry!$F$765/1000</f>
        <v>33.70293298660296</v>
      </c>
      <c r="V293" s="140">
        <f>Mitigation_Industry!V$678*Mitigation_Industry!$J$672*MAX(Mitigation_Industry!$J$666,0)*Mitigation_Industry!$F$765/1000</f>
        <v>34.815129775160841</v>
      </c>
      <c r="W293" s="140">
        <f>Mitigation_Industry!W$678*Mitigation_Industry!$J$672*MAX(Mitigation_Industry!$J$666,0)*Mitigation_Industry!$F$765/1000</f>
        <v>35.964029057741151</v>
      </c>
      <c r="X293" s="140">
        <f>Mitigation_Industry!X$678*Mitigation_Industry!$J$672*MAX(Mitigation_Industry!$J$666,0)*Mitigation_Industry!$F$765/1000</f>
        <v>37.150842016646592</v>
      </c>
      <c r="Y293" s="140">
        <f>Mitigation_Industry!Y$678*Mitigation_Industry!$J$672*MAX(Mitigation_Industry!$J$666,0)*Mitigation_Industry!$F$765/1000</f>
        <v>38.376819803195943</v>
      </c>
      <c r="Z293" s="140">
        <f>Mitigation_Industry!Z$678*Mitigation_Industry!$J$672*MAX(Mitigation_Industry!$J$666,0)*Mitigation_Industry!$F$765/1000</f>
        <v>39.643254856701404</v>
      </c>
      <c r="AA293" s="140">
        <f>Mitigation_Industry!AA$678*Mitigation_Industry!$J$672*MAX(Mitigation_Industry!$J$666,0)*Mitigation_Industry!$F$765/1000</f>
        <v>40.951482266972548</v>
      </c>
      <c r="AB293" s="140">
        <f>Mitigation_Industry!AB$678*Mitigation_Industry!$J$672*MAX(Mitigation_Industry!$J$666,0)*Mitigation_Industry!$F$765/1000</f>
        <v>42.302881181782631</v>
      </c>
      <c r="AC293" s="140">
        <f>Mitigation_Industry!AC$678*Mitigation_Industry!$J$672*MAX(Mitigation_Industry!$J$666,0)*Mitigation_Industry!$F$765/1000</f>
        <v>43.698876260781446</v>
      </c>
      <c r="AD293" s="140">
        <f>Mitigation_Industry!AD$678*Mitigation_Industry!$J$672*MAX(Mitigation_Industry!$J$666,0)*Mitigation_Industry!$F$765/1000</f>
        <v>45.140939177387231</v>
      </c>
      <c r="AE293" s="140">
        <f>Mitigation_Industry!AE$678*Mitigation_Industry!$J$672*MAX(Mitigation_Industry!$J$666,0)*Mitigation_Industry!$F$765/1000</f>
        <v>46.630590170241007</v>
      </c>
      <c r="AF293" s="141"/>
      <c r="AG293" s="141"/>
      <c r="AH293" s="141"/>
      <c r="AI293" s="141"/>
    </row>
    <row r="294" spans="1:35" customFormat="1" ht="14.25" x14ac:dyDescent="0.45">
      <c r="B294" s="14" t="s">
        <v>2574</v>
      </c>
      <c r="C294" s="14" t="s">
        <v>117</v>
      </c>
      <c r="D294" s="15" t="s">
        <v>2643</v>
      </c>
      <c r="E294" s="16" t="s">
        <v>2068</v>
      </c>
      <c r="F294" s="14" t="s">
        <v>2637</v>
      </c>
      <c r="G294" s="17"/>
      <c r="H294" s="128" t="str">
        <f>Settings!$B$3&amp;".mit.wm.frt.amc.np.2"</f>
        <v>egy.mit.wm.frt.amc.np.2</v>
      </c>
      <c r="K294" s="139"/>
      <c r="L294" s="140">
        <f>Mitigation_Industry!L$679*Mitigation_Industry!$J$672*MAX(Mitigation_Industry!$J$667,0)*Mitigation_Industry!$F$766/1000</f>
        <v>0</v>
      </c>
      <c r="M294" s="140">
        <f>Mitigation_Industry!M$679*Mitigation_Industry!$J$672*MAX(Mitigation_Industry!$J$667,0)*Mitigation_Industry!$F$766/1000</f>
        <v>0</v>
      </c>
      <c r="N294" s="140">
        <f>Mitigation_Industry!N$679*Mitigation_Industry!$J$672*MAX(Mitigation_Industry!$J$667,0)*Mitigation_Industry!$F$766/1000</f>
        <v>0</v>
      </c>
      <c r="O294" s="140">
        <f>Mitigation_Industry!O$679*Mitigation_Industry!$J$672*MAX(Mitigation_Industry!$J$667,0)*Mitigation_Industry!$F$766/1000</f>
        <v>0</v>
      </c>
      <c r="P294" s="140">
        <f>Mitigation_Industry!P$679*Mitigation_Industry!$J$672*MAX(Mitigation_Industry!$J$667,0)*Mitigation_Industry!$F$766/1000</f>
        <v>0</v>
      </c>
      <c r="Q294" s="140">
        <f>Mitigation_Industry!Q$679*Mitigation_Industry!$J$672*MAX(Mitigation_Industry!$J$667,0)*Mitigation_Industry!$F$766/1000</f>
        <v>0</v>
      </c>
      <c r="R294" s="140">
        <f>Mitigation_Industry!R$679*Mitigation_Industry!$J$672*MAX(Mitigation_Industry!$J$667,0)*Mitigation_Industry!$F$766/1000</f>
        <v>0</v>
      </c>
      <c r="S294" s="140">
        <f>Mitigation_Industry!S$679*Mitigation_Industry!$J$672*MAX(Mitigation_Industry!$J$667,0)*Mitigation_Industry!$F$766/1000</f>
        <v>0</v>
      </c>
      <c r="T294" s="140">
        <f>Mitigation_Industry!T$679*Mitigation_Industry!$J$672*MAX(Mitigation_Industry!$J$667,0)*Mitigation_Industry!$F$766/1000</f>
        <v>0</v>
      </c>
      <c r="U294" s="140">
        <f>Mitigation_Industry!U$679*Mitigation_Industry!$J$672*MAX(Mitigation_Industry!$J$667,0)*Mitigation_Industry!$F$766/1000</f>
        <v>0</v>
      </c>
      <c r="V294" s="140">
        <f>Mitigation_Industry!V$679*Mitigation_Industry!$J$672*MAX(Mitigation_Industry!$J$667,0)*Mitigation_Industry!$F$766/1000</f>
        <v>0</v>
      </c>
      <c r="W294" s="140">
        <f>Mitigation_Industry!W$679*Mitigation_Industry!$J$672*MAX(Mitigation_Industry!$J$667,0)*Mitigation_Industry!$F$766/1000</f>
        <v>0</v>
      </c>
      <c r="X294" s="140">
        <f>Mitigation_Industry!X$679*Mitigation_Industry!$J$672*MAX(Mitigation_Industry!$J$667,0)*Mitigation_Industry!$F$766/1000</f>
        <v>0</v>
      </c>
      <c r="Y294" s="140">
        <f>Mitigation_Industry!Y$679*Mitigation_Industry!$J$672*MAX(Mitigation_Industry!$J$667,0)*Mitigation_Industry!$F$766/1000</f>
        <v>0</v>
      </c>
      <c r="Z294" s="140">
        <f>Mitigation_Industry!Z$679*Mitigation_Industry!$J$672*MAX(Mitigation_Industry!$J$667,0)*Mitigation_Industry!$F$766/1000</f>
        <v>0</v>
      </c>
      <c r="AA294" s="140">
        <f>Mitigation_Industry!AA$679*Mitigation_Industry!$J$672*MAX(Mitigation_Industry!$J$667,0)*Mitigation_Industry!$F$766/1000</f>
        <v>0</v>
      </c>
      <c r="AB294" s="140">
        <f>Mitigation_Industry!AB$679*Mitigation_Industry!$J$672*MAX(Mitigation_Industry!$J$667,0)*Mitigation_Industry!$F$766/1000</f>
        <v>0</v>
      </c>
      <c r="AC294" s="140">
        <f>Mitigation_Industry!AC$679*Mitigation_Industry!$J$672*MAX(Mitigation_Industry!$J$667,0)*Mitigation_Industry!$F$766/1000</f>
        <v>0</v>
      </c>
      <c r="AD294" s="140">
        <f>Mitigation_Industry!AD$679*Mitigation_Industry!$J$672*MAX(Mitigation_Industry!$J$667,0)*Mitigation_Industry!$F$766/1000</f>
        <v>0</v>
      </c>
      <c r="AE294" s="140">
        <f>Mitigation_Industry!AE$679*Mitigation_Industry!$J$672*MAX(Mitigation_Industry!$J$667,0)*Mitigation_Industry!$F$766/1000</f>
        <v>0</v>
      </c>
      <c r="AF294" s="141"/>
      <c r="AG294" s="141"/>
      <c r="AH294" s="141"/>
      <c r="AI294" s="141"/>
    </row>
    <row r="295" spans="1:35" customFormat="1" ht="14.25" x14ac:dyDescent="0.45">
      <c r="B295" s="14" t="s">
        <v>2576</v>
      </c>
      <c r="C295" s="14" t="s">
        <v>117</v>
      </c>
      <c r="D295" s="15" t="s">
        <v>2644</v>
      </c>
      <c r="E295" s="16" t="s">
        <v>2068</v>
      </c>
      <c r="F295" s="14" t="s">
        <v>2637</v>
      </c>
      <c r="G295" s="17"/>
      <c r="H295" s="128" t="str">
        <f>Settings!$B$3&amp;".mit.wm.frt.ure.np.2"</f>
        <v>egy.mit.wm.frt.ure.np.2</v>
      </c>
      <c r="K295" s="139"/>
      <c r="L295" s="140">
        <f>Mitigation_Industry!L$680*Mitigation_Industry!$J$672*MAX(Mitigation_Industry!$J$668,0)*Mitigation_Industry!$F$767/1000</f>
        <v>0</v>
      </c>
      <c r="M295" s="140">
        <f>Mitigation_Industry!M$680*Mitigation_Industry!$J$672*MAX(Mitigation_Industry!$J$668,0)*Mitigation_Industry!$F$767/1000</f>
        <v>0</v>
      </c>
      <c r="N295" s="140">
        <f>Mitigation_Industry!N$680*Mitigation_Industry!$J$672*MAX(Mitigation_Industry!$J$668,0)*Mitigation_Industry!$F$767/1000</f>
        <v>0</v>
      </c>
      <c r="O295" s="140">
        <f>Mitigation_Industry!O$680*Mitigation_Industry!$J$672*MAX(Mitigation_Industry!$J$668,0)*Mitigation_Industry!$F$767/1000</f>
        <v>0</v>
      </c>
      <c r="P295" s="140">
        <f>Mitigation_Industry!P$680*Mitigation_Industry!$J$672*MAX(Mitigation_Industry!$J$668,0)*Mitigation_Industry!$F$767/1000</f>
        <v>0</v>
      </c>
      <c r="Q295" s="140">
        <f>Mitigation_Industry!Q$680*Mitigation_Industry!$J$672*MAX(Mitigation_Industry!$J$668,0)*Mitigation_Industry!$F$767/1000</f>
        <v>0</v>
      </c>
      <c r="R295" s="140">
        <f>Mitigation_Industry!R$680*Mitigation_Industry!$J$672*MAX(Mitigation_Industry!$J$668,0)*Mitigation_Industry!$F$767/1000</f>
        <v>0</v>
      </c>
      <c r="S295" s="140">
        <f>Mitigation_Industry!S$680*Mitigation_Industry!$J$672*MAX(Mitigation_Industry!$J$668,0)*Mitigation_Industry!$F$767/1000</f>
        <v>0</v>
      </c>
      <c r="T295" s="140">
        <f>Mitigation_Industry!T$680*Mitigation_Industry!$J$672*MAX(Mitigation_Industry!$J$668,0)*Mitigation_Industry!$F$767/1000</f>
        <v>0</v>
      </c>
      <c r="U295" s="140">
        <f>Mitigation_Industry!U$680*Mitigation_Industry!$J$672*MAX(Mitigation_Industry!$J$668,0)*Mitigation_Industry!$F$767/1000</f>
        <v>0</v>
      </c>
      <c r="V295" s="140">
        <f>Mitigation_Industry!V$680*Mitigation_Industry!$J$672*MAX(Mitigation_Industry!$J$668,0)*Mitigation_Industry!$F$767/1000</f>
        <v>0</v>
      </c>
      <c r="W295" s="140">
        <f>Mitigation_Industry!W$680*Mitigation_Industry!$J$672*MAX(Mitigation_Industry!$J$668,0)*Mitigation_Industry!$F$767/1000</f>
        <v>0</v>
      </c>
      <c r="X295" s="140">
        <f>Mitigation_Industry!X$680*Mitigation_Industry!$J$672*MAX(Mitigation_Industry!$J$668,0)*Mitigation_Industry!$F$767/1000</f>
        <v>0</v>
      </c>
      <c r="Y295" s="140">
        <f>Mitigation_Industry!Y$680*Mitigation_Industry!$J$672*MAX(Mitigation_Industry!$J$668,0)*Mitigation_Industry!$F$767/1000</f>
        <v>0</v>
      </c>
      <c r="Z295" s="140">
        <f>Mitigation_Industry!Z$680*Mitigation_Industry!$J$672*MAX(Mitigation_Industry!$J$668,0)*Mitigation_Industry!$F$767/1000</f>
        <v>0</v>
      </c>
      <c r="AA295" s="140">
        <f>Mitigation_Industry!AA$680*Mitigation_Industry!$J$672*MAX(Mitigation_Industry!$J$668,0)*Mitigation_Industry!$F$767/1000</f>
        <v>0</v>
      </c>
      <c r="AB295" s="140">
        <f>Mitigation_Industry!AB$680*Mitigation_Industry!$J$672*MAX(Mitigation_Industry!$J$668,0)*Mitigation_Industry!$F$767/1000</f>
        <v>0</v>
      </c>
      <c r="AC295" s="140">
        <f>Mitigation_Industry!AC$680*Mitigation_Industry!$J$672*MAX(Mitigation_Industry!$J$668,0)*Mitigation_Industry!$F$767/1000</f>
        <v>0</v>
      </c>
      <c r="AD295" s="140">
        <f>Mitigation_Industry!AD$680*Mitigation_Industry!$J$672*MAX(Mitigation_Industry!$J$668,0)*Mitigation_Industry!$F$767/1000</f>
        <v>0</v>
      </c>
      <c r="AE295" s="140">
        <f>Mitigation_Industry!AE$680*Mitigation_Industry!$J$672*MAX(Mitigation_Industry!$J$668,0)*Mitigation_Industry!$F$767/1000</f>
        <v>0</v>
      </c>
      <c r="AF295" s="141"/>
      <c r="AG295" s="141"/>
      <c r="AH295" s="141"/>
      <c r="AI295" s="141"/>
    </row>
    <row r="296" spans="1:35" customFormat="1" ht="14.25" x14ac:dyDescent="0.45">
      <c r="B296" s="14" t="s">
        <v>2578</v>
      </c>
      <c r="C296" s="14" t="s">
        <v>117</v>
      </c>
      <c r="D296" s="15" t="s">
        <v>2645</v>
      </c>
      <c r="E296" s="16" t="s">
        <v>2068</v>
      </c>
      <c r="F296" s="14" t="s">
        <v>2637</v>
      </c>
      <c r="G296" s="17"/>
      <c r="H296" s="128" t="str">
        <f>Settings!$B$3&amp;".mit.wm.frt.nit.np.2"</f>
        <v>egy.mit.wm.frt.nit.np.2</v>
      </c>
      <c r="K296" s="139"/>
      <c r="L296" s="140">
        <f>Mitigation_Industry!L$681*Mitigation_Industry!$J$672*MAX(Mitigation_Industry!$J$669,0)*Mitigation_Industry!$F$768/1000</f>
        <v>0</v>
      </c>
      <c r="M296" s="140">
        <f>Mitigation_Industry!M$681*Mitigation_Industry!$J$672*MAX(Mitigation_Industry!$J$669,0)*Mitigation_Industry!$F$768/1000</f>
        <v>0</v>
      </c>
      <c r="N296" s="140">
        <f>Mitigation_Industry!N$681*Mitigation_Industry!$J$672*MAX(Mitigation_Industry!$J$669,0)*Mitigation_Industry!$F$768/1000</f>
        <v>0</v>
      </c>
      <c r="O296" s="140">
        <f>Mitigation_Industry!O$681*Mitigation_Industry!$J$672*MAX(Mitigation_Industry!$J$669,0)*Mitigation_Industry!$F$768/1000</f>
        <v>0</v>
      </c>
      <c r="P296" s="140">
        <f>Mitigation_Industry!P$681*Mitigation_Industry!$J$672*MAX(Mitigation_Industry!$J$669,0)*Mitigation_Industry!$F$768/1000</f>
        <v>0</v>
      </c>
      <c r="Q296" s="140">
        <f>Mitigation_Industry!Q$681*Mitigation_Industry!$J$672*MAX(Mitigation_Industry!$J$669,0)*Mitigation_Industry!$F$768/1000</f>
        <v>0</v>
      </c>
      <c r="R296" s="140">
        <f>Mitigation_Industry!R$681*Mitigation_Industry!$J$672*MAX(Mitigation_Industry!$J$669,0)*Mitigation_Industry!$F$768/1000</f>
        <v>0</v>
      </c>
      <c r="S296" s="140">
        <f>Mitigation_Industry!S$681*Mitigation_Industry!$J$672*MAX(Mitigation_Industry!$J$669,0)*Mitigation_Industry!$F$768/1000</f>
        <v>0</v>
      </c>
      <c r="T296" s="140">
        <f>Mitigation_Industry!T$681*Mitigation_Industry!$J$672*MAX(Mitigation_Industry!$J$669,0)*Mitigation_Industry!$F$768/1000</f>
        <v>0</v>
      </c>
      <c r="U296" s="140">
        <f>Mitigation_Industry!U$681*Mitigation_Industry!$J$672*MAX(Mitigation_Industry!$J$669,0)*Mitigation_Industry!$F$768/1000</f>
        <v>0</v>
      </c>
      <c r="V296" s="140">
        <f>Mitigation_Industry!V$681*Mitigation_Industry!$J$672*MAX(Mitigation_Industry!$J$669,0)*Mitigation_Industry!$F$768/1000</f>
        <v>0</v>
      </c>
      <c r="W296" s="140">
        <f>Mitigation_Industry!W$681*Mitigation_Industry!$J$672*MAX(Mitigation_Industry!$J$669,0)*Mitigation_Industry!$F$768/1000</f>
        <v>0</v>
      </c>
      <c r="X296" s="140">
        <f>Mitigation_Industry!X$681*Mitigation_Industry!$J$672*MAX(Mitigation_Industry!$J$669,0)*Mitigation_Industry!$F$768/1000</f>
        <v>0</v>
      </c>
      <c r="Y296" s="140">
        <f>Mitigation_Industry!Y$681*Mitigation_Industry!$J$672*MAX(Mitigation_Industry!$J$669,0)*Mitigation_Industry!$F$768/1000</f>
        <v>0</v>
      </c>
      <c r="Z296" s="140">
        <f>Mitigation_Industry!Z$681*Mitigation_Industry!$J$672*MAX(Mitigation_Industry!$J$669,0)*Mitigation_Industry!$F$768/1000</f>
        <v>0</v>
      </c>
      <c r="AA296" s="140">
        <f>Mitigation_Industry!AA$681*Mitigation_Industry!$J$672*MAX(Mitigation_Industry!$J$669,0)*Mitigation_Industry!$F$768/1000</f>
        <v>0</v>
      </c>
      <c r="AB296" s="140">
        <f>Mitigation_Industry!AB$681*Mitigation_Industry!$J$672*MAX(Mitigation_Industry!$J$669,0)*Mitigation_Industry!$F$768/1000</f>
        <v>0</v>
      </c>
      <c r="AC296" s="140">
        <f>Mitigation_Industry!AC$681*Mitigation_Industry!$J$672*MAX(Mitigation_Industry!$J$669,0)*Mitigation_Industry!$F$768/1000</f>
        <v>0</v>
      </c>
      <c r="AD296" s="140">
        <f>Mitigation_Industry!AD$681*Mitigation_Industry!$J$672*MAX(Mitigation_Industry!$J$669,0)*Mitigation_Industry!$F$768/1000</f>
        <v>0</v>
      </c>
      <c r="AE296" s="140">
        <f>Mitigation_Industry!AE$681*Mitigation_Industry!$J$672*MAX(Mitigation_Industry!$J$669,0)*Mitigation_Industry!$F$768/1000</f>
        <v>0</v>
      </c>
      <c r="AF296" s="141"/>
      <c r="AG296" s="141"/>
      <c r="AH296" s="141"/>
      <c r="AI296" s="141"/>
    </row>
    <row r="297" spans="1:35" customFormat="1" ht="14.25" x14ac:dyDescent="0.45">
      <c r="B297" s="14" t="s">
        <v>2580</v>
      </c>
      <c r="C297" s="14" t="s">
        <v>115</v>
      </c>
      <c r="D297" s="15" t="s">
        <v>2646</v>
      </c>
      <c r="E297" s="16" t="s">
        <v>2068</v>
      </c>
      <c r="F297" s="14" t="s">
        <v>2637</v>
      </c>
      <c r="G297" s="17"/>
      <c r="H297" s="128" t="str">
        <f>Settings!$B$3&amp;".mit.wm.alu.prp.np.2"</f>
        <v>egy.mit.wm.alu.prp.np.2</v>
      </c>
      <c r="K297" s="139"/>
      <c r="L297" s="140">
        <f>Mitigation_Industry!L$682*Mitigation_Industry!$J$672*MAX(Mitigation_Industry!$J$670,0)*Mitigation_Industry!$F$769/1000</f>
        <v>0.43758937310482698</v>
      </c>
      <c r="M297" s="140">
        <f>Mitigation_Industry!M$682*Mitigation_Industry!$J$672*MAX(Mitigation_Industry!$J$670,0)*Mitigation_Industry!$F$769/1000</f>
        <v>0.4616567886255924</v>
      </c>
      <c r="N297" s="140">
        <f>Mitigation_Industry!N$682*Mitigation_Industry!$J$672*MAX(Mitigation_Industry!$J$670,0)*Mitigation_Industry!$F$769/1000</f>
        <v>0.48704791199999997</v>
      </c>
      <c r="O297" s="140">
        <f>Mitigation_Industry!O$682*Mitigation_Industry!$J$672*MAX(Mitigation_Industry!$J$670,0)*Mitigation_Industry!$F$769/1000</f>
        <v>0.51383554716000002</v>
      </c>
      <c r="P297" s="140">
        <f>Mitigation_Industry!P$682*Mitigation_Industry!$J$672*MAX(Mitigation_Industry!$J$670,0)*Mitigation_Industry!$F$769/1000</f>
        <v>0.54209650225379991</v>
      </c>
      <c r="Q297" s="140">
        <f>Mitigation_Industry!Q$682*Mitigation_Industry!$J$672*MAX(Mitigation_Industry!$J$670,0)*Mitigation_Industry!$F$769/1000</f>
        <v>0.5719118098777588</v>
      </c>
      <c r="R297" s="140">
        <f>Mitigation_Industry!R$682*Mitigation_Industry!$J$672*MAX(Mitigation_Industry!$J$670,0)*Mitigation_Industry!$F$769/1000</f>
        <v>0.6033669594210358</v>
      </c>
      <c r="S297" s="140">
        <f>Mitigation_Industry!S$682*Mitigation_Industry!$J$672*MAX(Mitigation_Industry!$J$670,0)*Mitigation_Industry!$F$769/1000</f>
        <v>0.63655214218919254</v>
      </c>
      <c r="T297" s="140">
        <f>Mitigation_Industry!T$682*Mitigation_Industry!$J$672*MAX(Mitigation_Industry!$J$670,0)*Mitigation_Industry!$F$769/1000</f>
        <v>0.6715625100095981</v>
      </c>
      <c r="U297" s="140">
        <f>Mitigation_Industry!U$682*Mitigation_Industry!$J$672*MAX(Mitigation_Industry!$J$670,0)*Mitigation_Industry!$F$769/1000</f>
        <v>0.70849844806012596</v>
      </c>
      <c r="V297" s="140">
        <f>Mitigation_Industry!V$682*Mitigation_Industry!$J$672*MAX(Mitigation_Industry!$J$670,0)*Mitigation_Industry!$F$769/1000</f>
        <v>0.74746586270343296</v>
      </c>
      <c r="W297" s="140">
        <f>Mitigation_Industry!W$682*Mitigation_Industry!$J$672*MAX(Mitigation_Industry!$J$670,0)*Mitigation_Industry!$F$769/1000</f>
        <v>0.78857648515212175</v>
      </c>
      <c r="X297" s="140">
        <f>Mitigation_Industry!X$682*Mitigation_Industry!$J$672*MAX(Mitigation_Industry!$J$670,0)*Mitigation_Industry!$F$769/1000</f>
        <v>0.83194819183548852</v>
      </c>
      <c r="Y297" s="140">
        <f>Mitigation_Industry!Y$682*Mitigation_Industry!$J$672*MAX(Mitigation_Industry!$J$670,0)*Mitigation_Industry!$F$769/1000</f>
        <v>0.87770534238644027</v>
      </c>
      <c r="Z297" s="140">
        <f>Mitigation_Industry!Z$682*Mitigation_Industry!$J$672*MAX(Mitigation_Industry!$J$670,0)*Mitigation_Industry!$F$769/1000</f>
        <v>0.92597913621769457</v>
      </c>
      <c r="AA297" s="140">
        <f>Mitigation_Industry!AA$682*Mitigation_Industry!$J$672*MAX(Mitigation_Industry!$J$670,0)*Mitigation_Industry!$F$769/1000</f>
        <v>0.97690798870966755</v>
      </c>
      <c r="AB297" s="140">
        <f>Mitigation_Industry!AB$682*Mitigation_Industry!$J$672*MAX(Mitigation_Industry!$J$670,0)*Mitigation_Industry!$F$769/1000</f>
        <v>1.0306379280886993</v>
      </c>
      <c r="AC297" s="140">
        <f>Mitigation_Industry!AC$682*Mitigation_Industry!$J$672*MAX(Mitigation_Industry!$J$670,0)*Mitigation_Industry!$F$769/1000</f>
        <v>1.0873230141335775</v>
      </c>
      <c r="AD297" s="140">
        <f>Mitigation_Industry!AD$682*Mitigation_Industry!$J$672*MAX(Mitigation_Industry!$J$670,0)*Mitigation_Industry!$F$769/1000</f>
        <v>1.1471257799109245</v>
      </c>
      <c r="AE297" s="140">
        <f>Mitigation_Industry!AE$682*Mitigation_Industry!$J$672*MAX(Mitigation_Industry!$J$670,0)*Mitigation_Industry!$F$769/1000</f>
        <v>1.2102176978060251</v>
      </c>
      <c r="AF297" s="141"/>
      <c r="AG297" s="141"/>
      <c r="AH297" s="141"/>
      <c r="AI297" s="141"/>
    </row>
    <row r="298" spans="1:35" customFormat="1" ht="14.25" x14ac:dyDescent="0.45">
      <c r="B298" s="14" t="s">
        <v>2582</v>
      </c>
      <c r="C298" s="14" t="s">
        <v>43</v>
      </c>
      <c r="D298" s="15" t="s">
        <v>2647</v>
      </c>
      <c r="E298" s="16" t="s">
        <v>2068</v>
      </c>
      <c r="F298" s="14" t="s">
        <v>2637</v>
      </c>
      <c r="G298" s="17"/>
      <c r="H298" s="128" t="str">
        <f>Settings!$B$3&amp;".mit.wm.stl.drg.no.2"</f>
        <v>egy.mit.wm.stl.drg.no.2</v>
      </c>
      <c r="K298" s="139"/>
      <c r="L298" s="140">
        <f>Mitigation_Industry!L$675*Mitigation_Industry!$K$672*MAX(Mitigation_Industry!$K$663,0)*Mitigation_Industry!$H$762/1000</f>
        <v>0</v>
      </c>
      <c r="M298" s="140">
        <f>Mitigation_Industry!M$675*Mitigation_Industry!$K$672*MAX(Mitigation_Industry!$K$663,0)*Mitigation_Industry!$H$762/1000</f>
        <v>0</v>
      </c>
      <c r="N298" s="140">
        <f>Mitigation_Industry!N$675*Mitigation_Industry!$K$672*MAX(Mitigation_Industry!$K$663,0)*Mitigation_Industry!$H$762/1000</f>
        <v>0</v>
      </c>
      <c r="O298" s="140">
        <f>Mitigation_Industry!O$675*Mitigation_Industry!$K$672*MAX(Mitigation_Industry!$K$663,0)*Mitigation_Industry!$H$762/1000</f>
        <v>0</v>
      </c>
      <c r="P298" s="140">
        <f>Mitigation_Industry!P$675*Mitigation_Industry!$K$672*MAX(Mitigation_Industry!$K$663,0)*Mitigation_Industry!$H$762/1000</f>
        <v>0</v>
      </c>
      <c r="Q298" s="140">
        <f>Mitigation_Industry!Q$675*Mitigation_Industry!$K$672*MAX(Mitigation_Industry!$K$663,0)*Mitigation_Industry!$H$762/1000</f>
        <v>0</v>
      </c>
      <c r="R298" s="140">
        <f>Mitigation_Industry!R$675*Mitigation_Industry!$K$672*MAX(Mitigation_Industry!$K$663,0)*Mitigation_Industry!$H$762/1000</f>
        <v>0</v>
      </c>
      <c r="S298" s="140">
        <f>Mitigation_Industry!S$675*Mitigation_Industry!$K$672*MAX(Mitigation_Industry!$K$663,0)*Mitigation_Industry!$H$762/1000</f>
        <v>0</v>
      </c>
      <c r="T298" s="140">
        <f>Mitigation_Industry!T$675*Mitigation_Industry!$K$672*MAX(Mitigation_Industry!$K$663,0)*Mitigation_Industry!$H$762/1000</f>
        <v>0</v>
      </c>
      <c r="U298" s="140">
        <f>Mitigation_Industry!U$675*Mitigation_Industry!$K$672*MAX(Mitigation_Industry!$K$663,0)*Mitigation_Industry!$H$762/1000</f>
        <v>0</v>
      </c>
      <c r="V298" s="140">
        <f>Mitigation_Industry!V$675*Mitigation_Industry!$K$672*MAX(Mitigation_Industry!$K$663,0)*Mitigation_Industry!$H$762/1000</f>
        <v>0</v>
      </c>
      <c r="W298" s="140">
        <f>Mitigation_Industry!W$675*Mitigation_Industry!$K$672*MAX(Mitigation_Industry!$K$663,0)*Mitigation_Industry!$H$762/1000</f>
        <v>0</v>
      </c>
      <c r="X298" s="140">
        <f>Mitigation_Industry!X$675*Mitigation_Industry!$K$672*MAX(Mitigation_Industry!$K$663,0)*Mitigation_Industry!$H$762/1000</f>
        <v>0</v>
      </c>
      <c r="Y298" s="140">
        <f>Mitigation_Industry!Y$675*Mitigation_Industry!$K$672*MAX(Mitigation_Industry!$K$663,0)*Mitigation_Industry!$H$762/1000</f>
        <v>0</v>
      </c>
      <c r="Z298" s="140">
        <f>Mitigation_Industry!Z$675*Mitigation_Industry!$K$672*MAX(Mitigation_Industry!$K$663,0)*Mitigation_Industry!$H$762/1000</f>
        <v>0</v>
      </c>
      <c r="AA298" s="140">
        <f>Mitigation_Industry!AA$675*Mitigation_Industry!$K$672*MAX(Mitigation_Industry!$K$663,0)*Mitigation_Industry!$H$762/1000</f>
        <v>0</v>
      </c>
      <c r="AB298" s="140">
        <f>Mitigation_Industry!AB$675*Mitigation_Industry!$K$672*MAX(Mitigation_Industry!$K$663,0)*Mitigation_Industry!$H$762/1000</f>
        <v>0</v>
      </c>
      <c r="AC298" s="140">
        <f>Mitigation_Industry!AC$675*Mitigation_Industry!$K$672*MAX(Mitigation_Industry!$K$663,0)*Mitigation_Industry!$H$762/1000</f>
        <v>0</v>
      </c>
      <c r="AD298" s="140">
        <f>Mitigation_Industry!AD$675*Mitigation_Industry!$K$672*MAX(Mitigation_Industry!$K$663,0)*Mitigation_Industry!$H$762/1000</f>
        <v>0</v>
      </c>
      <c r="AE298" s="140">
        <f>Mitigation_Industry!AE$675*Mitigation_Industry!$K$672*MAX(Mitigation_Industry!$K$663,0)*Mitigation_Industry!$H$762/1000</f>
        <v>0</v>
      </c>
      <c r="AF298" s="141"/>
      <c r="AG298" s="141"/>
      <c r="AH298" s="141"/>
      <c r="AI298" s="141"/>
    </row>
    <row r="299" spans="1:35" customFormat="1" ht="14.25" x14ac:dyDescent="0.45">
      <c r="B299" s="14" t="s">
        <v>2584</v>
      </c>
      <c r="C299" s="14" t="s">
        <v>43</v>
      </c>
      <c r="D299" s="15" t="s">
        <v>2648</v>
      </c>
      <c r="E299" s="16" t="s">
        <v>2068</v>
      </c>
      <c r="F299" s="14" t="s">
        <v>2637</v>
      </c>
      <c r="G299" s="17"/>
      <c r="H299" s="128" t="str">
        <f>Settings!$B$3&amp;".mit.wm.stl.scr.no.2"</f>
        <v>egy.mit.wm.stl.scr.no.2</v>
      </c>
      <c r="K299" s="139"/>
      <c r="L299" s="140">
        <f>Mitigation_Industry!L$676*Mitigation_Industry!$K$672*MAX(Mitigation_Industry!$K$664,0)*Mitigation_Industry!$H$763/1000</f>
        <v>0</v>
      </c>
      <c r="M299" s="140">
        <f>Mitigation_Industry!M$676*Mitigation_Industry!$K$672*MAX(Mitigation_Industry!$K$664,0)*Mitigation_Industry!$H$763/1000</f>
        <v>0</v>
      </c>
      <c r="N299" s="140">
        <f>Mitigation_Industry!N$676*Mitigation_Industry!$K$672*MAX(Mitigation_Industry!$K$664,0)*Mitigation_Industry!$H$763/1000</f>
        <v>0</v>
      </c>
      <c r="O299" s="140">
        <f>Mitigation_Industry!O$676*Mitigation_Industry!$K$672*MAX(Mitigation_Industry!$K$664,0)*Mitigation_Industry!$H$763/1000</f>
        <v>0</v>
      </c>
      <c r="P299" s="140">
        <f>Mitigation_Industry!P$676*Mitigation_Industry!$K$672*MAX(Mitigation_Industry!$K$664,0)*Mitigation_Industry!$H$763/1000</f>
        <v>0</v>
      </c>
      <c r="Q299" s="140">
        <f>Mitigation_Industry!Q$676*Mitigation_Industry!$K$672*MAX(Mitigation_Industry!$K$664,0)*Mitigation_Industry!$H$763/1000</f>
        <v>0</v>
      </c>
      <c r="R299" s="140">
        <f>Mitigation_Industry!R$676*Mitigation_Industry!$K$672*MAX(Mitigation_Industry!$K$664,0)*Mitigation_Industry!$H$763/1000</f>
        <v>0</v>
      </c>
      <c r="S299" s="140">
        <f>Mitigation_Industry!S$676*Mitigation_Industry!$K$672*MAX(Mitigation_Industry!$K$664,0)*Mitigation_Industry!$H$763/1000</f>
        <v>0</v>
      </c>
      <c r="T299" s="140">
        <f>Mitigation_Industry!T$676*Mitigation_Industry!$K$672*MAX(Mitigation_Industry!$K$664,0)*Mitigation_Industry!$H$763/1000</f>
        <v>0</v>
      </c>
      <c r="U299" s="140">
        <f>Mitigation_Industry!U$676*Mitigation_Industry!$K$672*MAX(Mitigation_Industry!$K$664,0)*Mitigation_Industry!$H$763/1000</f>
        <v>0</v>
      </c>
      <c r="V299" s="140">
        <f>Mitigation_Industry!V$676*Mitigation_Industry!$K$672*MAX(Mitigation_Industry!$K$664,0)*Mitigation_Industry!$H$763/1000</f>
        <v>0</v>
      </c>
      <c r="W299" s="140">
        <f>Mitigation_Industry!W$676*Mitigation_Industry!$K$672*MAX(Mitigation_Industry!$K$664,0)*Mitigation_Industry!$H$763/1000</f>
        <v>0</v>
      </c>
      <c r="X299" s="140">
        <f>Mitigation_Industry!X$676*Mitigation_Industry!$K$672*MAX(Mitigation_Industry!$K$664,0)*Mitigation_Industry!$H$763/1000</f>
        <v>0</v>
      </c>
      <c r="Y299" s="140">
        <f>Mitigation_Industry!Y$676*Mitigation_Industry!$K$672*MAX(Mitigation_Industry!$K$664,0)*Mitigation_Industry!$H$763/1000</f>
        <v>0</v>
      </c>
      <c r="Z299" s="140">
        <f>Mitigation_Industry!Z$676*Mitigation_Industry!$K$672*MAX(Mitigation_Industry!$K$664,0)*Mitigation_Industry!$H$763/1000</f>
        <v>0</v>
      </c>
      <c r="AA299" s="140">
        <f>Mitigation_Industry!AA$676*Mitigation_Industry!$K$672*MAX(Mitigation_Industry!$K$664,0)*Mitigation_Industry!$H$763/1000</f>
        <v>0</v>
      </c>
      <c r="AB299" s="140">
        <f>Mitigation_Industry!AB$676*Mitigation_Industry!$K$672*MAX(Mitigation_Industry!$K$664,0)*Mitigation_Industry!$H$763/1000</f>
        <v>0</v>
      </c>
      <c r="AC299" s="140">
        <f>Mitigation_Industry!AC$676*Mitigation_Industry!$K$672*MAX(Mitigation_Industry!$K$664,0)*Mitigation_Industry!$H$763/1000</f>
        <v>0</v>
      </c>
      <c r="AD299" s="140">
        <f>Mitigation_Industry!AD$676*Mitigation_Industry!$K$672*MAX(Mitigation_Industry!$K$664,0)*Mitigation_Industry!$H$763/1000</f>
        <v>0</v>
      </c>
      <c r="AE299" s="140">
        <f>Mitigation_Industry!AE$676*Mitigation_Industry!$K$672*MAX(Mitigation_Industry!$K$664,0)*Mitigation_Industry!$H$763/1000</f>
        <v>0</v>
      </c>
      <c r="AF299" s="141"/>
      <c r="AG299" s="141"/>
      <c r="AH299" s="141"/>
      <c r="AI299" s="141"/>
    </row>
    <row r="300" spans="1:35" customFormat="1" ht="14.25" x14ac:dyDescent="0.45">
      <c r="B300" s="14" t="s">
        <v>2586</v>
      </c>
      <c r="C300" s="14" t="s">
        <v>43</v>
      </c>
      <c r="D300" s="15" t="s">
        <v>2649</v>
      </c>
      <c r="E300" s="16" t="s">
        <v>2068</v>
      </c>
      <c r="F300" s="14" t="s">
        <v>2637</v>
      </c>
      <c r="G300" s="17"/>
      <c r="H300" s="128" t="str">
        <f>Settings!$B$3&amp;".mit.wm.stl.bof.no.2"</f>
        <v>egy.mit.wm.stl.bof.no.2</v>
      </c>
      <c r="K300" s="139"/>
      <c r="L300" s="140">
        <f>Mitigation_Industry!L$677*Mitigation_Industry!$K$672*MAX(Mitigation_Industry!$K$665,0)*Mitigation_Industry!$H$764/1000</f>
        <v>0</v>
      </c>
      <c r="M300" s="140">
        <f>Mitigation_Industry!M$677*Mitigation_Industry!$K$672*MAX(Mitigation_Industry!$K$665,0)*Mitigation_Industry!$H$764/1000</f>
        <v>0</v>
      </c>
      <c r="N300" s="140">
        <f>Mitigation_Industry!N$677*Mitigation_Industry!$K$672*MAX(Mitigation_Industry!$K$665,0)*Mitigation_Industry!$H$764/1000</f>
        <v>0</v>
      </c>
      <c r="O300" s="140">
        <f>Mitigation_Industry!O$677*Mitigation_Industry!$K$672*MAX(Mitigation_Industry!$K$665,0)*Mitigation_Industry!$H$764/1000</f>
        <v>0</v>
      </c>
      <c r="P300" s="140">
        <f>Mitigation_Industry!P$677*Mitigation_Industry!$K$672*MAX(Mitigation_Industry!$K$665,0)*Mitigation_Industry!$H$764/1000</f>
        <v>0</v>
      </c>
      <c r="Q300" s="140">
        <f>Mitigation_Industry!Q$677*Mitigation_Industry!$K$672*MAX(Mitigation_Industry!$K$665,0)*Mitigation_Industry!$H$764/1000</f>
        <v>0</v>
      </c>
      <c r="R300" s="140">
        <f>Mitigation_Industry!R$677*Mitigation_Industry!$K$672*MAX(Mitigation_Industry!$K$665,0)*Mitigation_Industry!$H$764/1000</f>
        <v>0</v>
      </c>
      <c r="S300" s="140">
        <f>Mitigation_Industry!S$677*Mitigation_Industry!$K$672*MAX(Mitigation_Industry!$K$665,0)*Mitigation_Industry!$H$764/1000</f>
        <v>0</v>
      </c>
      <c r="T300" s="140">
        <f>Mitigation_Industry!T$677*Mitigation_Industry!$K$672*MAX(Mitigation_Industry!$K$665,0)*Mitigation_Industry!$H$764/1000</f>
        <v>0</v>
      </c>
      <c r="U300" s="140">
        <f>Mitigation_Industry!U$677*Mitigation_Industry!$K$672*MAX(Mitigation_Industry!$K$665,0)*Mitigation_Industry!$H$764/1000</f>
        <v>0</v>
      </c>
      <c r="V300" s="140">
        <f>Mitigation_Industry!V$677*Mitigation_Industry!$K$672*MAX(Mitigation_Industry!$K$665,0)*Mitigation_Industry!$H$764/1000</f>
        <v>0</v>
      </c>
      <c r="W300" s="140">
        <f>Mitigation_Industry!W$677*Mitigation_Industry!$K$672*MAX(Mitigation_Industry!$K$665,0)*Mitigation_Industry!$H$764/1000</f>
        <v>0</v>
      </c>
      <c r="X300" s="140">
        <f>Mitigation_Industry!X$677*Mitigation_Industry!$K$672*MAX(Mitigation_Industry!$K$665,0)*Mitigation_Industry!$H$764/1000</f>
        <v>0</v>
      </c>
      <c r="Y300" s="140">
        <f>Mitigation_Industry!Y$677*Mitigation_Industry!$K$672*MAX(Mitigation_Industry!$K$665,0)*Mitigation_Industry!$H$764/1000</f>
        <v>0</v>
      </c>
      <c r="Z300" s="140">
        <f>Mitigation_Industry!Z$677*Mitigation_Industry!$K$672*MAX(Mitigation_Industry!$K$665,0)*Mitigation_Industry!$H$764/1000</f>
        <v>0</v>
      </c>
      <c r="AA300" s="140">
        <f>Mitigation_Industry!AA$677*Mitigation_Industry!$K$672*MAX(Mitigation_Industry!$K$665,0)*Mitigation_Industry!$H$764/1000</f>
        <v>0</v>
      </c>
      <c r="AB300" s="140">
        <f>Mitigation_Industry!AB$677*Mitigation_Industry!$K$672*MAX(Mitigation_Industry!$K$665,0)*Mitigation_Industry!$H$764/1000</f>
        <v>0</v>
      </c>
      <c r="AC300" s="140">
        <f>Mitigation_Industry!AC$677*Mitigation_Industry!$K$672*MAX(Mitigation_Industry!$K$665,0)*Mitigation_Industry!$H$764/1000</f>
        <v>0</v>
      </c>
      <c r="AD300" s="140">
        <f>Mitigation_Industry!AD$677*Mitigation_Industry!$K$672*MAX(Mitigation_Industry!$K$665,0)*Mitigation_Industry!$H$764/1000</f>
        <v>0</v>
      </c>
      <c r="AE300" s="140">
        <f>Mitigation_Industry!AE$677*Mitigation_Industry!$K$672*MAX(Mitigation_Industry!$K$665,0)*Mitigation_Industry!$H$764/1000</f>
        <v>0</v>
      </c>
      <c r="AF300" s="141"/>
      <c r="AG300" s="141"/>
      <c r="AH300" s="141"/>
      <c r="AI300" s="141"/>
    </row>
    <row r="301" spans="1:35" customFormat="1" ht="14.25" x14ac:dyDescent="0.45">
      <c r="B301" s="14" t="s">
        <v>2588</v>
      </c>
      <c r="C301" s="14" t="s">
        <v>113</v>
      </c>
      <c r="D301" s="15" t="s">
        <v>2650</v>
      </c>
      <c r="E301" s="16" t="s">
        <v>2068</v>
      </c>
      <c r="F301" s="14" t="s">
        <v>2637</v>
      </c>
      <c r="G301" s="17"/>
      <c r="H301" s="128" t="str">
        <f>Settings!$B$3&amp;".mit.wm.cmt.dry.no.2"</f>
        <v>egy.mit.wm.cmt.dry.no.2</v>
      </c>
      <c r="K301" s="139"/>
      <c r="L301" s="140">
        <f>Mitigation_Industry!L$678*Mitigation_Industry!$K$672*MAX(Mitigation_Industry!$K$666,0)*Mitigation_Industry!$H$765/1000</f>
        <v>0</v>
      </c>
      <c r="M301" s="140">
        <f>Mitigation_Industry!M$678*Mitigation_Industry!$K$672*MAX(Mitigation_Industry!$K$666,0)*Mitigation_Industry!$H$765/1000</f>
        <v>0</v>
      </c>
      <c r="N301" s="140">
        <f>Mitigation_Industry!N$678*Mitigation_Industry!$K$672*MAX(Mitigation_Industry!$K$666,0)*Mitigation_Industry!$H$765/1000</f>
        <v>0</v>
      </c>
      <c r="O301" s="140">
        <f>Mitigation_Industry!O$678*Mitigation_Industry!$K$672*MAX(Mitigation_Industry!$K$666,0)*Mitigation_Industry!$H$765/1000</f>
        <v>0</v>
      </c>
      <c r="P301" s="140">
        <f>Mitigation_Industry!P$678*Mitigation_Industry!$K$672*MAX(Mitigation_Industry!$K$666,0)*Mitigation_Industry!$H$765/1000</f>
        <v>0</v>
      </c>
      <c r="Q301" s="140">
        <f>Mitigation_Industry!Q$678*Mitigation_Industry!$K$672*MAX(Mitigation_Industry!$K$666,0)*Mitigation_Industry!$H$765/1000</f>
        <v>0</v>
      </c>
      <c r="R301" s="140">
        <f>Mitigation_Industry!R$678*Mitigation_Industry!$K$672*MAX(Mitigation_Industry!$K$666,0)*Mitigation_Industry!$H$765/1000</f>
        <v>0</v>
      </c>
      <c r="S301" s="140">
        <f>Mitigation_Industry!S$678*Mitigation_Industry!$K$672*MAX(Mitigation_Industry!$K$666,0)*Mitigation_Industry!$H$765/1000</f>
        <v>0</v>
      </c>
      <c r="T301" s="140">
        <f>Mitigation_Industry!T$678*Mitigation_Industry!$K$672*MAX(Mitigation_Industry!$K$666,0)*Mitigation_Industry!$H$765/1000</f>
        <v>0</v>
      </c>
      <c r="U301" s="140">
        <f>Mitigation_Industry!U$678*Mitigation_Industry!$K$672*MAX(Mitigation_Industry!$K$666,0)*Mitigation_Industry!$H$765/1000</f>
        <v>0</v>
      </c>
      <c r="V301" s="140">
        <f>Mitigation_Industry!V$678*Mitigation_Industry!$K$672*MAX(Mitigation_Industry!$K$666,0)*Mitigation_Industry!$H$765/1000</f>
        <v>0</v>
      </c>
      <c r="W301" s="140">
        <f>Mitigation_Industry!W$678*Mitigation_Industry!$K$672*MAX(Mitigation_Industry!$K$666,0)*Mitigation_Industry!$H$765/1000</f>
        <v>0</v>
      </c>
      <c r="X301" s="140">
        <f>Mitigation_Industry!X$678*Mitigation_Industry!$K$672*MAX(Mitigation_Industry!$K$666,0)*Mitigation_Industry!$H$765/1000</f>
        <v>0</v>
      </c>
      <c r="Y301" s="140">
        <f>Mitigation_Industry!Y$678*Mitigation_Industry!$K$672*MAX(Mitigation_Industry!$K$666,0)*Mitigation_Industry!$H$765/1000</f>
        <v>0</v>
      </c>
      <c r="Z301" s="140">
        <f>Mitigation_Industry!Z$678*Mitigation_Industry!$K$672*MAX(Mitigation_Industry!$K$666,0)*Mitigation_Industry!$H$765/1000</f>
        <v>0</v>
      </c>
      <c r="AA301" s="140">
        <f>Mitigation_Industry!AA$678*Mitigation_Industry!$K$672*MAX(Mitigation_Industry!$K$666,0)*Mitigation_Industry!$H$765/1000</f>
        <v>0</v>
      </c>
      <c r="AB301" s="140">
        <f>Mitigation_Industry!AB$678*Mitigation_Industry!$K$672*MAX(Mitigation_Industry!$K$666,0)*Mitigation_Industry!$H$765/1000</f>
        <v>0</v>
      </c>
      <c r="AC301" s="140">
        <f>Mitigation_Industry!AC$678*Mitigation_Industry!$K$672*MAX(Mitigation_Industry!$K$666,0)*Mitigation_Industry!$H$765/1000</f>
        <v>0</v>
      </c>
      <c r="AD301" s="140">
        <f>Mitigation_Industry!AD$678*Mitigation_Industry!$K$672*MAX(Mitigation_Industry!$K$666,0)*Mitigation_Industry!$H$765/1000</f>
        <v>0</v>
      </c>
      <c r="AE301" s="140">
        <f>Mitigation_Industry!AE$678*Mitigation_Industry!$K$672*MAX(Mitigation_Industry!$K$666,0)*Mitigation_Industry!$H$765/1000</f>
        <v>0</v>
      </c>
      <c r="AF301" s="141"/>
      <c r="AG301" s="141"/>
      <c r="AH301" s="141"/>
      <c r="AI301" s="141"/>
    </row>
    <row r="302" spans="1:35" customFormat="1" ht="14.25" x14ac:dyDescent="0.45">
      <c r="B302" s="14" t="s">
        <v>2590</v>
      </c>
      <c r="C302" s="14" t="s">
        <v>117</v>
      </c>
      <c r="D302" s="15" t="s">
        <v>2651</v>
      </c>
      <c r="E302" s="16" t="s">
        <v>2068</v>
      </c>
      <c r="F302" s="14" t="s">
        <v>2637</v>
      </c>
      <c r="G302" s="17"/>
      <c r="H302" s="128" t="str">
        <f>Settings!$B$3&amp;".mit.wm.frt.amc.no.2"</f>
        <v>egy.mit.wm.frt.amc.no.2</v>
      </c>
      <c r="K302" s="139"/>
      <c r="L302" s="140">
        <f>Mitigation_Industry!L$679*Mitigation_Industry!$K$672*MAX(Mitigation_Industry!$K$667,0)*Mitigation_Industry!$H$766/1000</f>
        <v>0</v>
      </c>
      <c r="M302" s="140">
        <f>Mitigation_Industry!M$679*Mitigation_Industry!$K$672*MAX(Mitigation_Industry!$K$667,0)*Mitigation_Industry!$H$766/1000</f>
        <v>0</v>
      </c>
      <c r="N302" s="140">
        <f>Mitigation_Industry!N$679*Mitigation_Industry!$K$672*MAX(Mitigation_Industry!$K$667,0)*Mitigation_Industry!$H$766/1000</f>
        <v>0</v>
      </c>
      <c r="O302" s="140">
        <f>Mitigation_Industry!O$679*Mitigation_Industry!$K$672*MAX(Mitigation_Industry!$K$667,0)*Mitigation_Industry!$H$766/1000</f>
        <v>0</v>
      </c>
      <c r="P302" s="140">
        <f>Mitigation_Industry!P$679*Mitigation_Industry!$K$672*MAX(Mitigation_Industry!$K$667,0)*Mitigation_Industry!$H$766/1000</f>
        <v>0</v>
      </c>
      <c r="Q302" s="140">
        <f>Mitigation_Industry!Q$679*Mitigation_Industry!$K$672*MAX(Mitigation_Industry!$K$667,0)*Mitigation_Industry!$H$766/1000</f>
        <v>0</v>
      </c>
      <c r="R302" s="140">
        <f>Mitigation_Industry!R$679*Mitigation_Industry!$K$672*MAX(Mitigation_Industry!$K$667,0)*Mitigation_Industry!$H$766/1000</f>
        <v>0</v>
      </c>
      <c r="S302" s="140">
        <f>Mitigation_Industry!S$679*Mitigation_Industry!$K$672*MAX(Mitigation_Industry!$K$667,0)*Mitigation_Industry!$H$766/1000</f>
        <v>0</v>
      </c>
      <c r="T302" s="140">
        <f>Mitigation_Industry!T$679*Mitigation_Industry!$K$672*MAX(Mitigation_Industry!$K$667,0)*Mitigation_Industry!$H$766/1000</f>
        <v>0</v>
      </c>
      <c r="U302" s="140">
        <f>Mitigation_Industry!U$679*Mitigation_Industry!$K$672*MAX(Mitigation_Industry!$K$667,0)*Mitigation_Industry!$H$766/1000</f>
        <v>0</v>
      </c>
      <c r="V302" s="140">
        <f>Mitigation_Industry!V$679*Mitigation_Industry!$K$672*MAX(Mitigation_Industry!$K$667,0)*Mitigation_Industry!$H$766/1000</f>
        <v>0</v>
      </c>
      <c r="W302" s="140">
        <f>Mitigation_Industry!W$679*Mitigation_Industry!$K$672*MAX(Mitigation_Industry!$K$667,0)*Mitigation_Industry!$H$766/1000</f>
        <v>0</v>
      </c>
      <c r="X302" s="140">
        <f>Mitigation_Industry!X$679*Mitigation_Industry!$K$672*MAX(Mitigation_Industry!$K$667,0)*Mitigation_Industry!$H$766/1000</f>
        <v>0</v>
      </c>
      <c r="Y302" s="140">
        <f>Mitigation_Industry!Y$679*Mitigation_Industry!$K$672*MAX(Mitigation_Industry!$K$667,0)*Mitigation_Industry!$H$766/1000</f>
        <v>0</v>
      </c>
      <c r="Z302" s="140">
        <f>Mitigation_Industry!Z$679*Mitigation_Industry!$K$672*MAX(Mitigation_Industry!$K$667,0)*Mitigation_Industry!$H$766/1000</f>
        <v>0</v>
      </c>
      <c r="AA302" s="140">
        <f>Mitigation_Industry!AA$679*Mitigation_Industry!$K$672*MAX(Mitigation_Industry!$K$667,0)*Mitigation_Industry!$H$766/1000</f>
        <v>0</v>
      </c>
      <c r="AB302" s="140">
        <f>Mitigation_Industry!AB$679*Mitigation_Industry!$K$672*MAX(Mitigation_Industry!$K$667,0)*Mitigation_Industry!$H$766/1000</f>
        <v>0</v>
      </c>
      <c r="AC302" s="140">
        <f>Mitigation_Industry!AC$679*Mitigation_Industry!$K$672*MAX(Mitigation_Industry!$K$667,0)*Mitigation_Industry!$H$766/1000</f>
        <v>0</v>
      </c>
      <c r="AD302" s="140">
        <f>Mitigation_Industry!AD$679*Mitigation_Industry!$K$672*MAX(Mitigation_Industry!$K$667,0)*Mitigation_Industry!$H$766/1000</f>
        <v>0</v>
      </c>
      <c r="AE302" s="140">
        <f>Mitigation_Industry!AE$679*Mitigation_Industry!$K$672*MAX(Mitigation_Industry!$K$667,0)*Mitigation_Industry!$H$766/1000</f>
        <v>0</v>
      </c>
      <c r="AF302" s="141"/>
      <c r="AG302" s="141"/>
      <c r="AH302" s="141"/>
      <c r="AI302" s="141"/>
    </row>
    <row r="303" spans="1:35" customFormat="1" ht="14.25" x14ac:dyDescent="0.45">
      <c r="B303" s="14" t="s">
        <v>2592</v>
      </c>
      <c r="C303" s="14" t="s">
        <v>117</v>
      </c>
      <c r="D303" s="15" t="s">
        <v>2652</v>
      </c>
      <c r="E303" s="16" t="s">
        <v>2068</v>
      </c>
      <c r="F303" s="14" t="s">
        <v>2637</v>
      </c>
      <c r="G303" s="17"/>
      <c r="H303" s="128" t="str">
        <f>Settings!$B$3&amp;".mit.wm.frt.ure.no.2"</f>
        <v>egy.mit.wm.frt.ure.no.2</v>
      </c>
      <c r="K303" s="139"/>
      <c r="L303" s="140">
        <f>Mitigation_Industry!L$680*Mitigation_Industry!$K$672*MAX(Mitigation_Industry!$K$668,0)*Mitigation_Industry!$H$767/1000</f>
        <v>0</v>
      </c>
      <c r="M303" s="140">
        <f>Mitigation_Industry!M$680*Mitigation_Industry!$K$672*MAX(Mitigation_Industry!$K$668,0)*Mitigation_Industry!$H$767/1000</f>
        <v>0</v>
      </c>
      <c r="N303" s="140">
        <f>Mitigation_Industry!N$680*Mitigation_Industry!$K$672*MAX(Mitigation_Industry!$K$668,0)*Mitigation_Industry!$H$767/1000</f>
        <v>0</v>
      </c>
      <c r="O303" s="140">
        <f>Mitigation_Industry!O$680*Mitigation_Industry!$K$672*MAX(Mitigation_Industry!$K$668,0)*Mitigation_Industry!$H$767/1000</f>
        <v>0</v>
      </c>
      <c r="P303" s="140">
        <f>Mitigation_Industry!P$680*Mitigation_Industry!$K$672*MAX(Mitigation_Industry!$K$668,0)*Mitigation_Industry!$H$767/1000</f>
        <v>0</v>
      </c>
      <c r="Q303" s="140">
        <f>Mitigation_Industry!Q$680*Mitigation_Industry!$K$672*MAX(Mitigation_Industry!$K$668,0)*Mitigation_Industry!$H$767/1000</f>
        <v>0</v>
      </c>
      <c r="R303" s="140">
        <f>Mitigation_Industry!R$680*Mitigation_Industry!$K$672*MAX(Mitigation_Industry!$K$668,0)*Mitigation_Industry!$H$767/1000</f>
        <v>0</v>
      </c>
      <c r="S303" s="140">
        <f>Mitigation_Industry!S$680*Mitigation_Industry!$K$672*MAX(Mitigation_Industry!$K$668,0)*Mitigation_Industry!$H$767/1000</f>
        <v>0</v>
      </c>
      <c r="T303" s="140">
        <f>Mitigation_Industry!T$680*Mitigation_Industry!$K$672*MAX(Mitigation_Industry!$K$668,0)*Mitigation_Industry!$H$767/1000</f>
        <v>0</v>
      </c>
      <c r="U303" s="140">
        <f>Mitigation_Industry!U$680*Mitigation_Industry!$K$672*MAX(Mitigation_Industry!$K$668,0)*Mitigation_Industry!$H$767/1000</f>
        <v>0</v>
      </c>
      <c r="V303" s="140">
        <f>Mitigation_Industry!V$680*Mitigation_Industry!$K$672*MAX(Mitigation_Industry!$K$668,0)*Mitigation_Industry!$H$767/1000</f>
        <v>0</v>
      </c>
      <c r="W303" s="140">
        <f>Mitigation_Industry!W$680*Mitigation_Industry!$K$672*MAX(Mitigation_Industry!$K$668,0)*Mitigation_Industry!$H$767/1000</f>
        <v>0</v>
      </c>
      <c r="X303" s="140">
        <f>Mitigation_Industry!X$680*Mitigation_Industry!$K$672*MAX(Mitigation_Industry!$K$668,0)*Mitigation_Industry!$H$767/1000</f>
        <v>0</v>
      </c>
      <c r="Y303" s="140">
        <f>Mitigation_Industry!Y$680*Mitigation_Industry!$K$672*MAX(Mitigation_Industry!$K$668,0)*Mitigation_Industry!$H$767/1000</f>
        <v>0</v>
      </c>
      <c r="Z303" s="140">
        <f>Mitigation_Industry!Z$680*Mitigation_Industry!$K$672*MAX(Mitigation_Industry!$K$668,0)*Mitigation_Industry!$H$767/1000</f>
        <v>0</v>
      </c>
      <c r="AA303" s="140">
        <f>Mitigation_Industry!AA$680*Mitigation_Industry!$K$672*MAX(Mitigation_Industry!$K$668,0)*Mitigation_Industry!$H$767/1000</f>
        <v>0</v>
      </c>
      <c r="AB303" s="140">
        <f>Mitigation_Industry!AB$680*Mitigation_Industry!$K$672*MAX(Mitigation_Industry!$K$668,0)*Mitigation_Industry!$H$767/1000</f>
        <v>0</v>
      </c>
      <c r="AC303" s="140">
        <f>Mitigation_Industry!AC$680*Mitigation_Industry!$K$672*MAX(Mitigation_Industry!$K$668,0)*Mitigation_Industry!$H$767/1000</f>
        <v>0</v>
      </c>
      <c r="AD303" s="140">
        <f>Mitigation_Industry!AD$680*Mitigation_Industry!$K$672*MAX(Mitigation_Industry!$K$668,0)*Mitigation_Industry!$H$767/1000</f>
        <v>0</v>
      </c>
      <c r="AE303" s="140">
        <f>Mitigation_Industry!AE$680*Mitigation_Industry!$K$672*MAX(Mitigation_Industry!$K$668,0)*Mitigation_Industry!$H$767/1000</f>
        <v>0</v>
      </c>
      <c r="AF303" s="141"/>
      <c r="AG303" s="141"/>
      <c r="AH303" s="141"/>
      <c r="AI303" s="141"/>
    </row>
    <row r="304" spans="1:35" customFormat="1" ht="14.25" x14ac:dyDescent="0.45">
      <c r="B304" s="14" t="s">
        <v>2594</v>
      </c>
      <c r="C304" s="14" t="s">
        <v>117</v>
      </c>
      <c r="D304" s="15" t="s">
        <v>2653</v>
      </c>
      <c r="E304" s="16" t="s">
        <v>2068</v>
      </c>
      <c r="F304" s="14" t="s">
        <v>2637</v>
      </c>
      <c r="G304" s="17"/>
      <c r="H304" s="128" t="str">
        <f>Settings!$B$3&amp;".mit.wm.frt.nit.no.2"</f>
        <v>egy.mit.wm.frt.nit.no.2</v>
      </c>
      <c r="K304" s="139"/>
      <c r="L304" s="140">
        <f>Mitigation_Industry!L$681*Mitigation_Industry!$K$672*MAX(Mitigation_Industry!$K$669,0)*Mitigation_Industry!$H$768/1000</f>
        <v>0.57123661061347031</v>
      </c>
      <c r="M304" s="140">
        <f>Mitigation_Industry!M$681*Mitigation_Industry!$K$672*MAX(Mitigation_Industry!$K$669,0)*Mitigation_Industry!$H$768/1000</f>
        <v>0.58380381604696674</v>
      </c>
      <c r="N304" s="140">
        <f>Mitigation_Industry!N$681*Mitigation_Industry!$K$672*MAX(Mitigation_Industry!$K$669,0)*Mitigation_Industry!$H$768/1000</f>
        <v>0.5966475</v>
      </c>
      <c r="O304" s="140">
        <f>Mitigation_Industry!O$681*Mitigation_Industry!$K$672*MAX(Mitigation_Industry!$K$669,0)*Mitigation_Industry!$H$768/1000</f>
        <v>0.60977374500000003</v>
      </c>
      <c r="P304" s="140">
        <f>Mitigation_Industry!P$681*Mitigation_Industry!$K$672*MAX(Mitigation_Industry!$K$669,0)*Mitigation_Industry!$H$768/1000</f>
        <v>0.62318876738999995</v>
      </c>
      <c r="Q304" s="140">
        <f>Mitigation_Industry!Q$681*Mitigation_Industry!$K$672*MAX(Mitigation_Industry!$K$669,0)*Mitigation_Industry!$H$768/1000</f>
        <v>0.6368989202725801</v>
      </c>
      <c r="R304" s="140">
        <f>Mitigation_Industry!R$681*Mitigation_Industry!$K$672*MAX(Mitigation_Industry!$K$669,0)*Mitigation_Industry!$H$768/1000</f>
        <v>0.65091069651857669</v>
      </c>
      <c r="S304" s="140">
        <f>Mitigation_Industry!S$681*Mitigation_Industry!$K$672*MAX(Mitigation_Industry!$K$669,0)*Mitigation_Industry!$H$768/1000</f>
        <v>0.66523073184198556</v>
      </c>
      <c r="T304" s="140">
        <f>Mitigation_Industry!T$681*Mitigation_Industry!$K$672*MAX(Mitigation_Industry!$K$669,0)*Mitigation_Industry!$H$768/1000</f>
        <v>0.67986580794250906</v>
      </c>
      <c r="U304" s="140">
        <f>Mitigation_Industry!U$681*Mitigation_Industry!$K$672*MAX(Mitigation_Industry!$K$669,0)*Mitigation_Industry!$H$768/1000</f>
        <v>0.69482285571724434</v>
      </c>
      <c r="V304" s="140">
        <f>Mitigation_Industry!V$681*Mitigation_Industry!$K$672*MAX(Mitigation_Industry!$K$669,0)*Mitigation_Industry!$H$768/1000</f>
        <v>0.7101089585430238</v>
      </c>
      <c r="W304" s="140">
        <f>Mitigation_Industry!W$681*Mitigation_Industry!$K$672*MAX(Mitigation_Industry!$K$669,0)*Mitigation_Industry!$H$768/1000</f>
        <v>0.72573135563097024</v>
      </c>
      <c r="X304" s="140">
        <f>Mitigation_Industry!X$681*Mitigation_Industry!$K$672*MAX(Mitigation_Industry!$K$669,0)*Mitigation_Industry!$H$768/1000</f>
        <v>0.74169744545485172</v>
      </c>
      <c r="Y304" s="140">
        <f>Mitigation_Industry!Y$681*Mitigation_Industry!$K$672*MAX(Mitigation_Industry!$K$669,0)*Mitigation_Industry!$H$768/1000</f>
        <v>0.75801478925485843</v>
      </c>
      <c r="Z304" s="140">
        <f>Mitigation_Industry!Z$681*Mitigation_Industry!$K$672*MAX(Mitigation_Industry!$K$669,0)*Mitigation_Industry!$H$768/1000</f>
        <v>0.7746911146184654</v>
      </c>
      <c r="AA304" s="140">
        <f>Mitigation_Industry!AA$681*Mitigation_Industry!$K$672*MAX(Mitigation_Industry!$K$669,0)*Mitigation_Industry!$H$768/1000</f>
        <v>0.79173431914007153</v>
      </c>
      <c r="AB304" s="140">
        <f>Mitigation_Industry!AB$681*Mitigation_Industry!$K$672*MAX(Mitigation_Industry!$K$669,0)*Mitigation_Industry!$H$768/1000</f>
        <v>0.8091524741611531</v>
      </c>
      <c r="AC304" s="140">
        <f>Mitigation_Industry!AC$681*Mitigation_Industry!$K$672*MAX(Mitigation_Industry!$K$669,0)*Mitigation_Industry!$H$768/1000</f>
        <v>0.8269538285926985</v>
      </c>
      <c r="AD304" s="140">
        <f>Mitigation_Industry!AD$681*Mitigation_Industry!$K$672*MAX(Mitigation_Industry!$K$669,0)*Mitigation_Industry!$H$768/1000</f>
        <v>0.84514681282173787</v>
      </c>
      <c r="AE304" s="140">
        <f>Mitigation_Industry!AE$681*Mitigation_Industry!$K$672*MAX(Mitigation_Industry!$K$669,0)*Mitigation_Industry!$H$768/1000</f>
        <v>0.8637400427038161</v>
      </c>
      <c r="AF304" s="141"/>
      <c r="AG304" s="141"/>
      <c r="AH304" s="141"/>
      <c r="AI304" s="141"/>
    </row>
    <row r="305" spans="1:35" customFormat="1" ht="14.25" x14ac:dyDescent="0.45">
      <c r="B305" s="14" t="s">
        <v>2596</v>
      </c>
      <c r="C305" s="14" t="s">
        <v>115</v>
      </c>
      <c r="D305" s="15" t="s">
        <v>2654</v>
      </c>
      <c r="E305" s="16" t="s">
        <v>2068</v>
      </c>
      <c r="F305" s="14" t="s">
        <v>2637</v>
      </c>
      <c r="G305" s="17"/>
      <c r="H305" s="128" t="str">
        <f>Settings!$B$3&amp;".mit.wm.alu.prp.no.2"</f>
        <v>egy.mit.wm.alu.prp.no.2</v>
      </c>
      <c r="K305" s="139"/>
      <c r="L305" s="140">
        <f>Mitigation_Industry!L$682*Mitigation_Industry!$K$672*MAX(Mitigation_Industry!$K$670,0)*Mitigation_Industry!$H$769/1000</f>
        <v>0.20862065092877519</v>
      </c>
      <c r="M305" s="140">
        <f>Mitigation_Industry!M$682*Mitigation_Industry!$K$672*MAX(Mitigation_Industry!$K$670,0)*Mitigation_Industry!$H$769/1000</f>
        <v>0.22009478672985783</v>
      </c>
      <c r="N305" s="140">
        <f>Mitigation_Industry!N$682*Mitigation_Industry!$K$672*MAX(Mitigation_Industry!$K$670,0)*Mitigation_Industry!$H$769/1000</f>
        <v>0.23220000000000002</v>
      </c>
      <c r="O305" s="140">
        <f>Mitigation_Industry!O$682*Mitigation_Industry!$K$672*MAX(Mitigation_Industry!$K$670,0)*Mitigation_Industry!$H$769/1000</f>
        <v>0.24497099999999999</v>
      </c>
      <c r="P305" s="140">
        <f>Mitigation_Industry!P$682*Mitigation_Industry!$K$672*MAX(Mitigation_Industry!$K$670,0)*Mitigation_Industry!$H$769/1000</f>
        <v>0.25844440499999999</v>
      </c>
      <c r="Q305" s="140">
        <f>Mitigation_Industry!Q$682*Mitigation_Industry!$K$672*MAX(Mitigation_Industry!$K$670,0)*Mitigation_Industry!$H$769/1000</f>
        <v>0.27265884727499995</v>
      </c>
      <c r="R305" s="140">
        <f>Mitigation_Industry!R$682*Mitigation_Industry!$K$672*MAX(Mitigation_Industry!$K$670,0)*Mitigation_Industry!$H$769/1000</f>
        <v>0.28765508387512501</v>
      </c>
      <c r="S305" s="140">
        <f>Mitigation_Industry!S$682*Mitigation_Industry!$K$672*MAX(Mitigation_Industry!$K$670,0)*Mitigation_Industry!$H$769/1000</f>
        <v>0.30347611348825682</v>
      </c>
      <c r="T305" s="140">
        <f>Mitigation_Industry!T$682*Mitigation_Industry!$K$672*MAX(Mitigation_Industry!$K$670,0)*Mitigation_Industry!$H$769/1000</f>
        <v>0.32016729973011093</v>
      </c>
      <c r="U305" s="140">
        <f>Mitigation_Industry!U$682*Mitigation_Industry!$K$672*MAX(Mitigation_Industry!$K$670,0)*Mitigation_Industry!$H$769/1000</f>
        <v>0.33777650121526698</v>
      </c>
      <c r="V305" s="140">
        <f>Mitigation_Industry!V$682*Mitigation_Industry!$K$672*MAX(Mitigation_Industry!$K$670,0)*Mitigation_Industry!$H$769/1000</f>
        <v>0.35635420878210672</v>
      </c>
      <c r="W305" s="140">
        <f>Mitigation_Industry!W$682*Mitigation_Industry!$K$672*MAX(Mitigation_Industry!$K$670,0)*Mitigation_Industry!$H$769/1000</f>
        <v>0.37595369026512254</v>
      </c>
      <c r="X305" s="140">
        <f>Mitigation_Industry!X$682*Mitigation_Industry!$K$672*MAX(Mitigation_Industry!$K$670,0)*Mitigation_Industry!$H$769/1000</f>
        <v>0.39663114322970433</v>
      </c>
      <c r="Y305" s="140">
        <f>Mitigation_Industry!Y$682*Mitigation_Industry!$K$672*MAX(Mitigation_Industry!$K$670,0)*Mitigation_Industry!$H$769/1000</f>
        <v>0.41844585610733798</v>
      </c>
      <c r="Z305" s="140">
        <f>Mitigation_Industry!Z$682*Mitigation_Industry!$K$672*MAX(Mitigation_Industry!$K$670,0)*Mitigation_Industry!$H$769/1000</f>
        <v>0.44146037819324158</v>
      </c>
      <c r="AA305" s="140">
        <f>Mitigation_Industry!AA$682*Mitigation_Industry!$K$672*MAX(Mitigation_Industry!$K$670,0)*Mitigation_Industry!$H$769/1000</f>
        <v>0.46574069899386977</v>
      </c>
      <c r="AB305" s="140">
        <f>Mitigation_Industry!AB$682*Mitigation_Industry!$K$672*MAX(Mitigation_Industry!$K$670,0)*Mitigation_Industry!$H$769/1000</f>
        <v>0.49135643743853269</v>
      </c>
      <c r="AC305" s="140">
        <f>Mitigation_Industry!AC$682*Mitigation_Industry!$K$672*MAX(Mitigation_Industry!$K$670,0)*Mitigation_Industry!$H$769/1000</f>
        <v>0.51838104149765185</v>
      </c>
      <c r="AD305" s="140">
        <f>Mitigation_Industry!AD$682*Mitigation_Industry!$K$672*MAX(Mitigation_Industry!$K$670,0)*Mitigation_Industry!$H$769/1000</f>
        <v>0.5468919987800227</v>
      </c>
      <c r="AE305" s="140">
        <f>Mitigation_Industry!AE$682*Mitigation_Industry!$K$672*MAX(Mitigation_Industry!$K$670,0)*Mitigation_Industry!$H$769/1000</f>
        <v>0.57697105871292398</v>
      </c>
      <c r="AF305" s="141"/>
      <c r="AG305" s="141"/>
      <c r="AH305" s="141"/>
      <c r="AI305" s="141"/>
    </row>
    <row r="306" spans="1:35" x14ac:dyDescent="0.35"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  <c r="AA306" s="135"/>
      <c r="AB306" s="135"/>
      <c r="AC306" s="135"/>
      <c r="AD306" s="135"/>
      <c r="AE306" s="135"/>
      <c r="AF306" s="135"/>
      <c r="AG306" s="135"/>
      <c r="AH306" s="135"/>
      <c r="AI306" s="135"/>
    </row>
    <row r="307" spans="1:35" customFormat="1" ht="14.25" x14ac:dyDescent="0.45">
      <c r="A307" s="11"/>
      <c r="B307" s="6"/>
      <c r="C307" s="7" t="s">
        <v>2655</v>
      </c>
      <c r="D307" s="6" t="s">
        <v>1488</v>
      </c>
      <c r="E307" s="7" t="s">
        <v>35</v>
      </c>
      <c r="F307" s="7" t="s">
        <v>45</v>
      </c>
      <c r="G307" s="7" t="s">
        <v>37</v>
      </c>
      <c r="H307" s="12" t="s">
        <v>38</v>
      </c>
      <c r="I307" s="6" t="s">
        <v>39</v>
      </c>
      <c r="J307" s="48">
        <v>2</v>
      </c>
      <c r="K307" s="137">
        <v>2021</v>
      </c>
      <c r="L307" s="138">
        <v>2022</v>
      </c>
      <c r="M307" s="137">
        <v>2023</v>
      </c>
      <c r="N307" s="137">
        <v>2024</v>
      </c>
      <c r="O307" s="137">
        <v>2025</v>
      </c>
      <c r="P307" s="137">
        <v>2026</v>
      </c>
      <c r="Q307" s="137">
        <v>2027</v>
      </c>
      <c r="R307" s="137">
        <v>2028</v>
      </c>
      <c r="S307" s="137">
        <v>2029</v>
      </c>
      <c r="T307" s="137">
        <v>2030</v>
      </c>
      <c r="U307" s="137">
        <v>2031</v>
      </c>
      <c r="V307" s="137">
        <v>2032</v>
      </c>
      <c r="W307" s="137">
        <v>2033</v>
      </c>
      <c r="X307" s="137">
        <v>2034</v>
      </c>
      <c r="Y307" s="137">
        <v>2035</v>
      </c>
      <c r="Z307" s="137">
        <v>2036</v>
      </c>
      <c r="AA307" s="137">
        <v>2037</v>
      </c>
      <c r="AB307" s="137">
        <v>2038</v>
      </c>
      <c r="AC307" s="137">
        <v>2039</v>
      </c>
      <c r="AD307" s="137">
        <v>2040</v>
      </c>
      <c r="AE307" s="137">
        <v>2041</v>
      </c>
      <c r="AF307" s="137">
        <v>2042</v>
      </c>
      <c r="AG307" s="137">
        <v>2043</v>
      </c>
      <c r="AH307" s="137">
        <v>2044</v>
      </c>
      <c r="AI307" s="137">
        <v>2045</v>
      </c>
    </row>
    <row r="308" spans="1:35" customFormat="1" ht="14.25" x14ac:dyDescent="0.45">
      <c r="B308" s="14" t="s">
        <v>2565</v>
      </c>
      <c r="C308" s="14" t="s">
        <v>43</v>
      </c>
      <c r="D308" s="15" t="s">
        <v>2656</v>
      </c>
      <c r="E308" s="16" t="s">
        <v>2068</v>
      </c>
      <c r="F308" s="14" t="s">
        <v>2655</v>
      </c>
      <c r="G308" s="17"/>
      <c r="H308" s="128" t="str">
        <f>Settings!$B$3&amp;".mit.wp.stl.drg.np.2"</f>
        <v>egy.mit.wp.stl.drg.np.2</v>
      </c>
      <c r="I308" t="s">
        <v>2657</v>
      </c>
      <c r="K308" s="139"/>
      <c r="L308" s="140">
        <f t="shared" ref="L308:AE308" si="91">L$290*EXP(-L$272*L$234)</f>
        <v>0.17734546065090059</v>
      </c>
      <c r="M308" s="140">
        <f t="shared" si="91"/>
        <v>0.18514866091954021</v>
      </c>
      <c r="N308" s="140">
        <f t="shared" si="91"/>
        <v>0.193295202</v>
      </c>
      <c r="O308" s="140">
        <f t="shared" si="91"/>
        <v>0.20180019088800003</v>
      </c>
      <c r="P308" s="140">
        <f t="shared" si="91"/>
        <v>0.21067939928707202</v>
      </c>
      <c r="Q308" s="140">
        <f t="shared" si="91"/>
        <v>0.21994929285570322</v>
      </c>
      <c r="R308" s="140">
        <f t="shared" si="91"/>
        <v>0.22962706174135414</v>
      </c>
      <c r="S308" s="140">
        <f t="shared" si="91"/>
        <v>0.2397306524579737</v>
      </c>
      <c r="T308" s="140">
        <f t="shared" si="91"/>
        <v>0.25027880116612461</v>
      </c>
      <c r="U308" s="140">
        <f t="shared" si="91"/>
        <v>0.2612910684174341</v>
      </c>
      <c r="V308" s="140">
        <f t="shared" si="91"/>
        <v>0.27278787542780114</v>
      </c>
      <c r="W308" s="140">
        <f t="shared" si="91"/>
        <v>0.28479054194662445</v>
      </c>
      <c r="X308" s="140">
        <f t="shared" si="91"/>
        <v>0.29732132579227588</v>
      </c>
      <c r="Y308" s="140">
        <f t="shared" si="91"/>
        <v>0.3104034641271361</v>
      </c>
      <c r="Z308" s="140">
        <f t="shared" si="91"/>
        <v>0.32406121654872999</v>
      </c>
      <c r="AA308" s="140">
        <f t="shared" si="91"/>
        <v>0.33831991007687412</v>
      </c>
      <c r="AB308" s="140">
        <f t="shared" si="91"/>
        <v>0.35320598612025667</v>
      </c>
      <c r="AC308" s="140">
        <f t="shared" si="91"/>
        <v>0.36874704950954795</v>
      </c>
      <c r="AD308" s="140">
        <f t="shared" si="91"/>
        <v>0.38497191968796801</v>
      </c>
      <c r="AE308" s="140">
        <f t="shared" si="91"/>
        <v>0.40191068415423858</v>
      </c>
      <c r="AF308" s="141"/>
      <c r="AG308" s="141"/>
      <c r="AH308" s="141"/>
      <c r="AI308" s="141"/>
    </row>
    <row r="309" spans="1:35" customFormat="1" ht="14.25" x14ac:dyDescent="0.45">
      <c r="B309" s="14" t="s">
        <v>2568</v>
      </c>
      <c r="C309" s="14" t="s">
        <v>43</v>
      </c>
      <c r="D309" s="15" t="s">
        <v>2658</v>
      </c>
      <c r="E309" s="16" t="s">
        <v>2068</v>
      </c>
      <c r="F309" s="14" t="s">
        <v>2655</v>
      </c>
      <c r="G309" s="17"/>
      <c r="H309" s="128" t="str">
        <f>Settings!$B$3&amp;".mit.wp.stl.scr.np.2"</f>
        <v>egy.mit.wp.stl.scr.np.2</v>
      </c>
      <c r="K309" s="139"/>
      <c r="L309" s="140">
        <f t="shared" ref="L309:AE309" si="92">L$291*EXP(-L$273*L$235)</f>
        <v>0.19368983132954593</v>
      </c>
      <c r="M309" s="140">
        <f t="shared" si="92"/>
        <v>0.20221218390804596</v>
      </c>
      <c r="N309" s="140">
        <f t="shared" si="92"/>
        <v>0.21110951999999997</v>
      </c>
      <c r="O309" s="140">
        <f t="shared" si="92"/>
        <v>0.22039833887999999</v>
      </c>
      <c r="P309" s="140">
        <f t="shared" si="92"/>
        <v>0.23009586579071997</v>
      </c>
      <c r="Q309" s="140">
        <f t="shared" si="92"/>
        <v>0.24022008388551169</v>
      </c>
      <c r="R309" s="140">
        <f t="shared" si="92"/>
        <v>0.25078976757647414</v>
      </c>
      <c r="S309" s="140">
        <f t="shared" si="92"/>
        <v>0.26182451734983908</v>
      </c>
      <c r="T309" s="140">
        <f t="shared" si="92"/>
        <v>0.27334479611323198</v>
      </c>
      <c r="U309" s="140">
        <f t="shared" si="92"/>
        <v>0.28537196714221424</v>
      </c>
      <c r="V309" s="140">
        <f t="shared" si="92"/>
        <v>0.29792833369647159</v>
      </c>
      <c r="W309" s="140">
        <f t="shared" si="92"/>
        <v>0.31103718037911643</v>
      </c>
      <c r="X309" s="140">
        <f t="shared" si="92"/>
        <v>0.32472281631579752</v>
      </c>
      <c r="Y309" s="140">
        <f t="shared" si="92"/>
        <v>0.33901062023369266</v>
      </c>
      <c r="Z309" s="140">
        <f t="shared" si="92"/>
        <v>0.35392708752397511</v>
      </c>
      <c r="AA309" s="140">
        <f t="shared" si="92"/>
        <v>0.36949987937502998</v>
      </c>
      <c r="AB309" s="140">
        <f t="shared" si="92"/>
        <v>0.38575787406753137</v>
      </c>
      <c r="AC309" s="140">
        <f t="shared" si="92"/>
        <v>0.40273122052650273</v>
      </c>
      <c r="AD309" s="140">
        <f t="shared" si="92"/>
        <v>0.42045139422966882</v>
      </c>
      <c r="AE309" s="140">
        <f t="shared" si="92"/>
        <v>0.43895125557577425</v>
      </c>
      <c r="AF309" s="141"/>
      <c r="AG309" s="141"/>
      <c r="AH309" s="141"/>
      <c r="AI309" s="141"/>
    </row>
    <row r="310" spans="1:35" customFormat="1" ht="14.25" x14ac:dyDescent="0.45">
      <c r="B310" s="14" t="s">
        <v>2570</v>
      </c>
      <c r="C310" s="14" t="s">
        <v>43</v>
      </c>
      <c r="D310" s="15" t="s">
        <v>2659</v>
      </c>
      <c r="E310" s="16" t="s">
        <v>2068</v>
      </c>
      <c r="F310" s="14" t="s">
        <v>2655</v>
      </c>
      <c r="G310" s="17"/>
      <c r="H310" s="128" t="str">
        <f>Settings!$B$3&amp;".mit.wp.stl.bof.np.2"</f>
        <v>egy.mit.wp.stl.bof.np.2</v>
      </c>
      <c r="K310" s="139"/>
      <c r="L310" s="140">
        <f t="shared" ref="L310:AE310" si="93">L$292*EXP(-L$274*L$236)</f>
        <v>0</v>
      </c>
      <c r="M310" s="140">
        <f t="shared" si="93"/>
        <v>0</v>
      </c>
      <c r="N310" s="140">
        <f t="shared" si="93"/>
        <v>0</v>
      </c>
      <c r="O310" s="140">
        <f t="shared" si="93"/>
        <v>0</v>
      </c>
      <c r="P310" s="140">
        <f t="shared" si="93"/>
        <v>0</v>
      </c>
      <c r="Q310" s="140">
        <f t="shared" si="93"/>
        <v>0</v>
      </c>
      <c r="R310" s="140">
        <f t="shared" si="93"/>
        <v>0</v>
      </c>
      <c r="S310" s="140">
        <f t="shared" si="93"/>
        <v>0</v>
      </c>
      <c r="T310" s="140">
        <f t="shared" si="93"/>
        <v>0</v>
      </c>
      <c r="U310" s="140">
        <f t="shared" si="93"/>
        <v>0</v>
      </c>
      <c r="V310" s="140">
        <f t="shared" si="93"/>
        <v>0</v>
      </c>
      <c r="W310" s="140">
        <f t="shared" si="93"/>
        <v>0</v>
      </c>
      <c r="X310" s="140">
        <f t="shared" si="93"/>
        <v>0</v>
      </c>
      <c r="Y310" s="140">
        <f t="shared" si="93"/>
        <v>0</v>
      </c>
      <c r="Z310" s="140">
        <f t="shared" si="93"/>
        <v>0</v>
      </c>
      <c r="AA310" s="140">
        <f t="shared" si="93"/>
        <v>0</v>
      </c>
      <c r="AB310" s="140">
        <f t="shared" si="93"/>
        <v>0</v>
      </c>
      <c r="AC310" s="140">
        <f t="shared" si="93"/>
        <v>0</v>
      </c>
      <c r="AD310" s="140">
        <f t="shared" si="93"/>
        <v>0</v>
      </c>
      <c r="AE310" s="140">
        <f t="shared" si="93"/>
        <v>0</v>
      </c>
      <c r="AF310" s="141"/>
      <c r="AG310" s="141"/>
      <c r="AH310" s="141"/>
      <c r="AI310" s="141"/>
    </row>
    <row r="311" spans="1:35" customFormat="1" ht="14.25" x14ac:dyDescent="0.45">
      <c r="B311" s="14" t="s">
        <v>2572</v>
      </c>
      <c r="C311" s="14" t="s">
        <v>113</v>
      </c>
      <c r="D311" s="15" t="s">
        <v>2660</v>
      </c>
      <c r="E311" s="16" t="s">
        <v>2068</v>
      </c>
      <c r="F311" s="14" t="s">
        <v>2655</v>
      </c>
      <c r="G311" s="17"/>
      <c r="H311" s="128" t="str">
        <f>Settings!$B$3&amp;".mit.wp.cmt.dry.np.2"</f>
        <v>egy.mit.wp.cmt.dry.np.2</v>
      </c>
      <c r="K311" s="139"/>
      <c r="L311" s="140">
        <f t="shared" ref="L311:AE311" si="94">L$293*EXP(-L$275*L$237)</f>
        <v>25.163138219961041</v>
      </c>
      <c r="M311" s="140">
        <f t="shared" si="94"/>
        <v>25.993521781219755</v>
      </c>
      <c r="N311" s="140">
        <f t="shared" si="94"/>
        <v>26.851308</v>
      </c>
      <c r="O311" s="140">
        <f t="shared" si="94"/>
        <v>27.737401163999998</v>
      </c>
      <c r="P311" s="140">
        <f t="shared" si="94"/>
        <v>28.652735402411995</v>
      </c>
      <c r="Q311" s="140">
        <f t="shared" si="94"/>
        <v>29.598275670691589</v>
      </c>
      <c r="R311" s="140">
        <f t="shared" si="94"/>
        <v>30.575018767824407</v>
      </c>
      <c r="S311" s="140">
        <f t="shared" si="94"/>
        <v>31.583994387162612</v>
      </c>
      <c r="T311" s="140">
        <f t="shared" si="94"/>
        <v>32.626266201938975</v>
      </c>
      <c r="U311" s="140">
        <f t="shared" si="94"/>
        <v>33.70293298660296</v>
      </c>
      <c r="V311" s="140">
        <f t="shared" si="94"/>
        <v>34.815129775160841</v>
      </c>
      <c r="W311" s="140">
        <f t="shared" si="94"/>
        <v>35.964029057741151</v>
      </c>
      <c r="X311" s="140">
        <f t="shared" si="94"/>
        <v>37.150842016646592</v>
      </c>
      <c r="Y311" s="140">
        <f t="shared" si="94"/>
        <v>38.376819803195943</v>
      </c>
      <c r="Z311" s="140">
        <f t="shared" si="94"/>
        <v>39.643254856701404</v>
      </c>
      <c r="AA311" s="140">
        <f t="shared" si="94"/>
        <v>40.951482266972548</v>
      </c>
      <c r="AB311" s="140">
        <f t="shared" si="94"/>
        <v>42.302881181782631</v>
      </c>
      <c r="AC311" s="140">
        <f t="shared" si="94"/>
        <v>43.698876260781446</v>
      </c>
      <c r="AD311" s="140">
        <f t="shared" si="94"/>
        <v>45.140939177387231</v>
      </c>
      <c r="AE311" s="140">
        <f t="shared" si="94"/>
        <v>46.630590170241007</v>
      </c>
      <c r="AF311" s="141"/>
      <c r="AG311" s="141"/>
      <c r="AH311" s="141"/>
      <c r="AI311" s="141"/>
    </row>
    <row r="312" spans="1:35" customFormat="1" ht="14.25" x14ac:dyDescent="0.45">
      <c r="B312" s="14" t="s">
        <v>2574</v>
      </c>
      <c r="C312" s="14" t="s">
        <v>117</v>
      </c>
      <c r="D312" s="15" t="s">
        <v>2661</v>
      </c>
      <c r="E312" s="16" t="s">
        <v>2068</v>
      </c>
      <c r="F312" s="14" t="s">
        <v>2655</v>
      </c>
      <c r="G312" s="17"/>
      <c r="H312" s="128" t="str">
        <f>Settings!$B$3&amp;".mit.wp.frt.amc.np.2"</f>
        <v>egy.mit.wp.frt.amc.np.2</v>
      </c>
      <c r="K312" s="139"/>
      <c r="L312" s="140">
        <f t="shared" ref="L312:AE312" si="95">L$294*EXP(-L$276*L$238)</f>
        <v>0</v>
      </c>
      <c r="M312" s="140">
        <f t="shared" si="95"/>
        <v>0</v>
      </c>
      <c r="N312" s="140">
        <f t="shared" si="95"/>
        <v>0</v>
      </c>
      <c r="O312" s="140">
        <f t="shared" si="95"/>
        <v>0</v>
      </c>
      <c r="P312" s="140">
        <f t="shared" si="95"/>
        <v>0</v>
      </c>
      <c r="Q312" s="140">
        <f t="shared" si="95"/>
        <v>0</v>
      </c>
      <c r="R312" s="140">
        <f t="shared" si="95"/>
        <v>0</v>
      </c>
      <c r="S312" s="140">
        <f t="shared" si="95"/>
        <v>0</v>
      </c>
      <c r="T312" s="140">
        <f t="shared" si="95"/>
        <v>0</v>
      </c>
      <c r="U312" s="140">
        <f t="shared" si="95"/>
        <v>0</v>
      </c>
      <c r="V312" s="140">
        <f t="shared" si="95"/>
        <v>0</v>
      </c>
      <c r="W312" s="140">
        <f t="shared" si="95"/>
        <v>0</v>
      </c>
      <c r="X312" s="140">
        <f t="shared" si="95"/>
        <v>0</v>
      </c>
      <c r="Y312" s="140">
        <f t="shared" si="95"/>
        <v>0</v>
      </c>
      <c r="Z312" s="140">
        <f t="shared" si="95"/>
        <v>0</v>
      </c>
      <c r="AA312" s="140">
        <f t="shared" si="95"/>
        <v>0</v>
      </c>
      <c r="AB312" s="140">
        <f t="shared" si="95"/>
        <v>0</v>
      </c>
      <c r="AC312" s="140">
        <f t="shared" si="95"/>
        <v>0</v>
      </c>
      <c r="AD312" s="140">
        <f t="shared" si="95"/>
        <v>0</v>
      </c>
      <c r="AE312" s="140">
        <f t="shared" si="95"/>
        <v>0</v>
      </c>
      <c r="AF312" s="141"/>
      <c r="AG312" s="141"/>
      <c r="AH312" s="141"/>
      <c r="AI312" s="141"/>
    </row>
    <row r="313" spans="1:35" customFormat="1" ht="14.25" x14ac:dyDescent="0.45">
      <c r="B313" s="14" t="s">
        <v>2576</v>
      </c>
      <c r="C313" s="14" t="s">
        <v>117</v>
      </c>
      <c r="D313" s="15" t="s">
        <v>2662</v>
      </c>
      <c r="E313" s="16" t="s">
        <v>2068</v>
      </c>
      <c r="F313" s="14" t="s">
        <v>2655</v>
      </c>
      <c r="G313" s="17"/>
      <c r="H313" s="128" t="str">
        <f>Settings!$B$3&amp;".mit.wp.frt.ure.np.2"</f>
        <v>egy.mit.wp.frt.ure.np.2</v>
      </c>
      <c r="K313" s="139"/>
      <c r="L313" s="140">
        <f t="shared" ref="L313:AE313" si="96">L$295*EXP(-L$277*L$239)</f>
        <v>0</v>
      </c>
      <c r="M313" s="140">
        <f t="shared" si="96"/>
        <v>0</v>
      </c>
      <c r="N313" s="140">
        <f t="shared" si="96"/>
        <v>0</v>
      </c>
      <c r="O313" s="140">
        <f t="shared" si="96"/>
        <v>0</v>
      </c>
      <c r="P313" s="140">
        <f t="shared" si="96"/>
        <v>0</v>
      </c>
      <c r="Q313" s="140">
        <f t="shared" si="96"/>
        <v>0</v>
      </c>
      <c r="R313" s="140">
        <f t="shared" si="96"/>
        <v>0</v>
      </c>
      <c r="S313" s="140">
        <f t="shared" si="96"/>
        <v>0</v>
      </c>
      <c r="T313" s="140">
        <f t="shared" si="96"/>
        <v>0</v>
      </c>
      <c r="U313" s="140">
        <f t="shared" si="96"/>
        <v>0</v>
      </c>
      <c r="V313" s="140">
        <f t="shared" si="96"/>
        <v>0</v>
      </c>
      <c r="W313" s="140">
        <f t="shared" si="96"/>
        <v>0</v>
      </c>
      <c r="X313" s="140">
        <f t="shared" si="96"/>
        <v>0</v>
      </c>
      <c r="Y313" s="140">
        <f t="shared" si="96"/>
        <v>0</v>
      </c>
      <c r="Z313" s="140">
        <f t="shared" si="96"/>
        <v>0</v>
      </c>
      <c r="AA313" s="140">
        <f t="shared" si="96"/>
        <v>0</v>
      </c>
      <c r="AB313" s="140">
        <f t="shared" si="96"/>
        <v>0</v>
      </c>
      <c r="AC313" s="140">
        <f t="shared" si="96"/>
        <v>0</v>
      </c>
      <c r="AD313" s="140">
        <f t="shared" si="96"/>
        <v>0</v>
      </c>
      <c r="AE313" s="140">
        <f t="shared" si="96"/>
        <v>0</v>
      </c>
      <c r="AF313" s="141"/>
      <c r="AG313" s="141"/>
      <c r="AH313" s="141"/>
      <c r="AI313" s="141"/>
    </row>
    <row r="314" spans="1:35" customFormat="1" ht="14.25" x14ac:dyDescent="0.45">
      <c r="B314" s="14" t="s">
        <v>2578</v>
      </c>
      <c r="C314" s="14" t="s">
        <v>117</v>
      </c>
      <c r="D314" s="15" t="s">
        <v>2663</v>
      </c>
      <c r="E314" s="16" t="s">
        <v>2068</v>
      </c>
      <c r="F314" s="14" t="s">
        <v>2655</v>
      </c>
      <c r="G314" s="17"/>
      <c r="H314" s="128" t="str">
        <f>Settings!$B$3&amp;".mit.wp.frt.nit.np.2"</f>
        <v>egy.mit.wp.frt.nit.np.2</v>
      </c>
      <c r="K314" s="139"/>
      <c r="L314" s="140">
        <f t="shared" ref="L314:AE314" si="97">L$296*EXP(-L$278*L$240)</f>
        <v>0</v>
      </c>
      <c r="M314" s="140">
        <f t="shared" si="97"/>
        <v>0</v>
      </c>
      <c r="N314" s="140">
        <f t="shared" si="97"/>
        <v>0</v>
      </c>
      <c r="O314" s="140">
        <f t="shared" si="97"/>
        <v>0</v>
      </c>
      <c r="P314" s="140">
        <f t="shared" si="97"/>
        <v>0</v>
      </c>
      <c r="Q314" s="140">
        <f t="shared" si="97"/>
        <v>0</v>
      </c>
      <c r="R314" s="140">
        <f t="shared" si="97"/>
        <v>0</v>
      </c>
      <c r="S314" s="140">
        <f t="shared" si="97"/>
        <v>0</v>
      </c>
      <c r="T314" s="140">
        <f t="shared" si="97"/>
        <v>0</v>
      </c>
      <c r="U314" s="140">
        <f t="shared" si="97"/>
        <v>0</v>
      </c>
      <c r="V314" s="140">
        <f t="shared" si="97"/>
        <v>0</v>
      </c>
      <c r="W314" s="140">
        <f t="shared" si="97"/>
        <v>0</v>
      </c>
      <c r="X314" s="140">
        <f t="shared" si="97"/>
        <v>0</v>
      </c>
      <c r="Y314" s="140">
        <f t="shared" si="97"/>
        <v>0</v>
      </c>
      <c r="Z314" s="140">
        <f t="shared" si="97"/>
        <v>0</v>
      </c>
      <c r="AA314" s="140">
        <f t="shared" si="97"/>
        <v>0</v>
      </c>
      <c r="AB314" s="140">
        <f t="shared" si="97"/>
        <v>0</v>
      </c>
      <c r="AC314" s="140">
        <f t="shared" si="97"/>
        <v>0</v>
      </c>
      <c r="AD314" s="140">
        <f t="shared" si="97"/>
        <v>0</v>
      </c>
      <c r="AE314" s="140">
        <f t="shared" si="97"/>
        <v>0</v>
      </c>
      <c r="AF314" s="141"/>
      <c r="AG314" s="141"/>
      <c r="AH314" s="141"/>
      <c r="AI314" s="141"/>
    </row>
    <row r="315" spans="1:35" customFormat="1" ht="14.25" x14ac:dyDescent="0.45">
      <c r="B315" s="14" t="s">
        <v>2580</v>
      </c>
      <c r="C315" s="14" t="s">
        <v>115</v>
      </c>
      <c r="D315" s="15" t="s">
        <v>2664</v>
      </c>
      <c r="E315" s="16" t="s">
        <v>2068</v>
      </c>
      <c r="F315" s="14" t="s">
        <v>2655</v>
      </c>
      <c r="G315" s="17"/>
      <c r="H315" s="128" t="str">
        <f>Settings!$B$3&amp;".mit.wp.alu.prp.np.2"</f>
        <v>egy.mit.wp.alu.prp.np.2</v>
      </c>
      <c r="K315" s="139"/>
      <c r="L315" s="140">
        <f t="shared" ref="L315:AE315" si="98">L$297*EXP(-L$279*L$241)</f>
        <v>0.43758937310482698</v>
      </c>
      <c r="M315" s="140">
        <f t="shared" si="98"/>
        <v>0.4616567886255924</v>
      </c>
      <c r="N315" s="140">
        <f t="shared" si="98"/>
        <v>0.48704791199999997</v>
      </c>
      <c r="O315" s="140">
        <f t="shared" si="98"/>
        <v>0.51383554716000002</v>
      </c>
      <c r="P315" s="140">
        <f t="shared" si="98"/>
        <v>0.54209650225379991</v>
      </c>
      <c r="Q315" s="140">
        <f t="shared" si="98"/>
        <v>0.5719118098777588</v>
      </c>
      <c r="R315" s="140">
        <f t="shared" si="98"/>
        <v>0.6033669594210358</v>
      </c>
      <c r="S315" s="140">
        <f t="shared" si="98"/>
        <v>0.63655214218919254</v>
      </c>
      <c r="T315" s="140">
        <f t="shared" si="98"/>
        <v>0.6715625100095981</v>
      </c>
      <c r="U315" s="140">
        <f t="shared" si="98"/>
        <v>0.70849844806012596</v>
      </c>
      <c r="V315" s="140">
        <f t="shared" si="98"/>
        <v>0.74746586270343296</v>
      </c>
      <c r="W315" s="140">
        <f t="shared" si="98"/>
        <v>0.78857648515212175</v>
      </c>
      <c r="X315" s="140">
        <f t="shared" si="98"/>
        <v>0.83194819183548852</v>
      </c>
      <c r="Y315" s="140">
        <f t="shared" si="98"/>
        <v>0.87770534238644027</v>
      </c>
      <c r="Z315" s="140">
        <f t="shared" si="98"/>
        <v>0.92597913621769457</v>
      </c>
      <c r="AA315" s="140">
        <f t="shared" si="98"/>
        <v>0.97690798870966755</v>
      </c>
      <c r="AB315" s="140">
        <f t="shared" si="98"/>
        <v>1.0306379280886993</v>
      </c>
      <c r="AC315" s="140">
        <f t="shared" si="98"/>
        <v>1.0873230141335775</v>
      </c>
      <c r="AD315" s="140">
        <f t="shared" si="98"/>
        <v>1.1471257799109245</v>
      </c>
      <c r="AE315" s="140">
        <f t="shared" si="98"/>
        <v>1.2102176978060251</v>
      </c>
      <c r="AF315" s="141"/>
      <c r="AG315" s="141"/>
      <c r="AH315" s="141"/>
      <c r="AI315" s="141"/>
    </row>
    <row r="316" spans="1:35" customFormat="1" ht="14.25" x14ac:dyDescent="0.45">
      <c r="B316" s="14" t="s">
        <v>2582</v>
      </c>
      <c r="C316" s="14" t="s">
        <v>43</v>
      </c>
      <c r="D316" s="15" t="s">
        <v>2665</v>
      </c>
      <c r="E316" s="16" t="s">
        <v>2068</v>
      </c>
      <c r="F316" s="14" t="s">
        <v>2655</v>
      </c>
      <c r="G316" s="17"/>
      <c r="H316" s="128" t="str">
        <f>Settings!$B$3&amp;".mit.wp.stl.drg.no.2"</f>
        <v>egy.mit.wp.stl.drg.no.2</v>
      </c>
      <c r="K316" s="139"/>
      <c r="L316" s="140">
        <f t="shared" ref="L316:AE316" si="99">L$298*EXP(-L$280*L$242)</f>
        <v>0</v>
      </c>
      <c r="M316" s="140">
        <f t="shared" si="99"/>
        <v>0</v>
      </c>
      <c r="N316" s="140">
        <f t="shared" si="99"/>
        <v>0</v>
      </c>
      <c r="O316" s="140">
        <f t="shared" si="99"/>
        <v>0</v>
      </c>
      <c r="P316" s="140">
        <f t="shared" si="99"/>
        <v>0</v>
      </c>
      <c r="Q316" s="140">
        <f t="shared" si="99"/>
        <v>0</v>
      </c>
      <c r="R316" s="140">
        <f t="shared" si="99"/>
        <v>0</v>
      </c>
      <c r="S316" s="140">
        <f t="shared" si="99"/>
        <v>0</v>
      </c>
      <c r="T316" s="140">
        <f t="shared" si="99"/>
        <v>0</v>
      </c>
      <c r="U316" s="140">
        <f t="shared" si="99"/>
        <v>0</v>
      </c>
      <c r="V316" s="140">
        <f t="shared" si="99"/>
        <v>0</v>
      </c>
      <c r="W316" s="140">
        <f t="shared" si="99"/>
        <v>0</v>
      </c>
      <c r="X316" s="140">
        <f t="shared" si="99"/>
        <v>0</v>
      </c>
      <c r="Y316" s="140">
        <f t="shared" si="99"/>
        <v>0</v>
      </c>
      <c r="Z316" s="140">
        <f t="shared" si="99"/>
        <v>0</v>
      </c>
      <c r="AA316" s="140">
        <f t="shared" si="99"/>
        <v>0</v>
      </c>
      <c r="AB316" s="140">
        <f t="shared" si="99"/>
        <v>0</v>
      </c>
      <c r="AC316" s="140">
        <f t="shared" si="99"/>
        <v>0</v>
      </c>
      <c r="AD316" s="140">
        <f t="shared" si="99"/>
        <v>0</v>
      </c>
      <c r="AE316" s="140">
        <f t="shared" si="99"/>
        <v>0</v>
      </c>
      <c r="AF316" s="141"/>
      <c r="AG316" s="141"/>
      <c r="AH316" s="141"/>
      <c r="AI316" s="141"/>
    </row>
    <row r="317" spans="1:35" customFormat="1" ht="14.25" x14ac:dyDescent="0.45">
      <c r="B317" s="14" t="s">
        <v>2584</v>
      </c>
      <c r="C317" s="14" t="s">
        <v>43</v>
      </c>
      <c r="D317" s="15" t="s">
        <v>2666</v>
      </c>
      <c r="E317" s="16" t="s">
        <v>2068</v>
      </c>
      <c r="F317" s="14" t="s">
        <v>2655</v>
      </c>
      <c r="G317" s="17"/>
      <c r="H317" s="128" t="str">
        <f>Settings!$B$3&amp;".mit.wp.stl.scr.no.2"</f>
        <v>egy.mit.wp.stl.scr.no.2</v>
      </c>
      <c r="K317" s="139"/>
      <c r="L317" s="140">
        <f t="shared" ref="L317:AE317" si="100">L$299*EXP(-L$281*L$243)</f>
        <v>0</v>
      </c>
      <c r="M317" s="140">
        <f t="shared" si="100"/>
        <v>0</v>
      </c>
      <c r="N317" s="140">
        <f t="shared" si="100"/>
        <v>0</v>
      </c>
      <c r="O317" s="140">
        <f t="shared" si="100"/>
        <v>0</v>
      </c>
      <c r="P317" s="140">
        <f t="shared" si="100"/>
        <v>0</v>
      </c>
      <c r="Q317" s="140">
        <f t="shared" si="100"/>
        <v>0</v>
      </c>
      <c r="R317" s="140">
        <f t="shared" si="100"/>
        <v>0</v>
      </c>
      <c r="S317" s="140">
        <f t="shared" si="100"/>
        <v>0</v>
      </c>
      <c r="T317" s="140">
        <f t="shared" si="100"/>
        <v>0</v>
      </c>
      <c r="U317" s="140">
        <f t="shared" si="100"/>
        <v>0</v>
      </c>
      <c r="V317" s="140">
        <f t="shared" si="100"/>
        <v>0</v>
      </c>
      <c r="W317" s="140">
        <f t="shared" si="100"/>
        <v>0</v>
      </c>
      <c r="X317" s="140">
        <f t="shared" si="100"/>
        <v>0</v>
      </c>
      <c r="Y317" s="140">
        <f t="shared" si="100"/>
        <v>0</v>
      </c>
      <c r="Z317" s="140">
        <f t="shared" si="100"/>
        <v>0</v>
      </c>
      <c r="AA317" s="140">
        <f t="shared" si="100"/>
        <v>0</v>
      </c>
      <c r="AB317" s="140">
        <f t="shared" si="100"/>
        <v>0</v>
      </c>
      <c r="AC317" s="140">
        <f t="shared" si="100"/>
        <v>0</v>
      </c>
      <c r="AD317" s="140">
        <f t="shared" si="100"/>
        <v>0</v>
      </c>
      <c r="AE317" s="140">
        <f t="shared" si="100"/>
        <v>0</v>
      </c>
      <c r="AF317" s="141"/>
      <c r="AG317" s="141"/>
      <c r="AH317" s="141"/>
      <c r="AI317" s="141"/>
    </row>
    <row r="318" spans="1:35" customFormat="1" ht="14.25" x14ac:dyDescent="0.45">
      <c r="B318" s="14" t="s">
        <v>2586</v>
      </c>
      <c r="C318" s="14" t="s">
        <v>43</v>
      </c>
      <c r="D318" s="15" t="s">
        <v>2667</v>
      </c>
      <c r="E318" s="16" t="s">
        <v>2068</v>
      </c>
      <c r="F318" s="14" t="s">
        <v>2655</v>
      </c>
      <c r="G318" s="17"/>
      <c r="H318" s="128" t="str">
        <f>Settings!$B$3&amp;".mit.wp.stl.bof.no.2"</f>
        <v>egy.mit.wp.stl.bof.no.2</v>
      </c>
      <c r="K318" s="139"/>
      <c r="L318" s="140">
        <f t="shared" ref="L318:AE318" si="101">L$300*EXP(-L$282*L$244)</f>
        <v>0</v>
      </c>
      <c r="M318" s="140">
        <f t="shared" si="101"/>
        <v>0</v>
      </c>
      <c r="N318" s="140">
        <f t="shared" si="101"/>
        <v>0</v>
      </c>
      <c r="O318" s="140">
        <f t="shared" si="101"/>
        <v>0</v>
      </c>
      <c r="P318" s="140">
        <f t="shared" si="101"/>
        <v>0</v>
      </c>
      <c r="Q318" s="140">
        <f t="shared" si="101"/>
        <v>0</v>
      </c>
      <c r="R318" s="140">
        <f t="shared" si="101"/>
        <v>0</v>
      </c>
      <c r="S318" s="140">
        <f t="shared" si="101"/>
        <v>0</v>
      </c>
      <c r="T318" s="140">
        <f t="shared" si="101"/>
        <v>0</v>
      </c>
      <c r="U318" s="140">
        <f t="shared" si="101"/>
        <v>0</v>
      </c>
      <c r="V318" s="140">
        <f t="shared" si="101"/>
        <v>0</v>
      </c>
      <c r="W318" s="140">
        <f t="shared" si="101"/>
        <v>0</v>
      </c>
      <c r="X318" s="140">
        <f t="shared" si="101"/>
        <v>0</v>
      </c>
      <c r="Y318" s="140">
        <f t="shared" si="101"/>
        <v>0</v>
      </c>
      <c r="Z318" s="140">
        <f t="shared" si="101"/>
        <v>0</v>
      </c>
      <c r="AA318" s="140">
        <f t="shared" si="101"/>
        <v>0</v>
      </c>
      <c r="AB318" s="140">
        <f t="shared" si="101"/>
        <v>0</v>
      </c>
      <c r="AC318" s="140">
        <f t="shared" si="101"/>
        <v>0</v>
      </c>
      <c r="AD318" s="140">
        <f t="shared" si="101"/>
        <v>0</v>
      </c>
      <c r="AE318" s="140">
        <f t="shared" si="101"/>
        <v>0</v>
      </c>
      <c r="AF318" s="141"/>
      <c r="AG318" s="141"/>
      <c r="AH318" s="141"/>
      <c r="AI318" s="141"/>
    </row>
    <row r="319" spans="1:35" customFormat="1" ht="14.25" x14ac:dyDescent="0.45">
      <c r="B319" s="14" t="s">
        <v>2588</v>
      </c>
      <c r="C319" s="14" t="s">
        <v>113</v>
      </c>
      <c r="D319" s="15" t="s">
        <v>2668</v>
      </c>
      <c r="E319" s="16" t="s">
        <v>2068</v>
      </c>
      <c r="F319" s="14" t="s">
        <v>2655</v>
      </c>
      <c r="G319" s="17"/>
      <c r="H319" s="128" t="str">
        <f>Settings!$B$3&amp;".mit.wp.cmt.dry.no.2"</f>
        <v>egy.mit.wp.cmt.dry.no.2</v>
      </c>
      <c r="K319" s="139"/>
      <c r="L319" s="140">
        <f t="shared" ref="L319:AE319" si="102">L$301*EXP(-L$283*L$245)</f>
        <v>0</v>
      </c>
      <c r="M319" s="140">
        <f t="shared" si="102"/>
        <v>0</v>
      </c>
      <c r="N319" s="140">
        <f t="shared" si="102"/>
        <v>0</v>
      </c>
      <c r="O319" s="140">
        <f t="shared" si="102"/>
        <v>0</v>
      </c>
      <c r="P319" s="140">
        <f t="shared" si="102"/>
        <v>0</v>
      </c>
      <c r="Q319" s="140">
        <f t="shared" si="102"/>
        <v>0</v>
      </c>
      <c r="R319" s="140">
        <f t="shared" si="102"/>
        <v>0</v>
      </c>
      <c r="S319" s="140">
        <f t="shared" si="102"/>
        <v>0</v>
      </c>
      <c r="T319" s="140">
        <f t="shared" si="102"/>
        <v>0</v>
      </c>
      <c r="U319" s="140">
        <f t="shared" si="102"/>
        <v>0</v>
      </c>
      <c r="V319" s="140">
        <f t="shared" si="102"/>
        <v>0</v>
      </c>
      <c r="W319" s="140">
        <f t="shared" si="102"/>
        <v>0</v>
      </c>
      <c r="X319" s="140">
        <f t="shared" si="102"/>
        <v>0</v>
      </c>
      <c r="Y319" s="140">
        <f t="shared" si="102"/>
        <v>0</v>
      </c>
      <c r="Z319" s="140">
        <f t="shared" si="102"/>
        <v>0</v>
      </c>
      <c r="AA319" s="140">
        <f t="shared" si="102"/>
        <v>0</v>
      </c>
      <c r="AB319" s="140">
        <f t="shared" si="102"/>
        <v>0</v>
      </c>
      <c r="AC319" s="140">
        <f t="shared" si="102"/>
        <v>0</v>
      </c>
      <c r="AD319" s="140">
        <f t="shared" si="102"/>
        <v>0</v>
      </c>
      <c r="AE319" s="140">
        <f t="shared" si="102"/>
        <v>0</v>
      </c>
      <c r="AF319" s="141"/>
      <c r="AG319" s="141"/>
      <c r="AH319" s="141"/>
      <c r="AI319" s="141"/>
    </row>
    <row r="320" spans="1:35" customFormat="1" ht="14.25" x14ac:dyDescent="0.45">
      <c r="B320" s="14" t="s">
        <v>2590</v>
      </c>
      <c r="C320" s="14" t="s">
        <v>117</v>
      </c>
      <c r="D320" s="15" t="s">
        <v>2669</v>
      </c>
      <c r="E320" s="16" t="s">
        <v>2068</v>
      </c>
      <c r="F320" s="14" t="s">
        <v>2655</v>
      </c>
      <c r="G320" s="17"/>
      <c r="H320" s="128" t="str">
        <f>Settings!$B$3&amp;".mit.wp.frt.amc.no.2"</f>
        <v>egy.mit.wp.frt.amc.no.2</v>
      </c>
      <c r="K320" s="139"/>
      <c r="L320" s="140">
        <f t="shared" ref="L320:AE320" si="103">L$302*EXP(-L$284*L$246)</f>
        <v>0</v>
      </c>
      <c r="M320" s="140">
        <f t="shared" si="103"/>
        <v>0</v>
      </c>
      <c r="N320" s="140">
        <f t="shared" si="103"/>
        <v>0</v>
      </c>
      <c r="O320" s="140">
        <f t="shared" si="103"/>
        <v>0</v>
      </c>
      <c r="P320" s="140">
        <f t="shared" si="103"/>
        <v>0</v>
      </c>
      <c r="Q320" s="140">
        <f t="shared" si="103"/>
        <v>0</v>
      </c>
      <c r="R320" s="140">
        <f t="shared" si="103"/>
        <v>0</v>
      </c>
      <c r="S320" s="140">
        <f t="shared" si="103"/>
        <v>0</v>
      </c>
      <c r="T320" s="140">
        <f t="shared" si="103"/>
        <v>0</v>
      </c>
      <c r="U320" s="140">
        <f t="shared" si="103"/>
        <v>0</v>
      </c>
      <c r="V320" s="140">
        <f t="shared" si="103"/>
        <v>0</v>
      </c>
      <c r="W320" s="140">
        <f t="shared" si="103"/>
        <v>0</v>
      </c>
      <c r="X320" s="140">
        <f t="shared" si="103"/>
        <v>0</v>
      </c>
      <c r="Y320" s="140">
        <f t="shared" si="103"/>
        <v>0</v>
      </c>
      <c r="Z320" s="140">
        <f t="shared" si="103"/>
        <v>0</v>
      </c>
      <c r="AA320" s="140">
        <f t="shared" si="103"/>
        <v>0</v>
      </c>
      <c r="AB320" s="140">
        <f t="shared" si="103"/>
        <v>0</v>
      </c>
      <c r="AC320" s="140">
        <f t="shared" si="103"/>
        <v>0</v>
      </c>
      <c r="AD320" s="140">
        <f t="shared" si="103"/>
        <v>0</v>
      </c>
      <c r="AE320" s="140">
        <f t="shared" si="103"/>
        <v>0</v>
      </c>
      <c r="AF320" s="141"/>
      <c r="AG320" s="141"/>
      <c r="AH320" s="141"/>
      <c r="AI320" s="141"/>
    </row>
    <row r="321" spans="1:35" customFormat="1" ht="14.25" x14ac:dyDescent="0.45">
      <c r="B321" s="14" t="s">
        <v>2592</v>
      </c>
      <c r="C321" s="14" t="s">
        <v>117</v>
      </c>
      <c r="D321" s="15" t="s">
        <v>2670</v>
      </c>
      <c r="E321" s="16" t="s">
        <v>2068</v>
      </c>
      <c r="F321" s="14" t="s">
        <v>2655</v>
      </c>
      <c r="G321" s="17"/>
      <c r="H321" s="128" t="str">
        <f>Settings!$B$3&amp;".mit.wp.frt.ure.no.2"</f>
        <v>egy.mit.wp.frt.ure.no.2</v>
      </c>
      <c r="K321" s="139"/>
      <c r="L321" s="140">
        <f t="shared" ref="L321:AE321" si="104">L$303*EXP(-L$285*L$247)</f>
        <v>0</v>
      </c>
      <c r="M321" s="140">
        <f t="shared" si="104"/>
        <v>0</v>
      </c>
      <c r="N321" s="140">
        <f t="shared" si="104"/>
        <v>0</v>
      </c>
      <c r="O321" s="140">
        <f t="shared" si="104"/>
        <v>0</v>
      </c>
      <c r="P321" s="140">
        <f t="shared" si="104"/>
        <v>0</v>
      </c>
      <c r="Q321" s="140">
        <f t="shared" si="104"/>
        <v>0</v>
      </c>
      <c r="R321" s="140">
        <f t="shared" si="104"/>
        <v>0</v>
      </c>
      <c r="S321" s="140">
        <f t="shared" si="104"/>
        <v>0</v>
      </c>
      <c r="T321" s="140">
        <f t="shared" si="104"/>
        <v>0</v>
      </c>
      <c r="U321" s="140">
        <f t="shared" si="104"/>
        <v>0</v>
      </c>
      <c r="V321" s="140">
        <f t="shared" si="104"/>
        <v>0</v>
      </c>
      <c r="W321" s="140">
        <f t="shared" si="104"/>
        <v>0</v>
      </c>
      <c r="X321" s="140">
        <f t="shared" si="104"/>
        <v>0</v>
      </c>
      <c r="Y321" s="140">
        <f t="shared" si="104"/>
        <v>0</v>
      </c>
      <c r="Z321" s="140">
        <f t="shared" si="104"/>
        <v>0</v>
      </c>
      <c r="AA321" s="140">
        <f t="shared" si="104"/>
        <v>0</v>
      </c>
      <c r="AB321" s="140">
        <f t="shared" si="104"/>
        <v>0</v>
      </c>
      <c r="AC321" s="140">
        <f t="shared" si="104"/>
        <v>0</v>
      </c>
      <c r="AD321" s="140">
        <f t="shared" si="104"/>
        <v>0</v>
      </c>
      <c r="AE321" s="140">
        <f t="shared" si="104"/>
        <v>0</v>
      </c>
      <c r="AF321" s="141"/>
      <c r="AG321" s="141"/>
      <c r="AH321" s="141"/>
      <c r="AI321" s="141"/>
    </row>
    <row r="322" spans="1:35" customFormat="1" ht="14.25" x14ac:dyDescent="0.45">
      <c r="B322" s="14" t="s">
        <v>2594</v>
      </c>
      <c r="C322" s="14" t="s">
        <v>117</v>
      </c>
      <c r="D322" s="15" t="s">
        <v>2671</v>
      </c>
      <c r="E322" s="16" t="s">
        <v>2068</v>
      </c>
      <c r="F322" s="14" t="s">
        <v>2655</v>
      </c>
      <c r="G322" s="17"/>
      <c r="H322" s="128" t="str">
        <f>Settings!$B$3&amp;".mit.wp.frt.nit.no.2"</f>
        <v>egy.mit.wp.frt.nit.no.2</v>
      </c>
      <c r="K322" s="139"/>
      <c r="L322" s="140">
        <f t="shared" ref="L322:AE322" si="105">L$304*EXP(-L$286*L$248)</f>
        <v>0.57123661061347031</v>
      </c>
      <c r="M322" s="140">
        <f t="shared" si="105"/>
        <v>0.58380381604696674</v>
      </c>
      <c r="N322" s="140">
        <f t="shared" si="105"/>
        <v>0.5966475</v>
      </c>
      <c r="O322" s="140">
        <f t="shared" si="105"/>
        <v>0.60977374500000003</v>
      </c>
      <c r="P322" s="140">
        <f t="shared" si="105"/>
        <v>0.62318876738999995</v>
      </c>
      <c r="Q322" s="140">
        <f t="shared" si="105"/>
        <v>0.6368989202725801</v>
      </c>
      <c r="R322" s="140">
        <f t="shared" si="105"/>
        <v>0.65091069651857669</v>
      </c>
      <c r="S322" s="140">
        <f t="shared" si="105"/>
        <v>0.66523073184198556</v>
      </c>
      <c r="T322" s="140">
        <f t="shared" si="105"/>
        <v>0.67986580794250906</v>
      </c>
      <c r="U322" s="140">
        <f t="shared" si="105"/>
        <v>0.69482285571724434</v>
      </c>
      <c r="V322" s="140">
        <f t="shared" si="105"/>
        <v>0.7101089585430238</v>
      </c>
      <c r="W322" s="140">
        <f t="shared" si="105"/>
        <v>0.72573135563097024</v>
      </c>
      <c r="X322" s="140">
        <f t="shared" si="105"/>
        <v>0.74169744545485172</v>
      </c>
      <c r="Y322" s="140">
        <f t="shared" si="105"/>
        <v>0.75801478925485843</v>
      </c>
      <c r="Z322" s="140">
        <f t="shared" si="105"/>
        <v>0.7746911146184654</v>
      </c>
      <c r="AA322" s="140">
        <f t="shared" si="105"/>
        <v>0.79173431914007153</v>
      </c>
      <c r="AB322" s="140">
        <f t="shared" si="105"/>
        <v>0.8091524741611531</v>
      </c>
      <c r="AC322" s="140">
        <f t="shared" si="105"/>
        <v>0.8269538285926985</v>
      </c>
      <c r="AD322" s="140">
        <f t="shared" si="105"/>
        <v>0.84514681282173787</v>
      </c>
      <c r="AE322" s="140">
        <f t="shared" si="105"/>
        <v>0.8637400427038161</v>
      </c>
      <c r="AF322" s="141"/>
      <c r="AG322" s="141"/>
      <c r="AH322" s="141"/>
      <c r="AI322" s="141"/>
    </row>
    <row r="323" spans="1:35" customFormat="1" ht="14.25" x14ac:dyDescent="0.45">
      <c r="B323" s="14" t="s">
        <v>2596</v>
      </c>
      <c r="C323" s="14" t="s">
        <v>115</v>
      </c>
      <c r="D323" s="15" t="s">
        <v>2672</v>
      </c>
      <c r="E323" s="16" t="s">
        <v>2068</v>
      </c>
      <c r="F323" s="14" t="s">
        <v>2655</v>
      </c>
      <c r="G323" s="17"/>
      <c r="H323" s="128" t="str">
        <f>Settings!$B$3&amp;".mit.wp.alu.prp.no.2"</f>
        <v>egy.mit.wp.alu.prp.no.2</v>
      </c>
      <c r="K323" s="139"/>
      <c r="L323" s="140">
        <f t="shared" ref="L323:AE323" si="106">L$305*EXP(-L$287*L$249)</f>
        <v>0.20862065092877519</v>
      </c>
      <c r="M323" s="140">
        <f t="shared" si="106"/>
        <v>0.22009478672985783</v>
      </c>
      <c r="N323" s="140">
        <f t="shared" si="106"/>
        <v>0.23220000000000002</v>
      </c>
      <c r="O323" s="140">
        <f t="shared" si="106"/>
        <v>0.24497099999999999</v>
      </c>
      <c r="P323" s="140">
        <f t="shared" si="106"/>
        <v>0.25844440499999999</v>
      </c>
      <c r="Q323" s="140">
        <f t="shared" si="106"/>
        <v>0.27265884727499995</v>
      </c>
      <c r="R323" s="140">
        <f t="shared" si="106"/>
        <v>0.28765508387512501</v>
      </c>
      <c r="S323" s="140">
        <f t="shared" si="106"/>
        <v>0.30347611348825682</v>
      </c>
      <c r="T323" s="140">
        <f t="shared" si="106"/>
        <v>0.32016729973011093</v>
      </c>
      <c r="U323" s="140">
        <f t="shared" si="106"/>
        <v>0.33777650121526698</v>
      </c>
      <c r="V323" s="140">
        <f t="shared" si="106"/>
        <v>0.35635420878210672</v>
      </c>
      <c r="W323" s="140">
        <f t="shared" si="106"/>
        <v>0.37595369026512254</v>
      </c>
      <c r="X323" s="140">
        <f t="shared" si="106"/>
        <v>0.39663114322970433</v>
      </c>
      <c r="Y323" s="140">
        <f t="shared" si="106"/>
        <v>0.41844585610733798</v>
      </c>
      <c r="Z323" s="140">
        <f t="shared" si="106"/>
        <v>0.44146037819324158</v>
      </c>
      <c r="AA323" s="140">
        <f t="shared" si="106"/>
        <v>0.46574069899386977</v>
      </c>
      <c r="AB323" s="140">
        <f t="shared" si="106"/>
        <v>0.49135643743853269</v>
      </c>
      <c r="AC323" s="140">
        <f t="shared" si="106"/>
        <v>0.51838104149765185</v>
      </c>
      <c r="AD323" s="140">
        <f t="shared" si="106"/>
        <v>0.5468919987800227</v>
      </c>
      <c r="AE323" s="140">
        <f t="shared" si="106"/>
        <v>0.57697105871292398</v>
      </c>
      <c r="AF323" s="141"/>
      <c r="AG323" s="141"/>
      <c r="AH323" s="141"/>
      <c r="AI323" s="141"/>
    </row>
    <row r="324" spans="1:35" x14ac:dyDescent="0.35"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  <c r="AA324" s="135"/>
      <c r="AB324" s="135"/>
      <c r="AC324" s="135"/>
      <c r="AD324" s="135"/>
      <c r="AE324" s="135"/>
      <c r="AF324" s="135"/>
      <c r="AG324" s="135"/>
      <c r="AH324" s="135"/>
      <c r="AI324" s="135"/>
    </row>
    <row r="325" spans="1:35" customFormat="1" ht="14.25" x14ac:dyDescent="0.45">
      <c r="A325" s="11"/>
      <c r="B325" s="6"/>
      <c r="C325" s="7" t="s">
        <v>2673</v>
      </c>
      <c r="D325" s="6" t="s">
        <v>1488</v>
      </c>
      <c r="E325" s="7" t="s">
        <v>35</v>
      </c>
      <c r="F325" s="7" t="s">
        <v>45</v>
      </c>
      <c r="G325" s="7" t="s">
        <v>37</v>
      </c>
      <c r="H325" s="12" t="s">
        <v>38</v>
      </c>
      <c r="I325" s="6" t="s">
        <v>39</v>
      </c>
      <c r="J325" s="48">
        <v>2</v>
      </c>
      <c r="K325" s="137">
        <v>2021</v>
      </c>
      <c r="L325" s="138">
        <v>2022</v>
      </c>
      <c r="M325" s="137">
        <v>2023</v>
      </c>
      <c r="N325" s="137">
        <v>2024</v>
      </c>
      <c r="O325" s="137">
        <v>2025</v>
      </c>
      <c r="P325" s="137">
        <v>2026</v>
      </c>
      <c r="Q325" s="137">
        <v>2027</v>
      </c>
      <c r="R325" s="137">
        <v>2028</v>
      </c>
      <c r="S325" s="137">
        <v>2029</v>
      </c>
      <c r="T325" s="137">
        <v>2030</v>
      </c>
      <c r="U325" s="137">
        <v>2031</v>
      </c>
      <c r="V325" s="137">
        <v>2032</v>
      </c>
      <c r="W325" s="137">
        <v>2033</v>
      </c>
      <c r="X325" s="137">
        <v>2034</v>
      </c>
      <c r="Y325" s="137">
        <v>2035</v>
      </c>
      <c r="Z325" s="137">
        <v>2036</v>
      </c>
      <c r="AA325" s="137">
        <v>2037</v>
      </c>
      <c r="AB325" s="137">
        <v>2038</v>
      </c>
      <c r="AC325" s="137">
        <v>2039</v>
      </c>
      <c r="AD325" s="137">
        <v>2040</v>
      </c>
      <c r="AE325" s="137">
        <v>2041</v>
      </c>
      <c r="AF325" s="137">
        <v>2042</v>
      </c>
      <c r="AG325" s="137">
        <v>2043</v>
      </c>
      <c r="AH325" s="137">
        <v>2044</v>
      </c>
      <c r="AI325" s="137">
        <v>2045</v>
      </c>
    </row>
    <row r="326" spans="1:35" customFormat="1" ht="14.25" x14ac:dyDescent="0.45">
      <c r="B326" s="14" t="s">
        <v>2674</v>
      </c>
      <c r="C326" s="14" t="s">
        <v>2675</v>
      </c>
      <c r="D326" s="15" t="s">
        <v>2676</v>
      </c>
      <c r="E326" s="16" t="s">
        <v>1854</v>
      </c>
      <c r="F326" s="14" t="s">
        <v>2674</v>
      </c>
      <c r="G326" s="17"/>
      <c r="H326" s="128" t="str">
        <f>Settings!$B$3&amp;".mit.revf0.cbam.tot.2"</f>
        <v>egy.mit.revf0.cbam.tot.2</v>
      </c>
      <c r="I326" t="s">
        <v>2677</v>
      </c>
      <c r="K326" s="139"/>
      <c r="L326" s="143">
        <f>SUMPRODUCT(L$252:L$259*Mitigation_Industry!$I$729:$I$736*L$224:L$231)</f>
        <v>0</v>
      </c>
      <c r="M326" s="143">
        <f>SUMPRODUCT(M$252:M$259*Mitigation_Industry!$I$729:$I$736*M$224:M$231)</f>
        <v>0</v>
      </c>
      <c r="N326" s="143">
        <f>SUMPRODUCT(N$252:N$259*Mitigation_Industry!$I$729:$I$736*N$224:N$231)</f>
        <v>0</v>
      </c>
      <c r="O326" s="143">
        <f>SUMPRODUCT(O$252:O$259*Mitigation_Industry!$I$729:$I$736*O$224:O$231)</f>
        <v>0</v>
      </c>
      <c r="P326" s="143">
        <f>SUMPRODUCT(P$252:P$259*Mitigation_Industry!$I$729:$I$736*P$224:P$231)</f>
        <v>0</v>
      </c>
      <c r="Q326" s="143">
        <f>SUMPRODUCT(Q$252:Q$259*Mitigation_Industry!$I$729:$I$736*Q$224:Q$231)</f>
        <v>313.18092912945133</v>
      </c>
      <c r="R326" s="143">
        <f>SUMPRODUCT(R$252:R$259*Mitigation_Industry!$I$729:$I$736*R$224:R$231)</f>
        <v>646.88764494852489</v>
      </c>
      <c r="S326" s="143">
        <f>SUMPRODUCT(S$252:S$259*Mitigation_Industry!$I$729:$I$736*S$224:S$231)</f>
        <v>1002.1648959865571</v>
      </c>
      <c r="T326" s="143">
        <f>SUMPRODUCT(T$252:T$259*Mitigation_Industry!$I$729:$I$736*T$224:T$231)</f>
        <v>1380.1062236958546</v>
      </c>
      <c r="U326" s="143">
        <f>SUMPRODUCT(U$252:U$259*Mitigation_Industry!$I$729:$I$736*U$224:U$231)</f>
        <v>1781.8561629939895</v>
      </c>
      <c r="V326" s="143">
        <f>SUMPRODUCT(V$252:V$259*Mitigation_Industry!$I$729:$I$736*V$224:V$231)</f>
        <v>2208.6125408023772</v>
      </c>
      <c r="W326" s="143">
        <f>SUMPRODUCT(W$252:W$259*Mitigation_Industry!$I$729:$I$736*W$224:W$231)</f>
        <v>2661.6288769403232</v>
      </c>
      <c r="X326" s="143">
        <f>SUMPRODUCT(X$252:X$259*Mitigation_Industry!$I$729:$I$736*X$224:X$231)</f>
        <v>3142.2168919286596</v>
      </c>
      <c r="Y326" s="143">
        <f>SUMPRODUCT(Y$252:Y$259*Mitigation_Industry!$I$729:$I$736*Y$224:Y$231)</f>
        <v>3651.7491264608011</v>
      </c>
      <c r="Z326" s="143">
        <f>SUMPRODUCT(Z$252:Z$259*Mitigation_Industry!$I$729:$I$736*Z$224:Z$231)</f>
        <v>4191.6616775120128</v>
      </c>
      <c r="AA326" s="143">
        <f>SUMPRODUCT(AA$252:AA$259*Mitigation_Industry!$I$729:$I$736*AA$224:AA$231)</f>
        <v>4763.45705628019</v>
      </c>
      <c r="AB326" s="143">
        <f>SUMPRODUCT(AB$252:AB$259*Mitigation_Industry!$I$729:$I$736*AB$224:AB$231)</f>
        <v>5368.7071733840539</v>
      </c>
      <c r="AC326" s="143">
        <f>SUMPRODUCT(AC$252:AC$259*Mitigation_Industry!$I$729:$I$736*AC$224:AC$231)</f>
        <v>6009.0564569877843</v>
      </c>
      <c r="AD326" s="143">
        <f>SUMPRODUCT(AD$252:AD$259*Mitigation_Industry!$I$729:$I$736*AD$224:AD$231)</f>
        <v>6686.2251097751796</v>
      </c>
      <c r="AE326" s="143">
        <f>SUMPRODUCT(AE$252:AE$259*Mitigation_Industry!$I$729:$I$736*AE$224:AE$231)</f>
        <v>7402.012510962054</v>
      </c>
      <c r="AF326" s="141"/>
      <c r="AG326" s="141"/>
      <c r="AH326" s="141"/>
      <c r="AI326" s="141"/>
    </row>
    <row r="327" spans="1:35" customFormat="1" ht="14.25" x14ac:dyDescent="0.45">
      <c r="B327" s="14" t="s">
        <v>2678</v>
      </c>
      <c r="C327" s="14" t="s">
        <v>2675</v>
      </c>
      <c r="D327" s="15" t="s">
        <v>2679</v>
      </c>
      <c r="E327" s="16" t="s">
        <v>1854</v>
      </c>
      <c r="F327" s="14" t="s">
        <v>2678</v>
      </c>
      <c r="G327" s="17"/>
      <c r="H327" s="128" t="str">
        <f>Settings!$B$3&amp;".mit.revp0.cbam.tot.2"</f>
        <v>egy.mit.revp0.cbam.tot.2</v>
      </c>
      <c r="I327" t="s">
        <v>2680</v>
      </c>
      <c r="K327" s="139"/>
      <c r="L327" s="143">
        <f>SUMPRODUCT(Mitigation_Industry!L$740:L$747*Mitigation_Industry!$J$729:$J$736*L$234:L$241)-SUMPRODUCT((L$290:L$305-L$308:L$323)*L$234:L$249)</f>
        <v>0</v>
      </c>
      <c r="M327" s="143">
        <f>SUMPRODUCT(Mitigation_Industry!M$740:M$747*Mitigation_Industry!$J$729:$J$736*M$234:M$241)-SUMPRODUCT((M$290:M$305-M$308:M$323)*M$234:M$249)</f>
        <v>0</v>
      </c>
      <c r="N327" s="143">
        <f>SUMPRODUCT(Mitigation_Industry!N$740:N$747*Mitigation_Industry!$J$729:$J$736*N$234:N$241)-SUMPRODUCT((N$290:N$305-N$308:N$323)*N$234:N$249)</f>
        <v>0</v>
      </c>
      <c r="O327" s="143">
        <f>SUMPRODUCT(Mitigation_Industry!O$740:O$747*Mitigation_Industry!$J$729:$J$736*O$234:O$241)-SUMPRODUCT((O$290:O$305-O$308:O$323)*O$234:O$249)</f>
        <v>0</v>
      </c>
      <c r="P327" s="143">
        <f>SUMPRODUCT(Mitigation_Industry!P$740:P$747*Mitigation_Industry!$J$729:$J$736*P$234:P$241)-SUMPRODUCT((P$290:P$305-P$308:P$323)*P$234:P$249)</f>
        <v>0</v>
      </c>
      <c r="Q327" s="143">
        <f>SUMPRODUCT(Mitigation_Industry!Q$740:Q$747*Mitigation_Industry!$J$729:$J$736*Q$234:Q$241)-SUMPRODUCT((Q$290:Q$305-Q$308:Q$323)*Q$234:Q$249)</f>
        <v>0</v>
      </c>
      <c r="R327" s="143">
        <f>SUMPRODUCT(Mitigation_Industry!R$740:R$747*Mitigation_Industry!$J$729:$J$736*R$234:R$241)-SUMPRODUCT((R$290:R$305-R$308:R$323)*R$234:R$249)</f>
        <v>0</v>
      </c>
      <c r="S327" s="143">
        <f>SUMPRODUCT(Mitigation_Industry!S$740:S$747*Mitigation_Industry!$J$729:$J$736*S$234:S$241)-SUMPRODUCT((S$290:S$305-S$308:S$323)*S$234:S$249)</f>
        <v>0</v>
      </c>
      <c r="T327" s="143">
        <f>SUMPRODUCT(Mitigation_Industry!T$740:T$747*Mitigation_Industry!$J$729:$J$736*T$234:T$241)-SUMPRODUCT((T$290:T$305-T$308:T$323)*T$234:T$249)</f>
        <v>0</v>
      </c>
      <c r="U327" s="143">
        <f>SUMPRODUCT(Mitigation_Industry!U$740:U$747*Mitigation_Industry!$J$729:$J$736*U$234:U$241)-SUMPRODUCT((U$290:U$305-U$308:U$323)*U$234:U$249)</f>
        <v>0</v>
      </c>
      <c r="V327" s="143">
        <f>SUMPRODUCT(Mitigation_Industry!V$740:V$747*Mitigation_Industry!$J$729:$J$736*V$234:V$241)-SUMPRODUCT((V$290:V$305-V$308:V$323)*V$234:V$249)</f>
        <v>0</v>
      </c>
      <c r="W327" s="143">
        <f>SUMPRODUCT(Mitigation_Industry!W$740:W$747*Mitigation_Industry!$J$729:$J$736*W$234:W$241)-SUMPRODUCT((W$290:W$305-W$308:W$323)*W$234:W$249)</f>
        <v>0</v>
      </c>
      <c r="X327" s="143">
        <f>SUMPRODUCT(Mitigation_Industry!X$740:X$747*Mitigation_Industry!$J$729:$J$736*X$234:X$241)-SUMPRODUCT((X$290:X$305-X$308:X$323)*X$234:X$249)</f>
        <v>0</v>
      </c>
      <c r="Y327" s="143">
        <f>SUMPRODUCT(Mitigation_Industry!Y$740:Y$747*Mitigation_Industry!$J$729:$J$736*Y$234:Y$241)-SUMPRODUCT((Y$290:Y$305-Y$308:Y$323)*Y$234:Y$249)</f>
        <v>0</v>
      </c>
      <c r="Z327" s="143">
        <f>SUMPRODUCT(Mitigation_Industry!Z$740:Z$747*Mitigation_Industry!$J$729:$J$736*Z$234:Z$241)-SUMPRODUCT((Z$290:Z$305-Z$308:Z$323)*Z$234:Z$249)</f>
        <v>0</v>
      </c>
      <c r="AA327" s="143">
        <f>SUMPRODUCT(Mitigation_Industry!AA$740:AA$747*Mitigation_Industry!$J$729:$J$736*AA$234:AA$241)-SUMPRODUCT((AA$290:AA$305-AA$308:AA$323)*AA$234:AA$249)</f>
        <v>0</v>
      </c>
      <c r="AB327" s="143">
        <f>SUMPRODUCT(Mitigation_Industry!AB$740:AB$747*Mitigation_Industry!$J$729:$J$736*AB$234:AB$241)-SUMPRODUCT((AB$290:AB$305-AB$308:AB$323)*AB$234:AB$249)</f>
        <v>0</v>
      </c>
      <c r="AC327" s="143">
        <f>SUMPRODUCT(Mitigation_Industry!AC$740:AC$747*Mitigation_Industry!$J$729:$J$736*AC$234:AC$241)-SUMPRODUCT((AC$290:AC$305-AC$308:AC$323)*AC$234:AC$249)</f>
        <v>0</v>
      </c>
      <c r="AD327" s="143">
        <f>SUMPRODUCT(Mitigation_Industry!AD$740:AD$747*Mitigation_Industry!$J$729:$J$736*AD$234:AD$241)-SUMPRODUCT((AD$290:AD$305-AD$308:AD$323)*AD$234:AD$249)</f>
        <v>0</v>
      </c>
      <c r="AE327" s="143">
        <f>SUMPRODUCT(Mitigation_Industry!AE$740:AE$747*Mitigation_Industry!$J$729:$J$736*AE$234:AE$241)-SUMPRODUCT((AE$290:AE$305-AE$308:AE$323)*AE$234:AE$249)</f>
        <v>0</v>
      </c>
      <c r="AF327" s="141"/>
      <c r="AG327" s="141"/>
      <c r="AH327" s="141"/>
      <c r="AI327" s="141"/>
    </row>
    <row r="328" spans="1:35" customFormat="1" ht="14.25" x14ac:dyDescent="0.45">
      <c r="B328" s="14" t="s">
        <v>2681</v>
      </c>
      <c r="C328" s="14" t="s">
        <v>2675</v>
      </c>
      <c r="D328" s="15" t="s">
        <v>2682</v>
      </c>
      <c r="E328" s="16" t="s">
        <v>1854</v>
      </c>
      <c r="F328" s="14" t="s">
        <v>2681</v>
      </c>
      <c r="G328" s="17"/>
      <c r="H328" s="128" t="str">
        <f>Settings!$B$3&amp;".mit.rev0.cbam.tot.2"</f>
        <v>egy.mit.rev0.cbam.tot.2</v>
      </c>
      <c r="I328" t="s">
        <v>2683</v>
      </c>
      <c r="K328" s="139"/>
      <c r="L328" s="143">
        <f t="shared" ref="L328:AE328" si="107">L326+L327</f>
        <v>0</v>
      </c>
      <c r="M328" s="143">
        <f t="shared" si="107"/>
        <v>0</v>
      </c>
      <c r="N328" s="143">
        <f t="shared" si="107"/>
        <v>0</v>
      </c>
      <c r="O328" s="143">
        <f t="shared" si="107"/>
        <v>0</v>
      </c>
      <c r="P328" s="143">
        <f t="shared" si="107"/>
        <v>0</v>
      </c>
      <c r="Q328" s="143">
        <f t="shared" si="107"/>
        <v>313.18092912945133</v>
      </c>
      <c r="R328" s="143">
        <f t="shared" si="107"/>
        <v>646.88764494852489</v>
      </c>
      <c r="S328" s="143">
        <f t="shared" si="107"/>
        <v>1002.1648959865571</v>
      </c>
      <c r="T328" s="143">
        <f t="shared" si="107"/>
        <v>1380.1062236958546</v>
      </c>
      <c r="U328" s="143">
        <f t="shared" si="107"/>
        <v>1781.8561629939895</v>
      </c>
      <c r="V328" s="143">
        <f t="shared" si="107"/>
        <v>2208.6125408023772</v>
      </c>
      <c r="W328" s="143">
        <f t="shared" si="107"/>
        <v>2661.6288769403232</v>
      </c>
      <c r="X328" s="143">
        <f t="shared" si="107"/>
        <v>3142.2168919286596</v>
      </c>
      <c r="Y328" s="143">
        <f t="shared" si="107"/>
        <v>3651.7491264608011</v>
      </c>
      <c r="Z328" s="143">
        <f t="shared" si="107"/>
        <v>4191.6616775120128</v>
      </c>
      <c r="AA328" s="143">
        <f t="shared" si="107"/>
        <v>4763.45705628019</v>
      </c>
      <c r="AB328" s="143">
        <f t="shared" si="107"/>
        <v>5368.7071733840539</v>
      </c>
      <c r="AC328" s="143">
        <f t="shared" si="107"/>
        <v>6009.0564569877843</v>
      </c>
      <c r="AD328" s="143">
        <f t="shared" si="107"/>
        <v>6686.2251097751796</v>
      </c>
      <c r="AE328" s="143">
        <f t="shared" si="107"/>
        <v>7402.012510962054</v>
      </c>
      <c r="AF328" s="141"/>
      <c r="AG328" s="141"/>
      <c r="AH328" s="141"/>
      <c r="AI328" s="141"/>
    </row>
    <row r="329" spans="1:35" customFormat="1" ht="14.25" x14ac:dyDescent="0.45">
      <c r="B329" s="14" t="s">
        <v>2673</v>
      </c>
      <c r="C329" s="14" t="s">
        <v>2675</v>
      </c>
      <c r="D329" s="15" t="s">
        <v>3673</v>
      </c>
      <c r="E329" s="16" t="s">
        <v>1854</v>
      </c>
      <c r="F329" s="14" t="s">
        <v>2673</v>
      </c>
      <c r="G329" s="17"/>
      <c r="H329" s="128" t="str">
        <f>Settings!$B$3&amp;".mit.fund.cbam.tot.2"</f>
        <v>egy.mit.fund.cbam.tot.2</v>
      </c>
      <c r="I329" t="s">
        <v>2866</v>
      </c>
      <c r="K329" s="139"/>
      <c r="L329" s="143">
        <f>L$218*INDEX(L$427:L$433,MATCH(Settings!$B$10,$B$427:$B$433,0))</f>
        <v>0</v>
      </c>
      <c r="M329" s="143">
        <f>M$218*INDEX(M$427:M$433,MATCH(Settings!$B$10,$B$427:$B$433,0))</f>
        <v>0</v>
      </c>
      <c r="N329" s="143">
        <f>N$218*INDEX(N$427:N$433,MATCH(Settings!$B$10,$B$427:$B$433,0))</f>
        <v>0</v>
      </c>
      <c r="O329" s="143">
        <f>O$218*INDEX(O$427:O$433,MATCH(Settings!$B$10,$B$427:$B$433,0))</f>
        <v>0</v>
      </c>
      <c r="P329" s="143">
        <f>P$218*INDEX(P$427:P$433,MATCH(Settings!$B$10,$B$427:$B$433,0))</f>
        <v>0</v>
      </c>
      <c r="Q329" s="143">
        <f>Q$218*INDEX(Q$427:Q$433,MATCH(Settings!$B$10,$B$427:$B$433,0))</f>
        <v>0</v>
      </c>
      <c r="R329" s="143">
        <f>R$218*INDEX(R$427:R$433,MATCH(Settings!$B$10,$B$427:$B$433,0))</f>
        <v>0</v>
      </c>
      <c r="S329" s="143">
        <f>S$218*INDEX(S$427:S$433,MATCH(Settings!$B$10,$B$427:$B$433,0))</f>
        <v>0</v>
      </c>
      <c r="T329" s="143">
        <f>T$218*INDEX(T$427:T$433,MATCH(Settings!$B$10,$B$427:$B$433,0))</f>
        <v>0</v>
      </c>
      <c r="U329" s="143">
        <f>U$218*INDEX(U$427:U$433,MATCH(Settings!$B$10,$B$427:$B$433,0))</f>
        <v>0</v>
      </c>
      <c r="V329" s="143">
        <f>V$218*INDEX(V$427:V$433,MATCH(Settings!$B$10,$B$427:$B$433,0))</f>
        <v>0</v>
      </c>
      <c r="W329" s="143">
        <f>W$218*INDEX(W$427:W$433,MATCH(Settings!$B$10,$B$427:$B$433,0))</f>
        <v>0</v>
      </c>
      <c r="X329" s="143">
        <f>X$218*INDEX(X$427:X$433,MATCH(Settings!$B$10,$B$427:$B$433,0))</f>
        <v>0</v>
      </c>
      <c r="Y329" s="143">
        <f>Y$218*INDEX(Y$427:Y$433,MATCH(Settings!$B$10,$B$427:$B$433,0))</f>
        <v>0</v>
      </c>
      <c r="Z329" s="143">
        <f>Z$218*INDEX(Z$427:Z$433,MATCH(Settings!$B$10,$B$427:$B$433,0))</f>
        <v>0</v>
      </c>
      <c r="AA329" s="143">
        <f>AA$218*INDEX(AA$427:AA$433,MATCH(Settings!$B$10,$B$427:$B$433,0))</f>
        <v>0</v>
      </c>
      <c r="AB329" s="143">
        <f>AB$218*INDEX(AB$427:AB$433,MATCH(Settings!$B$10,$B$427:$B$433,0))</f>
        <v>0</v>
      </c>
      <c r="AC329" s="143">
        <f>AC$218*INDEX(AC$427:AC$433,MATCH(Settings!$B$10,$B$427:$B$433,0))</f>
        <v>0</v>
      </c>
      <c r="AD329" s="143">
        <f>AD$218*INDEX(AD$427:AD$433,MATCH(Settings!$B$10,$B$427:$B$433,0))</f>
        <v>0</v>
      </c>
      <c r="AE329" s="143">
        <f>AE$218*INDEX(AE$427:AE$433,MATCH(Settings!$B$10,$B$427:$B$433,0))</f>
        <v>0</v>
      </c>
      <c r="AF329" s="141"/>
      <c r="AG329" s="141"/>
      <c r="AH329" s="141"/>
      <c r="AI329" s="141"/>
    </row>
    <row r="330" spans="1:35" customFormat="1" ht="14.25" x14ac:dyDescent="0.45">
      <c r="B330" s="14" t="s">
        <v>2686</v>
      </c>
      <c r="C330" s="14" t="s">
        <v>2675</v>
      </c>
      <c r="D330" s="15" t="s">
        <v>2687</v>
      </c>
      <c r="E330" s="16" t="s">
        <v>2068</v>
      </c>
      <c r="F330" s="14" t="s">
        <v>2686</v>
      </c>
      <c r="G330" s="17"/>
      <c r="H330" s="128" t="str">
        <f>Settings!$B$3&amp;".mit.emrp0.cbam.tot.2"</f>
        <v>egy.mit.emrp0.cbam.tot.2</v>
      </c>
      <c r="I330" t="s">
        <v>2688</v>
      </c>
      <c r="K330" s="139"/>
      <c r="L330" s="140">
        <f t="shared" ref="L330:AE330" si="108">SUM(L$308:L$323)-SUM(L$290:L$305)</f>
        <v>0</v>
      </c>
      <c r="M330" s="140">
        <f t="shared" si="108"/>
        <v>0</v>
      </c>
      <c r="N330" s="140">
        <f t="shared" si="108"/>
        <v>0</v>
      </c>
      <c r="O330" s="140">
        <f t="shared" si="108"/>
        <v>0</v>
      </c>
      <c r="P330" s="140">
        <f t="shared" si="108"/>
        <v>0</v>
      </c>
      <c r="Q330" s="140">
        <f t="shared" si="108"/>
        <v>0</v>
      </c>
      <c r="R330" s="140">
        <f t="shared" si="108"/>
        <v>0</v>
      </c>
      <c r="S330" s="140">
        <f t="shared" si="108"/>
        <v>0</v>
      </c>
      <c r="T330" s="140">
        <f t="shared" si="108"/>
        <v>0</v>
      </c>
      <c r="U330" s="140">
        <f t="shared" si="108"/>
        <v>0</v>
      </c>
      <c r="V330" s="140">
        <f t="shared" si="108"/>
        <v>0</v>
      </c>
      <c r="W330" s="140">
        <f t="shared" si="108"/>
        <v>0</v>
      </c>
      <c r="X330" s="140">
        <f t="shared" si="108"/>
        <v>0</v>
      </c>
      <c r="Y330" s="140">
        <f t="shared" si="108"/>
        <v>0</v>
      </c>
      <c r="Z330" s="140">
        <f t="shared" si="108"/>
        <v>0</v>
      </c>
      <c r="AA330" s="140">
        <f t="shared" si="108"/>
        <v>0</v>
      </c>
      <c r="AB330" s="140">
        <f t="shared" si="108"/>
        <v>0</v>
      </c>
      <c r="AC330" s="140">
        <f t="shared" si="108"/>
        <v>0</v>
      </c>
      <c r="AD330" s="140">
        <f t="shared" si="108"/>
        <v>0</v>
      </c>
      <c r="AE330" s="140">
        <f t="shared" si="108"/>
        <v>0</v>
      </c>
      <c r="AF330" s="141"/>
      <c r="AG330" s="141"/>
      <c r="AH330" s="141"/>
      <c r="AI330" s="141"/>
    </row>
    <row r="331" spans="1:35" customFormat="1" ht="14.25" x14ac:dyDescent="0.45">
      <c r="B331" s="14" t="s">
        <v>2689</v>
      </c>
      <c r="C331" s="14" t="s">
        <v>2675</v>
      </c>
      <c r="D331" s="15" t="s">
        <v>2690</v>
      </c>
      <c r="E331" s="16" t="s">
        <v>2691</v>
      </c>
      <c r="F331" s="14" t="s">
        <v>2689</v>
      </c>
      <c r="G331" s="17"/>
      <c r="H331" s="17"/>
      <c r="I331" t="s">
        <v>2692</v>
      </c>
      <c r="K331" s="139"/>
      <c r="L331" s="142">
        <f t="shared" ref="L331:AE331" si="109">SUMPRODUCT(L$252:L$259*L$262:L$269)+SUMPRODUCT(L$308:L$323*L$272:L$287)</f>
        <v>0.11343980799323071</v>
      </c>
      <c r="M331" s="142">
        <f t="shared" si="109"/>
        <v>0.11712329976149224</v>
      </c>
      <c r="N331" s="142">
        <f t="shared" si="109"/>
        <v>0.12092889969856549</v>
      </c>
      <c r="O331" s="142">
        <f t="shared" si="109"/>
        <v>0.12486074250600086</v>
      </c>
      <c r="P331" s="142">
        <f t="shared" si="109"/>
        <v>0.1289231063134835</v>
      </c>
      <c r="Q331" s="142">
        <f t="shared" si="109"/>
        <v>0.13312041780294456</v>
      </c>
      <c r="R331" s="142">
        <f t="shared" si="109"/>
        <v>0.13745725752256618</v>
      </c>
      <c r="S331" s="142">
        <f t="shared" si="109"/>
        <v>0.14193836539803825</v>
      </c>
      <c r="T331" s="142">
        <f t="shared" si="109"/>
        <v>0.14656864644872269</v>
      </c>
      <c r="U331" s="142">
        <f t="shared" si="109"/>
        <v>0.15135317671669662</v>
      </c>
      <c r="V331" s="142">
        <f t="shared" si="109"/>
        <v>0.1562972094169694</v>
      </c>
      <c r="W331" s="142">
        <f t="shared" si="109"/>
        <v>0.1614061813175115</v>
      </c>
      <c r="X331" s="142">
        <f t="shared" si="109"/>
        <v>0.16668571935808552</v>
      </c>
      <c r="Y331" s="142">
        <f t="shared" si="109"/>
        <v>0.17214164751724373</v>
      </c>
      <c r="Z331" s="142">
        <f t="shared" si="109"/>
        <v>0.17777999393723931</v>
      </c>
      <c r="AA331" s="142">
        <f t="shared" si="109"/>
        <v>0.18360699831700622</v>
      </c>
      <c r="AB331" s="142">
        <f t="shared" si="109"/>
        <v>0.18962911958377954</v>
      </c>
      <c r="AC331" s="142">
        <f t="shared" si="109"/>
        <v>0.19585304385437208</v>
      </c>
      <c r="AD331" s="142">
        <f t="shared" si="109"/>
        <v>0.20228569269757843</v>
      </c>
      <c r="AE331" s="142">
        <f t="shared" si="109"/>
        <v>0.20893423170965852</v>
      </c>
      <c r="AF331" s="141"/>
      <c r="AG331" s="141"/>
      <c r="AH331" s="141"/>
      <c r="AI331" s="141"/>
    </row>
    <row r="332" spans="1:35" customFormat="1" ht="14.25" x14ac:dyDescent="0.45">
      <c r="B332" s="14" t="s">
        <v>2693</v>
      </c>
      <c r="C332" s="14" t="s">
        <v>2675</v>
      </c>
      <c r="D332" s="15" t="s">
        <v>2694</v>
      </c>
      <c r="E332" s="16" t="s">
        <v>1398</v>
      </c>
      <c r="F332" s="14" t="s">
        <v>2693</v>
      </c>
      <c r="G332" s="17"/>
      <c r="H332" s="17"/>
      <c r="K332" s="139"/>
      <c r="L332" s="140">
        <f t="shared" ref="L332:AE332" si="110">IF(OR(L$329&lt;=0,L$331&lt;=0),0,MIN($F$5,SQRT(L$329/L$331*IF($F$4="COST",2,1))))</f>
        <v>0</v>
      </c>
      <c r="M332" s="140">
        <f t="shared" si="110"/>
        <v>0</v>
      </c>
      <c r="N332" s="140">
        <f t="shared" si="110"/>
        <v>0</v>
      </c>
      <c r="O332" s="140">
        <f t="shared" si="110"/>
        <v>0</v>
      </c>
      <c r="P332" s="140">
        <f t="shared" si="110"/>
        <v>0</v>
      </c>
      <c r="Q332" s="140">
        <f t="shared" si="110"/>
        <v>0</v>
      </c>
      <c r="R332" s="140">
        <f t="shared" si="110"/>
        <v>0</v>
      </c>
      <c r="S332" s="140">
        <f t="shared" si="110"/>
        <v>0</v>
      </c>
      <c r="T332" s="140">
        <f t="shared" si="110"/>
        <v>0</v>
      </c>
      <c r="U332" s="140">
        <f t="shared" si="110"/>
        <v>0</v>
      </c>
      <c r="V332" s="140">
        <f t="shared" si="110"/>
        <v>0</v>
      </c>
      <c r="W332" s="140">
        <f t="shared" si="110"/>
        <v>0</v>
      </c>
      <c r="X332" s="140">
        <f t="shared" si="110"/>
        <v>0</v>
      </c>
      <c r="Y332" s="140">
        <f t="shared" si="110"/>
        <v>0</v>
      </c>
      <c r="Z332" s="140">
        <f t="shared" si="110"/>
        <v>0</v>
      </c>
      <c r="AA332" s="140">
        <f t="shared" si="110"/>
        <v>0</v>
      </c>
      <c r="AB332" s="140">
        <f t="shared" si="110"/>
        <v>0</v>
      </c>
      <c r="AC332" s="140">
        <f t="shared" si="110"/>
        <v>0</v>
      </c>
      <c r="AD332" s="140">
        <f t="shared" si="110"/>
        <v>0</v>
      </c>
      <c r="AE332" s="140">
        <f t="shared" si="110"/>
        <v>0</v>
      </c>
      <c r="AF332" s="141"/>
      <c r="AG332" s="141"/>
      <c r="AH332" s="141"/>
      <c r="AI332" s="141"/>
    </row>
    <row r="333" spans="1:35" x14ac:dyDescent="0.35"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  <c r="AA333" s="135"/>
      <c r="AB333" s="135"/>
      <c r="AC333" s="135"/>
      <c r="AD333" s="135"/>
      <c r="AE333" s="135"/>
      <c r="AF333" s="135"/>
      <c r="AG333" s="135"/>
      <c r="AH333" s="135"/>
      <c r="AI333" s="135"/>
    </row>
    <row r="334" spans="1:35" customFormat="1" ht="14.25" x14ac:dyDescent="0.45">
      <c r="A334" s="11"/>
      <c r="B334" s="6"/>
      <c r="C334" s="7" t="s">
        <v>2695</v>
      </c>
      <c r="D334" s="6" t="s">
        <v>1488</v>
      </c>
      <c r="E334" s="7" t="s">
        <v>35</v>
      </c>
      <c r="F334" s="7" t="s">
        <v>45</v>
      </c>
      <c r="G334" s="7" t="s">
        <v>37</v>
      </c>
      <c r="H334" s="12" t="s">
        <v>38</v>
      </c>
      <c r="I334" s="6" t="s">
        <v>2696</v>
      </c>
      <c r="J334" s="48">
        <v>2</v>
      </c>
      <c r="K334" s="137">
        <v>2021</v>
      </c>
      <c r="L334" s="138">
        <v>2022</v>
      </c>
      <c r="M334" s="137">
        <v>2023</v>
      </c>
      <c r="N334" s="137">
        <v>2024</v>
      </c>
      <c r="O334" s="137">
        <v>2025</v>
      </c>
      <c r="P334" s="137">
        <v>2026</v>
      </c>
      <c r="Q334" s="137">
        <v>2027</v>
      </c>
      <c r="R334" s="137">
        <v>2028</v>
      </c>
      <c r="S334" s="137">
        <v>2029</v>
      </c>
      <c r="T334" s="137">
        <v>2030</v>
      </c>
      <c r="U334" s="137">
        <v>2031</v>
      </c>
      <c r="V334" s="137">
        <v>2032</v>
      </c>
      <c r="W334" s="137">
        <v>2033</v>
      </c>
      <c r="X334" s="137">
        <v>2034</v>
      </c>
      <c r="Y334" s="137">
        <v>2035</v>
      </c>
      <c r="Z334" s="137">
        <v>2036</v>
      </c>
      <c r="AA334" s="137">
        <v>2037</v>
      </c>
      <c r="AB334" s="137">
        <v>2038</v>
      </c>
      <c r="AC334" s="137">
        <v>2039</v>
      </c>
      <c r="AD334" s="137">
        <v>2040</v>
      </c>
      <c r="AE334" s="137">
        <v>2041</v>
      </c>
      <c r="AF334" s="137">
        <v>2042</v>
      </c>
      <c r="AG334" s="137">
        <v>2043</v>
      </c>
      <c r="AH334" s="137">
        <v>2044</v>
      </c>
      <c r="AI334" s="137">
        <v>2045</v>
      </c>
    </row>
    <row r="335" spans="1:35" customFormat="1" ht="14.25" x14ac:dyDescent="0.45">
      <c r="B335" s="14" t="s">
        <v>2697</v>
      </c>
      <c r="C335" s="14" t="s">
        <v>2675</v>
      </c>
      <c r="D335" s="15" t="s">
        <v>2698</v>
      </c>
      <c r="E335" s="16" t="s">
        <v>2068</v>
      </c>
      <c r="F335" s="14" t="s">
        <v>2699</v>
      </c>
      <c r="G335" s="17"/>
      <c r="H335" s="17"/>
      <c r="K335" s="139"/>
      <c r="L335" s="142">
        <f t="shared" ref="L335:AE335" si="111">SUMPRODUCT(L$252:L$259*(1-EXP(-L$262:L$269*L$332)))+SUMPRODUCT(L$308:L$323*(1-EXP(-L$272:L$287*L$332)))</f>
        <v>0</v>
      </c>
      <c r="M335" s="142">
        <f t="shared" si="111"/>
        <v>0</v>
      </c>
      <c r="N335" s="142">
        <f t="shared" si="111"/>
        <v>0</v>
      </c>
      <c r="O335" s="142">
        <f t="shared" si="111"/>
        <v>0</v>
      </c>
      <c r="P335" s="142">
        <f t="shared" si="111"/>
        <v>0</v>
      </c>
      <c r="Q335" s="142">
        <f t="shared" si="111"/>
        <v>0</v>
      </c>
      <c r="R335" s="142">
        <f t="shared" si="111"/>
        <v>0</v>
      </c>
      <c r="S335" s="142">
        <f t="shared" si="111"/>
        <v>0</v>
      </c>
      <c r="T335" s="142">
        <f t="shared" si="111"/>
        <v>0</v>
      </c>
      <c r="U335" s="142">
        <f t="shared" si="111"/>
        <v>0</v>
      </c>
      <c r="V335" s="142">
        <f t="shared" si="111"/>
        <v>0</v>
      </c>
      <c r="W335" s="142">
        <f t="shared" si="111"/>
        <v>0</v>
      </c>
      <c r="X335" s="142">
        <f t="shared" si="111"/>
        <v>0</v>
      </c>
      <c r="Y335" s="142">
        <f t="shared" si="111"/>
        <v>0</v>
      </c>
      <c r="Z335" s="142">
        <f t="shared" si="111"/>
        <v>0</v>
      </c>
      <c r="AA335" s="142">
        <f t="shared" si="111"/>
        <v>0</v>
      </c>
      <c r="AB335" s="142">
        <f t="shared" si="111"/>
        <v>0</v>
      </c>
      <c r="AC335" s="142">
        <f t="shared" si="111"/>
        <v>0</v>
      </c>
      <c r="AD335" s="142">
        <f t="shared" si="111"/>
        <v>0</v>
      </c>
      <c r="AE335" s="142">
        <f t="shared" si="111"/>
        <v>0</v>
      </c>
      <c r="AF335" s="141"/>
      <c r="AG335" s="141"/>
      <c r="AH335" s="141"/>
      <c r="AI335" s="141"/>
    </row>
    <row r="336" spans="1:35" customFormat="1" ht="14.25" x14ac:dyDescent="0.45">
      <c r="B336" s="14" t="s">
        <v>2700</v>
      </c>
      <c r="C336" s="14" t="s">
        <v>2675</v>
      </c>
      <c r="D336" s="15" t="s">
        <v>2701</v>
      </c>
      <c r="E336" s="16" t="s">
        <v>1854</v>
      </c>
      <c r="F336" s="14" t="s">
        <v>2702</v>
      </c>
      <c r="G336" s="17"/>
      <c r="H336" s="17"/>
      <c r="K336" s="139"/>
      <c r="L336" s="140">
        <f t="shared" ref="L336:AE336" si="112">IF($F$4="COST",(SUMPRODUCT(L$252:L$259*((1-EXP(-L$262:L$269*L$332))/(L$262:L$269+(L$262:L$269=0))-L$332*EXP(-L$262:L$269*L$332)*(L$262:L$269&lt;&gt;0)))+SUMPRODUCT(L$308:L$323*((1-EXP(-L$272:L$287*L$332))/(L$272:L$287+(L$272:L$287=0))-L$332*EXP(-L$272:L$287*L$332)*(L$272:L$287&lt;&gt;0)))),L$332*L$335)</f>
        <v>0</v>
      </c>
      <c r="M336" s="140">
        <f t="shared" si="112"/>
        <v>0</v>
      </c>
      <c r="N336" s="140">
        <f t="shared" si="112"/>
        <v>0</v>
      </c>
      <c r="O336" s="140">
        <f t="shared" si="112"/>
        <v>0</v>
      </c>
      <c r="P336" s="140">
        <f t="shared" si="112"/>
        <v>0</v>
      </c>
      <c r="Q336" s="140">
        <f t="shared" si="112"/>
        <v>0</v>
      </c>
      <c r="R336" s="140">
        <f t="shared" si="112"/>
        <v>0</v>
      </c>
      <c r="S336" s="140">
        <f t="shared" si="112"/>
        <v>0</v>
      </c>
      <c r="T336" s="140">
        <f t="shared" si="112"/>
        <v>0</v>
      </c>
      <c r="U336" s="140">
        <f t="shared" si="112"/>
        <v>0</v>
      </c>
      <c r="V336" s="140">
        <f t="shared" si="112"/>
        <v>0</v>
      </c>
      <c r="W336" s="140">
        <f t="shared" si="112"/>
        <v>0</v>
      </c>
      <c r="X336" s="140">
        <f t="shared" si="112"/>
        <v>0</v>
      </c>
      <c r="Y336" s="140">
        <f t="shared" si="112"/>
        <v>0</v>
      </c>
      <c r="Z336" s="140">
        <f t="shared" si="112"/>
        <v>0</v>
      </c>
      <c r="AA336" s="140">
        <f t="shared" si="112"/>
        <v>0</v>
      </c>
      <c r="AB336" s="140">
        <f t="shared" si="112"/>
        <v>0</v>
      </c>
      <c r="AC336" s="140">
        <f t="shared" si="112"/>
        <v>0</v>
      </c>
      <c r="AD336" s="140">
        <f t="shared" si="112"/>
        <v>0</v>
      </c>
      <c r="AE336" s="140">
        <f t="shared" si="112"/>
        <v>0</v>
      </c>
      <c r="AF336" s="141"/>
      <c r="AG336" s="141"/>
      <c r="AH336" s="141"/>
      <c r="AI336" s="141"/>
    </row>
    <row r="337" spans="2:35" customFormat="1" ht="14.25" x14ac:dyDescent="0.45">
      <c r="B337" s="14" t="s">
        <v>2703</v>
      </c>
      <c r="C337" s="14" t="s">
        <v>2675</v>
      </c>
      <c r="D337" s="15" t="s">
        <v>2704</v>
      </c>
      <c r="E337" s="16" t="s">
        <v>2705</v>
      </c>
      <c r="F337" s="14" t="s">
        <v>2706</v>
      </c>
      <c r="G337" s="17"/>
      <c r="H337" s="17"/>
      <c r="K337" s="139"/>
      <c r="L337" s="142">
        <f t="shared" ref="L337:AE337" si="113">IF($F$4="COST",L$332*(SUMPRODUCT(L$252:L$259*L$262:L$269*EXP(-L$262:L$269*L$332))+SUMPRODUCT(L$308:L$323*L$272:L$287*EXP(-L$272:L$287*L$332))),L$335+L$332*(SUMPRODUCT(L$252:L$259*L$262:L$269*EXP(-L$262:L$269*L$332))+SUMPRODUCT(L$308:L$323*L$272:L$287*EXP(-L$272:L$287*L$332))))</f>
        <v>0</v>
      </c>
      <c r="M337" s="142">
        <f t="shared" si="113"/>
        <v>0</v>
      </c>
      <c r="N337" s="142">
        <f t="shared" si="113"/>
        <v>0</v>
      </c>
      <c r="O337" s="142">
        <f t="shared" si="113"/>
        <v>0</v>
      </c>
      <c r="P337" s="142">
        <f t="shared" si="113"/>
        <v>0</v>
      </c>
      <c r="Q337" s="142">
        <f t="shared" si="113"/>
        <v>0</v>
      </c>
      <c r="R337" s="142">
        <f t="shared" si="113"/>
        <v>0</v>
      </c>
      <c r="S337" s="142">
        <f t="shared" si="113"/>
        <v>0</v>
      </c>
      <c r="T337" s="142">
        <f t="shared" si="113"/>
        <v>0</v>
      </c>
      <c r="U337" s="142">
        <f t="shared" si="113"/>
        <v>0</v>
      </c>
      <c r="V337" s="142">
        <f t="shared" si="113"/>
        <v>0</v>
      </c>
      <c r="W337" s="142">
        <f t="shared" si="113"/>
        <v>0</v>
      </c>
      <c r="X337" s="142">
        <f t="shared" si="113"/>
        <v>0</v>
      </c>
      <c r="Y337" s="142">
        <f t="shared" si="113"/>
        <v>0</v>
      </c>
      <c r="Z337" s="142">
        <f t="shared" si="113"/>
        <v>0</v>
      </c>
      <c r="AA337" s="142">
        <f t="shared" si="113"/>
        <v>0</v>
      </c>
      <c r="AB337" s="142">
        <f t="shared" si="113"/>
        <v>0</v>
      </c>
      <c r="AC337" s="142">
        <f t="shared" si="113"/>
        <v>0</v>
      </c>
      <c r="AD337" s="142">
        <f t="shared" si="113"/>
        <v>0</v>
      </c>
      <c r="AE337" s="142">
        <f t="shared" si="113"/>
        <v>0</v>
      </c>
      <c r="AF337" s="141"/>
      <c r="AG337" s="141"/>
      <c r="AH337" s="141"/>
      <c r="AI337" s="141"/>
    </row>
    <row r="338" spans="2:35" customFormat="1" ht="14.25" x14ac:dyDescent="0.45">
      <c r="B338" s="14" t="s">
        <v>2707</v>
      </c>
      <c r="C338" s="14" t="s">
        <v>2675</v>
      </c>
      <c r="D338" s="15" t="s">
        <v>2708</v>
      </c>
      <c r="E338" s="16" t="s">
        <v>1398</v>
      </c>
      <c r="F338" s="14" t="s">
        <v>2709</v>
      </c>
      <c r="G338" s="17"/>
      <c r="H338" s="17"/>
      <c r="K338" s="139"/>
      <c r="L338" s="140">
        <f t="shared" ref="L338:AE338" si="114">IF(L$329&lt;=0,0,IF(L$337&lt;=0,L$332,MIN($F$5,IF(L$332-(L$336-L$329)/L$337&lt;=0,L$332/2,L$332-(L$336-L$329)/L$337))))</f>
        <v>0</v>
      </c>
      <c r="M338" s="140">
        <f t="shared" si="114"/>
        <v>0</v>
      </c>
      <c r="N338" s="140">
        <f t="shared" si="114"/>
        <v>0</v>
      </c>
      <c r="O338" s="140">
        <f t="shared" si="114"/>
        <v>0</v>
      </c>
      <c r="P338" s="140">
        <f t="shared" si="114"/>
        <v>0</v>
      </c>
      <c r="Q338" s="140">
        <f t="shared" si="114"/>
        <v>0</v>
      </c>
      <c r="R338" s="140">
        <f t="shared" si="114"/>
        <v>0</v>
      </c>
      <c r="S338" s="140">
        <f t="shared" si="114"/>
        <v>0</v>
      </c>
      <c r="T338" s="140">
        <f t="shared" si="114"/>
        <v>0</v>
      </c>
      <c r="U338" s="140">
        <f t="shared" si="114"/>
        <v>0</v>
      </c>
      <c r="V338" s="140">
        <f t="shared" si="114"/>
        <v>0</v>
      </c>
      <c r="W338" s="140">
        <f t="shared" si="114"/>
        <v>0</v>
      </c>
      <c r="X338" s="140">
        <f t="shared" si="114"/>
        <v>0</v>
      </c>
      <c r="Y338" s="140">
        <f t="shared" si="114"/>
        <v>0</v>
      </c>
      <c r="Z338" s="140">
        <f t="shared" si="114"/>
        <v>0</v>
      </c>
      <c r="AA338" s="140">
        <f t="shared" si="114"/>
        <v>0</v>
      </c>
      <c r="AB338" s="140">
        <f t="shared" si="114"/>
        <v>0</v>
      </c>
      <c r="AC338" s="140">
        <f t="shared" si="114"/>
        <v>0</v>
      </c>
      <c r="AD338" s="140">
        <f t="shared" si="114"/>
        <v>0</v>
      </c>
      <c r="AE338" s="140">
        <f t="shared" si="114"/>
        <v>0</v>
      </c>
      <c r="AF338" s="141"/>
      <c r="AG338" s="141"/>
      <c r="AH338" s="141"/>
      <c r="AI338" s="141"/>
    </row>
    <row r="339" spans="2:35" customFormat="1" ht="14.25" x14ac:dyDescent="0.45">
      <c r="B339" s="14" t="s">
        <v>2710</v>
      </c>
      <c r="C339" s="14" t="s">
        <v>2675</v>
      </c>
      <c r="D339" s="15" t="s">
        <v>2711</v>
      </c>
      <c r="E339" s="16" t="s">
        <v>2068</v>
      </c>
      <c r="F339" s="14" t="s">
        <v>2699</v>
      </c>
      <c r="G339" s="17"/>
      <c r="H339" s="17"/>
      <c r="K339" s="139"/>
      <c r="L339" s="142">
        <f t="shared" ref="L339:AE339" si="115">SUMPRODUCT(L$252:L$259*(1-EXP(-L$262:L$269*L$338)))+SUMPRODUCT(L$308:L$323*(1-EXP(-L$272:L$287*L$338)))</f>
        <v>0</v>
      </c>
      <c r="M339" s="142">
        <f t="shared" si="115"/>
        <v>0</v>
      </c>
      <c r="N339" s="142">
        <f t="shared" si="115"/>
        <v>0</v>
      </c>
      <c r="O339" s="142">
        <f t="shared" si="115"/>
        <v>0</v>
      </c>
      <c r="P339" s="142">
        <f t="shared" si="115"/>
        <v>0</v>
      </c>
      <c r="Q339" s="142">
        <f t="shared" si="115"/>
        <v>0</v>
      </c>
      <c r="R339" s="142">
        <f t="shared" si="115"/>
        <v>0</v>
      </c>
      <c r="S339" s="142">
        <f t="shared" si="115"/>
        <v>0</v>
      </c>
      <c r="T339" s="142">
        <f t="shared" si="115"/>
        <v>0</v>
      </c>
      <c r="U339" s="142">
        <f t="shared" si="115"/>
        <v>0</v>
      </c>
      <c r="V339" s="142">
        <f t="shared" si="115"/>
        <v>0</v>
      </c>
      <c r="W339" s="142">
        <f t="shared" si="115"/>
        <v>0</v>
      </c>
      <c r="X339" s="142">
        <f t="shared" si="115"/>
        <v>0</v>
      </c>
      <c r="Y339" s="142">
        <f t="shared" si="115"/>
        <v>0</v>
      </c>
      <c r="Z339" s="142">
        <f t="shared" si="115"/>
        <v>0</v>
      </c>
      <c r="AA339" s="142">
        <f t="shared" si="115"/>
        <v>0</v>
      </c>
      <c r="AB339" s="142">
        <f t="shared" si="115"/>
        <v>0</v>
      </c>
      <c r="AC339" s="142">
        <f t="shared" si="115"/>
        <v>0</v>
      </c>
      <c r="AD339" s="142">
        <f t="shared" si="115"/>
        <v>0</v>
      </c>
      <c r="AE339" s="142">
        <f t="shared" si="115"/>
        <v>0</v>
      </c>
      <c r="AF339" s="141"/>
      <c r="AG339" s="141"/>
      <c r="AH339" s="141"/>
      <c r="AI339" s="141"/>
    </row>
    <row r="340" spans="2:35" customFormat="1" ht="14.25" x14ac:dyDescent="0.45">
      <c r="B340" s="14" t="s">
        <v>2712</v>
      </c>
      <c r="C340" s="14" t="s">
        <v>2675</v>
      </c>
      <c r="D340" s="15" t="s">
        <v>2713</v>
      </c>
      <c r="E340" s="16" t="s">
        <v>1854</v>
      </c>
      <c r="F340" s="14" t="s">
        <v>2702</v>
      </c>
      <c r="G340" s="17"/>
      <c r="H340" s="17"/>
      <c r="K340" s="139"/>
      <c r="L340" s="140">
        <f t="shared" ref="L340:AE340" si="116">IF($F$4="COST",(SUMPRODUCT(L$252:L$259*((1-EXP(-L$262:L$269*L$338))/(L$262:L$269+(L$262:L$269=0))-L$338*EXP(-L$262:L$269*L$338)*(L$262:L$269&lt;&gt;0)))+SUMPRODUCT(L$308:L$323*((1-EXP(-L$272:L$287*L$338))/(L$272:L$287+(L$272:L$287=0))-L$338*EXP(-L$272:L$287*L$338)*(L$272:L$287&lt;&gt;0)))),L$338*L$339)</f>
        <v>0</v>
      </c>
      <c r="M340" s="140">
        <f t="shared" si="116"/>
        <v>0</v>
      </c>
      <c r="N340" s="140">
        <f t="shared" si="116"/>
        <v>0</v>
      </c>
      <c r="O340" s="140">
        <f t="shared" si="116"/>
        <v>0</v>
      </c>
      <c r="P340" s="140">
        <f t="shared" si="116"/>
        <v>0</v>
      </c>
      <c r="Q340" s="140">
        <f t="shared" si="116"/>
        <v>0</v>
      </c>
      <c r="R340" s="140">
        <f t="shared" si="116"/>
        <v>0</v>
      </c>
      <c r="S340" s="140">
        <f t="shared" si="116"/>
        <v>0</v>
      </c>
      <c r="T340" s="140">
        <f t="shared" si="116"/>
        <v>0</v>
      </c>
      <c r="U340" s="140">
        <f t="shared" si="116"/>
        <v>0</v>
      </c>
      <c r="V340" s="140">
        <f t="shared" si="116"/>
        <v>0</v>
      </c>
      <c r="W340" s="140">
        <f t="shared" si="116"/>
        <v>0</v>
      </c>
      <c r="X340" s="140">
        <f t="shared" si="116"/>
        <v>0</v>
      </c>
      <c r="Y340" s="140">
        <f t="shared" si="116"/>
        <v>0</v>
      </c>
      <c r="Z340" s="140">
        <f t="shared" si="116"/>
        <v>0</v>
      </c>
      <c r="AA340" s="140">
        <f t="shared" si="116"/>
        <v>0</v>
      </c>
      <c r="AB340" s="140">
        <f t="shared" si="116"/>
        <v>0</v>
      </c>
      <c r="AC340" s="140">
        <f t="shared" si="116"/>
        <v>0</v>
      </c>
      <c r="AD340" s="140">
        <f t="shared" si="116"/>
        <v>0</v>
      </c>
      <c r="AE340" s="140">
        <f t="shared" si="116"/>
        <v>0</v>
      </c>
      <c r="AF340" s="141"/>
      <c r="AG340" s="141"/>
      <c r="AH340" s="141"/>
      <c r="AI340" s="141"/>
    </row>
    <row r="341" spans="2:35" customFormat="1" ht="14.25" x14ac:dyDescent="0.45">
      <c r="B341" s="14" t="s">
        <v>2714</v>
      </c>
      <c r="C341" s="14" t="s">
        <v>2675</v>
      </c>
      <c r="D341" s="15" t="s">
        <v>2715</v>
      </c>
      <c r="E341" s="16" t="s">
        <v>2705</v>
      </c>
      <c r="F341" s="14" t="s">
        <v>2706</v>
      </c>
      <c r="G341" s="17"/>
      <c r="H341" s="17"/>
      <c r="K341" s="139"/>
      <c r="L341" s="142">
        <f t="shared" ref="L341:AE341" si="117">IF($F$4="COST",L$338*(SUMPRODUCT(L$252:L$259*L$262:L$269*EXP(-L$262:L$269*L$338))+SUMPRODUCT(L$308:L$323*L$272:L$287*EXP(-L$272:L$287*L$338))),L$339+L$338*(SUMPRODUCT(L$252:L$259*L$262:L$269*EXP(-L$262:L$269*L$338))+SUMPRODUCT(L$308:L$323*L$272:L$287*EXP(-L$272:L$287*L$338))))</f>
        <v>0</v>
      </c>
      <c r="M341" s="142">
        <f t="shared" si="117"/>
        <v>0</v>
      </c>
      <c r="N341" s="142">
        <f t="shared" si="117"/>
        <v>0</v>
      </c>
      <c r="O341" s="142">
        <f t="shared" si="117"/>
        <v>0</v>
      </c>
      <c r="P341" s="142">
        <f t="shared" si="117"/>
        <v>0</v>
      </c>
      <c r="Q341" s="142">
        <f t="shared" si="117"/>
        <v>0</v>
      </c>
      <c r="R341" s="142">
        <f t="shared" si="117"/>
        <v>0</v>
      </c>
      <c r="S341" s="142">
        <f t="shared" si="117"/>
        <v>0</v>
      </c>
      <c r="T341" s="142">
        <f t="shared" si="117"/>
        <v>0</v>
      </c>
      <c r="U341" s="142">
        <f t="shared" si="117"/>
        <v>0</v>
      </c>
      <c r="V341" s="142">
        <f t="shared" si="117"/>
        <v>0</v>
      </c>
      <c r="W341" s="142">
        <f t="shared" si="117"/>
        <v>0</v>
      </c>
      <c r="X341" s="142">
        <f t="shared" si="117"/>
        <v>0</v>
      </c>
      <c r="Y341" s="142">
        <f t="shared" si="117"/>
        <v>0</v>
      </c>
      <c r="Z341" s="142">
        <f t="shared" si="117"/>
        <v>0</v>
      </c>
      <c r="AA341" s="142">
        <f t="shared" si="117"/>
        <v>0</v>
      </c>
      <c r="AB341" s="142">
        <f t="shared" si="117"/>
        <v>0</v>
      </c>
      <c r="AC341" s="142">
        <f t="shared" si="117"/>
        <v>0</v>
      </c>
      <c r="AD341" s="142">
        <f t="shared" si="117"/>
        <v>0</v>
      </c>
      <c r="AE341" s="142">
        <f t="shared" si="117"/>
        <v>0</v>
      </c>
      <c r="AF341" s="141"/>
      <c r="AG341" s="141"/>
      <c r="AH341" s="141"/>
      <c r="AI341" s="141"/>
    </row>
    <row r="342" spans="2:35" customFormat="1" ht="14.25" x14ac:dyDescent="0.45">
      <c r="B342" s="14" t="s">
        <v>2716</v>
      </c>
      <c r="C342" s="14" t="s">
        <v>2675</v>
      </c>
      <c r="D342" s="15" t="s">
        <v>2717</v>
      </c>
      <c r="E342" s="16" t="s">
        <v>1398</v>
      </c>
      <c r="F342" s="14" t="s">
        <v>2709</v>
      </c>
      <c r="G342" s="17"/>
      <c r="H342" s="17"/>
      <c r="K342" s="139"/>
      <c r="L342" s="140">
        <f t="shared" ref="L342:AE342" si="118">IF(L$329&lt;=0,0,IF(L$341&lt;=0,L$338,MIN($F$5,IF(L$338-(L$340-L$329)/L$341&lt;=0,L$338/2,L$338-(L$340-L$329)/L$341))))</f>
        <v>0</v>
      </c>
      <c r="M342" s="140">
        <f t="shared" si="118"/>
        <v>0</v>
      </c>
      <c r="N342" s="140">
        <f t="shared" si="118"/>
        <v>0</v>
      </c>
      <c r="O342" s="140">
        <f t="shared" si="118"/>
        <v>0</v>
      </c>
      <c r="P342" s="140">
        <f t="shared" si="118"/>
        <v>0</v>
      </c>
      <c r="Q342" s="140">
        <f t="shared" si="118"/>
        <v>0</v>
      </c>
      <c r="R342" s="140">
        <f t="shared" si="118"/>
        <v>0</v>
      </c>
      <c r="S342" s="140">
        <f t="shared" si="118"/>
        <v>0</v>
      </c>
      <c r="T342" s="140">
        <f t="shared" si="118"/>
        <v>0</v>
      </c>
      <c r="U342" s="140">
        <f t="shared" si="118"/>
        <v>0</v>
      </c>
      <c r="V342" s="140">
        <f t="shared" si="118"/>
        <v>0</v>
      </c>
      <c r="W342" s="140">
        <f t="shared" si="118"/>
        <v>0</v>
      </c>
      <c r="X342" s="140">
        <f t="shared" si="118"/>
        <v>0</v>
      </c>
      <c r="Y342" s="140">
        <f t="shared" si="118"/>
        <v>0</v>
      </c>
      <c r="Z342" s="140">
        <f t="shared" si="118"/>
        <v>0</v>
      </c>
      <c r="AA342" s="140">
        <f t="shared" si="118"/>
        <v>0</v>
      </c>
      <c r="AB342" s="140">
        <f t="shared" si="118"/>
        <v>0</v>
      </c>
      <c r="AC342" s="140">
        <f t="shared" si="118"/>
        <v>0</v>
      </c>
      <c r="AD342" s="140">
        <f t="shared" si="118"/>
        <v>0</v>
      </c>
      <c r="AE342" s="140">
        <f t="shared" si="118"/>
        <v>0</v>
      </c>
      <c r="AF342" s="141"/>
      <c r="AG342" s="141"/>
      <c r="AH342" s="141"/>
      <c r="AI342" s="141"/>
    </row>
    <row r="343" spans="2:35" customFormat="1" ht="14.25" x14ac:dyDescent="0.45">
      <c r="B343" s="14" t="s">
        <v>2718</v>
      </c>
      <c r="C343" s="14" t="s">
        <v>2675</v>
      </c>
      <c r="D343" s="15" t="s">
        <v>2719</v>
      </c>
      <c r="E343" s="16" t="s">
        <v>2068</v>
      </c>
      <c r="F343" s="14" t="s">
        <v>2699</v>
      </c>
      <c r="G343" s="17"/>
      <c r="H343" s="17"/>
      <c r="K343" s="139"/>
      <c r="L343" s="142">
        <f t="shared" ref="L343:AE343" si="119">SUMPRODUCT(L$252:L$259*(1-EXP(-L$262:L$269*L$342)))+SUMPRODUCT(L$308:L$323*(1-EXP(-L$272:L$287*L$342)))</f>
        <v>0</v>
      </c>
      <c r="M343" s="142">
        <f t="shared" si="119"/>
        <v>0</v>
      </c>
      <c r="N343" s="142">
        <f t="shared" si="119"/>
        <v>0</v>
      </c>
      <c r="O343" s="142">
        <f t="shared" si="119"/>
        <v>0</v>
      </c>
      <c r="P343" s="142">
        <f t="shared" si="119"/>
        <v>0</v>
      </c>
      <c r="Q343" s="142">
        <f t="shared" si="119"/>
        <v>0</v>
      </c>
      <c r="R343" s="142">
        <f t="shared" si="119"/>
        <v>0</v>
      </c>
      <c r="S343" s="142">
        <f t="shared" si="119"/>
        <v>0</v>
      </c>
      <c r="T343" s="142">
        <f t="shared" si="119"/>
        <v>0</v>
      </c>
      <c r="U343" s="142">
        <f t="shared" si="119"/>
        <v>0</v>
      </c>
      <c r="V343" s="142">
        <f t="shared" si="119"/>
        <v>0</v>
      </c>
      <c r="W343" s="142">
        <f t="shared" si="119"/>
        <v>0</v>
      </c>
      <c r="X343" s="142">
        <f t="shared" si="119"/>
        <v>0</v>
      </c>
      <c r="Y343" s="142">
        <f t="shared" si="119"/>
        <v>0</v>
      </c>
      <c r="Z343" s="142">
        <f t="shared" si="119"/>
        <v>0</v>
      </c>
      <c r="AA343" s="142">
        <f t="shared" si="119"/>
        <v>0</v>
      </c>
      <c r="AB343" s="142">
        <f t="shared" si="119"/>
        <v>0</v>
      </c>
      <c r="AC343" s="142">
        <f t="shared" si="119"/>
        <v>0</v>
      </c>
      <c r="AD343" s="142">
        <f t="shared" si="119"/>
        <v>0</v>
      </c>
      <c r="AE343" s="142">
        <f t="shared" si="119"/>
        <v>0</v>
      </c>
      <c r="AF343" s="141"/>
      <c r="AG343" s="141"/>
      <c r="AH343" s="141"/>
      <c r="AI343" s="141"/>
    </row>
    <row r="344" spans="2:35" customFormat="1" ht="14.25" x14ac:dyDescent="0.45">
      <c r="B344" s="14" t="s">
        <v>2720</v>
      </c>
      <c r="C344" s="14" t="s">
        <v>2675</v>
      </c>
      <c r="D344" s="15" t="s">
        <v>2721</v>
      </c>
      <c r="E344" s="16" t="s">
        <v>1854</v>
      </c>
      <c r="F344" s="14" t="s">
        <v>2702</v>
      </c>
      <c r="G344" s="17"/>
      <c r="H344" s="17"/>
      <c r="K344" s="139"/>
      <c r="L344" s="140">
        <f t="shared" ref="L344:AE344" si="120">IF($F$4="COST",(SUMPRODUCT(L$252:L$259*((1-EXP(-L$262:L$269*L$342))/(L$262:L$269+(L$262:L$269=0))-L$342*EXP(-L$262:L$269*L$342)*(L$262:L$269&lt;&gt;0)))+SUMPRODUCT(L$308:L$323*((1-EXP(-L$272:L$287*L$342))/(L$272:L$287+(L$272:L$287=0))-L$342*EXP(-L$272:L$287*L$342)*(L$272:L$287&lt;&gt;0)))),L$342*L$343)</f>
        <v>0</v>
      </c>
      <c r="M344" s="140">
        <f t="shared" si="120"/>
        <v>0</v>
      </c>
      <c r="N344" s="140">
        <f t="shared" si="120"/>
        <v>0</v>
      </c>
      <c r="O344" s="140">
        <f t="shared" si="120"/>
        <v>0</v>
      </c>
      <c r="P344" s="140">
        <f t="shared" si="120"/>
        <v>0</v>
      </c>
      <c r="Q344" s="140">
        <f t="shared" si="120"/>
        <v>0</v>
      </c>
      <c r="R344" s="140">
        <f t="shared" si="120"/>
        <v>0</v>
      </c>
      <c r="S344" s="140">
        <f t="shared" si="120"/>
        <v>0</v>
      </c>
      <c r="T344" s="140">
        <f t="shared" si="120"/>
        <v>0</v>
      </c>
      <c r="U344" s="140">
        <f t="shared" si="120"/>
        <v>0</v>
      </c>
      <c r="V344" s="140">
        <f t="shared" si="120"/>
        <v>0</v>
      </c>
      <c r="W344" s="140">
        <f t="shared" si="120"/>
        <v>0</v>
      </c>
      <c r="X344" s="140">
        <f t="shared" si="120"/>
        <v>0</v>
      </c>
      <c r="Y344" s="140">
        <f t="shared" si="120"/>
        <v>0</v>
      </c>
      <c r="Z344" s="140">
        <f t="shared" si="120"/>
        <v>0</v>
      </c>
      <c r="AA344" s="140">
        <f t="shared" si="120"/>
        <v>0</v>
      </c>
      <c r="AB344" s="140">
        <f t="shared" si="120"/>
        <v>0</v>
      </c>
      <c r="AC344" s="140">
        <f t="shared" si="120"/>
        <v>0</v>
      </c>
      <c r="AD344" s="140">
        <f t="shared" si="120"/>
        <v>0</v>
      </c>
      <c r="AE344" s="140">
        <f t="shared" si="120"/>
        <v>0</v>
      </c>
      <c r="AF344" s="141"/>
      <c r="AG344" s="141"/>
      <c r="AH344" s="141"/>
      <c r="AI344" s="141"/>
    </row>
    <row r="345" spans="2:35" customFormat="1" ht="14.25" x14ac:dyDescent="0.45">
      <c r="B345" s="14" t="s">
        <v>2722</v>
      </c>
      <c r="C345" s="14" t="s">
        <v>2675</v>
      </c>
      <c r="D345" s="15" t="s">
        <v>2723</v>
      </c>
      <c r="E345" s="16" t="s">
        <v>2705</v>
      </c>
      <c r="F345" s="14" t="s">
        <v>2706</v>
      </c>
      <c r="G345" s="17"/>
      <c r="H345" s="17"/>
      <c r="K345" s="139"/>
      <c r="L345" s="142">
        <f t="shared" ref="L345:AE345" si="121">IF($F$4="COST",L$342*(SUMPRODUCT(L$252:L$259*L$262:L$269*EXP(-L$262:L$269*L$342))+SUMPRODUCT(L$308:L$323*L$272:L$287*EXP(-L$272:L$287*L$342))),L$343+L$342*(SUMPRODUCT(L$252:L$259*L$262:L$269*EXP(-L$262:L$269*L$342))+SUMPRODUCT(L$308:L$323*L$272:L$287*EXP(-L$272:L$287*L$342))))</f>
        <v>0</v>
      </c>
      <c r="M345" s="142">
        <f t="shared" si="121"/>
        <v>0</v>
      </c>
      <c r="N345" s="142">
        <f t="shared" si="121"/>
        <v>0</v>
      </c>
      <c r="O345" s="142">
        <f t="shared" si="121"/>
        <v>0</v>
      </c>
      <c r="P345" s="142">
        <f t="shared" si="121"/>
        <v>0</v>
      </c>
      <c r="Q345" s="142">
        <f t="shared" si="121"/>
        <v>0</v>
      </c>
      <c r="R345" s="142">
        <f t="shared" si="121"/>
        <v>0</v>
      </c>
      <c r="S345" s="142">
        <f t="shared" si="121"/>
        <v>0</v>
      </c>
      <c r="T345" s="142">
        <f t="shared" si="121"/>
        <v>0</v>
      </c>
      <c r="U345" s="142">
        <f t="shared" si="121"/>
        <v>0</v>
      </c>
      <c r="V345" s="142">
        <f t="shared" si="121"/>
        <v>0</v>
      </c>
      <c r="W345" s="142">
        <f t="shared" si="121"/>
        <v>0</v>
      </c>
      <c r="X345" s="142">
        <f t="shared" si="121"/>
        <v>0</v>
      </c>
      <c r="Y345" s="142">
        <f t="shared" si="121"/>
        <v>0</v>
      </c>
      <c r="Z345" s="142">
        <f t="shared" si="121"/>
        <v>0</v>
      </c>
      <c r="AA345" s="142">
        <f t="shared" si="121"/>
        <v>0</v>
      </c>
      <c r="AB345" s="142">
        <f t="shared" si="121"/>
        <v>0</v>
      </c>
      <c r="AC345" s="142">
        <f t="shared" si="121"/>
        <v>0</v>
      </c>
      <c r="AD345" s="142">
        <f t="shared" si="121"/>
        <v>0</v>
      </c>
      <c r="AE345" s="142">
        <f t="shared" si="121"/>
        <v>0</v>
      </c>
      <c r="AF345" s="141"/>
      <c r="AG345" s="141"/>
      <c r="AH345" s="141"/>
      <c r="AI345" s="141"/>
    </row>
    <row r="346" spans="2:35" customFormat="1" ht="14.25" x14ac:dyDescent="0.45">
      <c r="B346" s="14" t="s">
        <v>2724</v>
      </c>
      <c r="C346" s="14" t="s">
        <v>2675</v>
      </c>
      <c r="D346" s="15" t="s">
        <v>2725</v>
      </c>
      <c r="E346" s="16" t="s">
        <v>1398</v>
      </c>
      <c r="F346" s="14" t="s">
        <v>2709</v>
      </c>
      <c r="G346" s="17"/>
      <c r="H346" s="17"/>
      <c r="K346" s="139"/>
      <c r="L346" s="140">
        <f t="shared" ref="L346:AE346" si="122">IF(L$329&lt;=0,0,IF(L$345&lt;=0,L$342,MIN($F$5,IF(L$342-(L$344-L$329)/L$345&lt;=0,L$342/2,L$342-(L$344-L$329)/L$345))))</f>
        <v>0</v>
      </c>
      <c r="M346" s="140">
        <f t="shared" si="122"/>
        <v>0</v>
      </c>
      <c r="N346" s="140">
        <f t="shared" si="122"/>
        <v>0</v>
      </c>
      <c r="O346" s="140">
        <f t="shared" si="122"/>
        <v>0</v>
      </c>
      <c r="P346" s="140">
        <f t="shared" si="122"/>
        <v>0</v>
      </c>
      <c r="Q346" s="140">
        <f t="shared" si="122"/>
        <v>0</v>
      </c>
      <c r="R346" s="140">
        <f t="shared" si="122"/>
        <v>0</v>
      </c>
      <c r="S346" s="140">
        <f t="shared" si="122"/>
        <v>0</v>
      </c>
      <c r="T346" s="140">
        <f t="shared" si="122"/>
        <v>0</v>
      </c>
      <c r="U346" s="140">
        <f t="shared" si="122"/>
        <v>0</v>
      </c>
      <c r="V346" s="140">
        <f t="shared" si="122"/>
        <v>0</v>
      </c>
      <c r="W346" s="140">
        <f t="shared" si="122"/>
        <v>0</v>
      </c>
      <c r="X346" s="140">
        <f t="shared" si="122"/>
        <v>0</v>
      </c>
      <c r="Y346" s="140">
        <f t="shared" si="122"/>
        <v>0</v>
      </c>
      <c r="Z346" s="140">
        <f t="shared" si="122"/>
        <v>0</v>
      </c>
      <c r="AA346" s="140">
        <f t="shared" si="122"/>
        <v>0</v>
      </c>
      <c r="AB346" s="140">
        <f t="shared" si="122"/>
        <v>0</v>
      </c>
      <c r="AC346" s="140">
        <f t="shared" si="122"/>
        <v>0</v>
      </c>
      <c r="AD346" s="140">
        <f t="shared" si="122"/>
        <v>0</v>
      </c>
      <c r="AE346" s="140">
        <f t="shared" si="122"/>
        <v>0</v>
      </c>
      <c r="AF346" s="141"/>
      <c r="AG346" s="141"/>
      <c r="AH346" s="141"/>
      <c r="AI346" s="141"/>
    </row>
    <row r="347" spans="2:35" customFormat="1" ht="14.25" x14ac:dyDescent="0.45">
      <c r="B347" s="14" t="s">
        <v>2726</v>
      </c>
      <c r="C347" s="14" t="s">
        <v>2675</v>
      </c>
      <c r="D347" s="15" t="s">
        <v>2727</v>
      </c>
      <c r="E347" s="16" t="s">
        <v>2068</v>
      </c>
      <c r="F347" s="14" t="s">
        <v>2699</v>
      </c>
      <c r="G347" s="17"/>
      <c r="H347" s="17"/>
      <c r="K347" s="139"/>
      <c r="L347" s="142">
        <f t="shared" ref="L347:AE347" si="123">SUMPRODUCT(L$252:L$259*(1-EXP(-L$262:L$269*L$346)))+SUMPRODUCT(L$308:L$323*(1-EXP(-L$272:L$287*L$346)))</f>
        <v>0</v>
      </c>
      <c r="M347" s="142">
        <f t="shared" si="123"/>
        <v>0</v>
      </c>
      <c r="N347" s="142">
        <f t="shared" si="123"/>
        <v>0</v>
      </c>
      <c r="O347" s="142">
        <f t="shared" si="123"/>
        <v>0</v>
      </c>
      <c r="P347" s="142">
        <f t="shared" si="123"/>
        <v>0</v>
      </c>
      <c r="Q347" s="142">
        <f t="shared" si="123"/>
        <v>0</v>
      </c>
      <c r="R347" s="142">
        <f t="shared" si="123"/>
        <v>0</v>
      </c>
      <c r="S347" s="142">
        <f t="shared" si="123"/>
        <v>0</v>
      </c>
      <c r="T347" s="142">
        <f t="shared" si="123"/>
        <v>0</v>
      </c>
      <c r="U347" s="142">
        <f t="shared" si="123"/>
        <v>0</v>
      </c>
      <c r="V347" s="142">
        <f t="shared" si="123"/>
        <v>0</v>
      </c>
      <c r="W347" s="142">
        <f t="shared" si="123"/>
        <v>0</v>
      </c>
      <c r="X347" s="142">
        <f t="shared" si="123"/>
        <v>0</v>
      </c>
      <c r="Y347" s="142">
        <f t="shared" si="123"/>
        <v>0</v>
      </c>
      <c r="Z347" s="142">
        <f t="shared" si="123"/>
        <v>0</v>
      </c>
      <c r="AA347" s="142">
        <f t="shared" si="123"/>
        <v>0</v>
      </c>
      <c r="AB347" s="142">
        <f t="shared" si="123"/>
        <v>0</v>
      </c>
      <c r="AC347" s="142">
        <f t="shared" si="123"/>
        <v>0</v>
      </c>
      <c r="AD347" s="142">
        <f t="shared" si="123"/>
        <v>0</v>
      </c>
      <c r="AE347" s="142">
        <f t="shared" si="123"/>
        <v>0</v>
      </c>
      <c r="AF347" s="141"/>
      <c r="AG347" s="141"/>
      <c r="AH347" s="141"/>
      <c r="AI347" s="141"/>
    </row>
    <row r="348" spans="2:35" customFormat="1" ht="14.25" x14ac:dyDescent="0.45">
      <c r="B348" s="14" t="s">
        <v>2728</v>
      </c>
      <c r="C348" s="14" t="s">
        <v>2675</v>
      </c>
      <c r="D348" s="15" t="s">
        <v>2729</v>
      </c>
      <c r="E348" s="16" t="s">
        <v>1854</v>
      </c>
      <c r="F348" s="14" t="s">
        <v>2702</v>
      </c>
      <c r="G348" s="17"/>
      <c r="H348" s="17"/>
      <c r="K348" s="139"/>
      <c r="L348" s="140">
        <f t="shared" ref="L348:AE348" si="124">IF($F$4="COST",(SUMPRODUCT(L$252:L$259*((1-EXP(-L$262:L$269*L$346))/(L$262:L$269+(L$262:L$269=0))-L$346*EXP(-L$262:L$269*L$346)*(L$262:L$269&lt;&gt;0)))+SUMPRODUCT(L$308:L$323*((1-EXP(-L$272:L$287*L$346))/(L$272:L$287+(L$272:L$287=0))-L$346*EXP(-L$272:L$287*L$346)*(L$272:L$287&lt;&gt;0)))),L$346*L$347)</f>
        <v>0</v>
      </c>
      <c r="M348" s="140">
        <f t="shared" si="124"/>
        <v>0</v>
      </c>
      <c r="N348" s="140">
        <f t="shared" si="124"/>
        <v>0</v>
      </c>
      <c r="O348" s="140">
        <f t="shared" si="124"/>
        <v>0</v>
      </c>
      <c r="P348" s="140">
        <f t="shared" si="124"/>
        <v>0</v>
      </c>
      <c r="Q348" s="140">
        <f t="shared" si="124"/>
        <v>0</v>
      </c>
      <c r="R348" s="140">
        <f t="shared" si="124"/>
        <v>0</v>
      </c>
      <c r="S348" s="140">
        <f t="shared" si="124"/>
        <v>0</v>
      </c>
      <c r="T348" s="140">
        <f t="shared" si="124"/>
        <v>0</v>
      </c>
      <c r="U348" s="140">
        <f t="shared" si="124"/>
        <v>0</v>
      </c>
      <c r="V348" s="140">
        <f t="shared" si="124"/>
        <v>0</v>
      </c>
      <c r="W348" s="140">
        <f t="shared" si="124"/>
        <v>0</v>
      </c>
      <c r="X348" s="140">
        <f t="shared" si="124"/>
        <v>0</v>
      </c>
      <c r="Y348" s="140">
        <f t="shared" si="124"/>
        <v>0</v>
      </c>
      <c r="Z348" s="140">
        <f t="shared" si="124"/>
        <v>0</v>
      </c>
      <c r="AA348" s="140">
        <f t="shared" si="124"/>
        <v>0</v>
      </c>
      <c r="AB348" s="140">
        <f t="shared" si="124"/>
        <v>0</v>
      </c>
      <c r="AC348" s="140">
        <f t="shared" si="124"/>
        <v>0</v>
      </c>
      <c r="AD348" s="140">
        <f t="shared" si="124"/>
        <v>0</v>
      </c>
      <c r="AE348" s="140">
        <f t="shared" si="124"/>
        <v>0</v>
      </c>
      <c r="AF348" s="141"/>
      <c r="AG348" s="141"/>
      <c r="AH348" s="141"/>
      <c r="AI348" s="141"/>
    </row>
    <row r="349" spans="2:35" customFormat="1" ht="14.25" x14ac:dyDescent="0.45">
      <c r="B349" s="14" t="s">
        <v>2730</v>
      </c>
      <c r="C349" s="14" t="s">
        <v>2675</v>
      </c>
      <c r="D349" s="15" t="s">
        <v>2731</v>
      </c>
      <c r="E349" s="16" t="s">
        <v>2705</v>
      </c>
      <c r="F349" s="14" t="s">
        <v>2706</v>
      </c>
      <c r="G349" s="17"/>
      <c r="H349" s="17"/>
      <c r="K349" s="139"/>
      <c r="L349" s="142">
        <f t="shared" ref="L349:AE349" si="125">IF($F$4="COST",L$346*(SUMPRODUCT(L$252:L$259*L$262:L$269*EXP(-L$262:L$269*L$346))+SUMPRODUCT(L$308:L$323*L$272:L$287*EXP(-L$272:L$287*L$346))),L$347+L$346*(SUMPRODUCT(L$252:L$259*L$262:L$269*EXP(-L$262:L$269*L$346))+SUMPRODUCT(L$308:L$323*L$272:L$287*EXP(-L$272:L$287*L$346))))</f>
        <v>0</v>
      </c>
      <c r="M349" s="142">
        <f t="shared" si="125"/>
        <v>0</v>
      </c>
      <c r="N349" s="142">
        <f t="shared" si="125"/>
        <v>0</v>
      </c>
      <c r="O349" s="142">
        <f t="shared" si="125"/>
        <v>0</v>
      </c>
      <c r="P349" s="142">
        <f t="shared" si="125"/>
        <v>0</v>
      </c>
      <c r="Q349" s="142">
        <f t="shared" si="125"/>
        <v>0</v>
      </c>
      <c r="R349" s="142">
        <f t="shared" si="125"/>
        <v>0</v>
      </c>
      <c r="S349" s="142">
        <f t="shared" si="125"/>
        <v>0</v>
      </c>
      <c r="T349" s="142">
        <f t="shared" si="125"/>
        <v>0</v>
      </c>
      <c r="U349" s="142">
        <f t="shared" si="125"/>
        <v>0</v>
      </c>
      <c r="V349" s="142">
        <f t="shared" si="125"/>
        <v>0</v>
      </c>
      <c r="W349" s="142">
        <f t="shared" si="125"/>
        <v>0</v>
      </c>
      <c r="X349" s="142">
        <f t="shared" si="125"/>
        <v>0</v>
      </c>
      <c r="Y349" s="142">
        <f t="shared" si="125"/>
        <v>0</v>
      </c>
      <c r="Z349" s="142">
        <f t="shared" si="125"/>
        <v>0</v>
      </c>
      <c r="AA349" s="142">
        <f t="shared" si="125"/>
        <v>0</v>
      </c>
      <c r="AB349" s="142">
        <f t="shared" si="125"/>
        <v>0</v>
      </c>
      <c r="AC349" s="142">
        <f t="shared" si="125"/>
        <v>0</v>
      </c>
      <c r="AD349" s="142">
        <f t="shared" si="125"/>
        <v>0</v>
      </c>
      <c r="AE349" s="142">
        <f t="shared" si="125"/>
        <v>0</v>
      </c>
      <c r="AF349" s="141"/>
      <c r="AG349" s="141"/>
      <c r="AH349" s="141"/>
      <c r="AI349" s="141"/>
    </row>
    <row r="350" spans="2:35" customFormat="1" ht="14.25" x14ac:dyDescent="0.45">
      <c r="B350" s="14" t="s">
        <v>2732</v>
      </c>
      <c r="C350" s="14" t="s">
        <v>2675</v>
      </c>
      <c r="D350" s="15" t="s">
        <v>2733</v>
      </c>
      <c r="E350" s="16" t="s">
        <v>1398</v>
      </c>
      <c r="F350" s="14" t="s">
        <v>2709</v>
      </c>
      <c r="G350" s="17"/>
      <c r="H350" s="17"/>
      <c r="K350" s="139"/>
      <c r="L350" s="140">
        <f t="shared" ref="L350:AE350" si="126">IF(L$329&lt;=0,0,IF(L$349&lt;=0,L$346,MIN($F$5,IF(L$346-(L$348-L$329)/L$349&lt;=0,L$346/2,L$346-(L$348-L$329)/L$349))))</f>
        <v>0</v>
      </c>
      <c r="M350" s="140">
        <f t="shared" si="126"/>
        <v>0</v>
      </c>
      <c r="N350" s="140">
        <f t="shared" si="126"/>
        <v>0</v>
      </c>
      <c r="O350" s="140">
        <f t="shared" si="126"/>
        <v>0</v>
      </c>
      <c r="P350" s="140">
        <f t="shared" si="126"/>
        <v>0</v>
      </c>
      <c r="Q350" s="140">
        <f t="shared" si="126"/>
        <v>0</v>
      </c>
      <c r="R350" s="140">
        <f t="shared" si="126"/>
        <v>0</v>
      </c>
      <c r="S350" s="140">
        <f t="shared" si="126"/>
        <v>0</v>
      </c>
      <c r="T350" s="140">
        <f t="shared" si="126"/>
        <v>0</v>
      </c>
      <c r="U350" s="140">
        <f t="shared" si="126"/>
        <v>0</v>
      </c>
      <c r="V350" s="140">
        <f t="shared" si="126"/>
        <v>0</v>
      </c>
      <c r="W350" s="140">
        <f t="shared" si="126"/>
        <v>0</v>
      </c>
      <c r="X350" s="140">
        <f t="shared" si="126"/>
        <v>0</v>
      </c>
      <c r="Y350" s="140">
        <f t="shared" si="126"/>
        <v>0</v>
      </c>
      <c r="Z350" s="140">
        <f t="shared" si="126"/>
        <v>0</v>
      </c>
      <c r="AA350" s="140">
        <f t="shared" si="126"/>
        <v>0</v>
      </c>
      <c r="AB350" s="140">
        <f t="shared" si="126"/>
        <v>0</v>
      </c>
      <c r="AC350" s="140">
        <f t="shared" si="126"/>
        <v>0</v>
      </c>
      <c r="AD350" s="140">
        <f t="shared" si="126"/>
        <v>0</v>
      </c>
      <c r="AE350" s="140">
        <f t="shared" si="126"/>
        <v>0</v>
      </c>
      <c r="AF350" s="141"/>
      <c r="AG350" s="141"/>
      <c r="AH350" s="141"/>
      <c r="AI350" s="141"/>
    </row>
    <row r="351" spans="2:35" customFormat="1" ht="14.25" x14ac:dyDescent="0.45">
      <c r="B351" s="14" t="s">
        <v>2734</v>
      </c>
      <c r="C351" s="14" t="s">
        <v>2675</v>
      </c>
      <c r="D351" s="15" t="s">
        <v>2735</v>
      </c>
      <c r="E351" s="16" t="s">
        <v>2068</v>
      </c>
      <c r="F351" s="14" t="s">
        <v>2699</v>
      </c>
      <c r="G351" s="17"/>
      <c r="H351" s="17"/>
      <c r="K351" s="139"/>
      <c r="L351" s="142">
        <f t="shared" ref="L351:AE351" si="127">SUMPRODUCT(L$252:L$259*(1-EXP(-L$262:L$269*L$350)))+SUMPRODUCT(L$308:L$323*(1-EXP(-L$272:L$287*L$350)))</f>
        <v>0</v>
      </c>
      <c r="M351" s="142">
        <f t="shared" si="127"/>
        <v>0</v>
      </c>
      <c r="N351" s="142">
        <f t="shared" si="127"/>
        <v>0</v>
      </c>
      <c r="O351" s="142">
        <f t="shared" si="127"/>
        <v>0</v>
      </c>
      <c r="P351" s="142">
        <f t="shared" si="127"/>
        <v>0</v>
      </c>
      <c r="Q351" s="142">
        <f t="shared" si="127"/>
        <v>0</v>
      </c>
      <c r="R351" s="142">
        <f t="shared" si="127"/>
        <v>0</v>
      </c>
      <c r="S351" s="142">
        <f t="shared" si="127"/>
        <v>0</v>
      </c>
      <c r="T351" s="142">
        <f t="shared" si="127"/>
        <v>0</v>
      </c>
      <c r="U351" s="142">
        <f t="shared" si="127"/>
        <v>0</v>
      </c>
      <c r="V351" s="142">
        <f t="shared" si="127"/>
        <v>0</v>
      </c>
      <c r="W351" s="142">
        <f t="shared" si="127"/>
        <v>0</v>
      </c>
      <c r="X351" s="142">
        <f t="shared" si="127"/>
        <v>0</v>
      </c>
      <c r="Y351" s="142">
        <f t="shared" si="127"/>
        <v>0</v>
      </c>
      <c r="Z351" s="142">
        <f t="shared" si="127"/>
        <v>0</v>
      </c>
      <c r="AA351" s="142">
        <f t="shared" si="127"/>
        <v>0</v>
      </c>
      <c r="AB351" s="142">
        <f t="shared" si="127"/>
        <v>0</v>
      </c>
      <c r="AC351" s="142">
        <f t="shared" si="127"/>
        <v>0</v>
      </c>
      <c r="AD351" s="142">
        <f t="shared" si="127"/>
        <v>0</v>
      </c>
      <c r="AE351" s="142">
        <f t="shared" si="127"/>
        <v>0</v>
      </c>
      <c r="AF351" s="141"/>
      <c r="AG351" s="141"/>
      <c r="AH351" s="141"/>
      <c r="AI351" s="141"/>
    </row>
    <row r="352" spans="2:35" customFormat="1" ht="14.25" x14ac:dyDescent="0.45">
      <c r="B352" s="14" t="s">
        <v>2736</v>
      </c>
      <c r="C352" s="14" t="s">
        <v>2675</v>
      </c>
      <c r="D352" s="15" t="s">
        <v>2737</v>
      </c>
      <c r="E352" s="16" t="s">
        <v>1854</v>
      </c>
      <c r="F352" s="14" t="s">
        <v>2702</v>
      </c>
      <c r="G352" s="17"/>
      <c r="H352" s="17"/>
      <c r="K352" s="139"/>
      <c r="L352" s="140">
        <f t="shared" ref="L352:AE352" si="128">IF($F$4="COST",(SUMPRODUCT(L$252:L$259*((1-EXP(-L$262:L$269*L$350))/(L$262:L$269+(L$262:L$269=0))-L$350*EXP(-L$262:L$269*L$350)*(L$262:L$269&lt;&gt;0)))+SUMPRODUCT(L$308:L$323*((1-EXP(-L$272:L$287*L$350))/(L$272:L$287+(L$272:L$287=0))-L$350*EXP(-L$272:L$287*L$350)*(L$272:L$287&lt;&gt;0)))),L$350*L$351)</f>
        <v>0</v>
      </c>
      <c r="M352" s="140">
        <f t="shared" si="128"/>
        <v>0</v>
      </c>
      <c r="N352" s="140">
        <f t="shared" si="128"/>
        <v>0</v>
      </c>
      <c r="O352" s="140">
        <f t="shared" si="128"/>
        <v>0</v>
      </c>
      <c r="P352" s="140">
        <f t="shared" si="128"/>
        <v>0</v>
      </c>
      <c r="Q352" s="140">
        <f t="shared" si="128"/>
        <v>0</v>
      </c>
      <c r="R352" s="140">
        <f t="shared" si="128"/>
        <v>0</v>
      </c>
      <c r="S352" s="140">
        <f t="shared" si="128"/>
        <v>0</v>
      </c>
      <c r="T352" s="140">
        <f t="shared" si="128"/>
        <v>0</v>
      </c>
      <c r="U352" s="140">
        <f t="shared" si="128"/>
        <v>0</v>
      </c>
      <c r="V352" s="140">
        <f t="shared" si="128"/>
        <v>0</v>
      </c>
      <c r="W352" s="140">
        <f t="shared" si="128"/>
        <v>0</v>
      </c>
      <c r="X352" s="140">
        <f t="shared" si="128"/>
        <v>0</v>
      </c>
      <c r="Y352" s="140">
        <f t="shared" si="128"/>
        <v>0</v>
      </c>
      <c r="Z352" s="140">
        <f t="shared" si="128"/>
        <v>0</v>
      </c>
      <c r="AA352" s="140">
        <f t="shared" si="128"/>
        <v>0</v>
      </c>
      <c r="AB352" s="140">
        <f t="shared" si="128"/>
        <v>0</v>
      </c>
      <c r="AC352" s="140">
        <f t="shared" si="128"/>
        <v>0</v>
      </c>
      <c r="AD352" s="140">
        <f t="shared" si="128"/>
        <v>0</v>
      </c>
      <c r="AE352" s="140">
        <f t="shared" si="128"/>
        <v>0</v>
      </c>
      <c r="AF352" s="141"/>
      <c r="AG352" s="141"/>
      <c r="AH352" s="141"/>
      <c r="AI352" s="141"/>
    </row>
    <row r="353" spans="2:35" customFormat="1" ht="14.25" x14ac:dyDescent="0.45">
      <c r="B353" s="14" t="s">
        <v>2738</v>
      </c>
      <c r="C353" s="14" t="s">
        <v>2675</v>
      </c>
      <c r="D353" s="15" t="s">
        <v>2739</v>
      </c>
      <c r="E353" s="16" t="s">
        <v>2705</v>
      </c>
      <c r="F353" s="14" t="s">
        <v>2706</v>
      </c>
      <c r="G353" s="17"/>
      <c r="H353" s="17"/>
      <c r="K353" s="139"/>
      <c r="L353" s="142">
        <f t="shared" ref="L353:AE353" si="129">IF($F$4="COST",L$350*(SUMPRODUCT(L$252:L$259*L$262:L$269*EXP(-L$262:L$269*L$350))+SUMPRODUCT(L$308:L$323*L$272:L$287*EXP(-L$272:L$287*L$350))),L$351+L$350*(SUMPRODUCT(L$252:L$259*L$262:L$269*EXP(-L$262:L$269*L$350))+SUMPRODUCT(L$308:L$323*L$272:L$287*EXP(-L$272:L$287*L$350))))</f>
        <v>0</v>
      </c>
      <c r="M353" s="142">
        <f t="shared" si="129"/>
        <v>0</v>
      </c>
      <c r="N353" s="142">
        <f t="shared" si="129"/>
        <v>0</v>
      </c>
      <c r="O353" s="142">
        <f t="shared" si="129"/>
        <v>0</v>
      </c>
      <c r="P353" s="142">
        <f t="shared" si="129"/>
        <v>0</v>
      </c>
      <c r="Q353" s="142">
        <f t="shared" si="129"/>
        <v>0</v>
      </c>
      <c r="R353" s="142">
        <f t="shared" si="129"/>
        <v>0</v>
      </c>
      <c r="S353" s="142">
        <f t="shared" si="129"/>
        <v>0</v>
      </c>
      <c r="T353" s="142">
        <f t="shared" si="129"/>
        <v>0</v>
      </c>
      <c r="U353" s="142">
        <f t="shared" si="129"/>
        <v>0</v>
      </c>
      <c r="V353" s="142">
        <f t="shared" si="129"/>
        <v>0</v>
      </c>
      <c r="W353" s="142">
        <f t="shared" si="129"/>
        <v>0</v>
      </c>
      <c r="X353" s="142">
        <f t="shared" si="129"/>
        <v>0</v>
      </c>
      <c r="Y353" s="142">
        <f t="shared" si="129"/>
        <v>0</v>
      </c>
      <c r="Z353" s="142">
        <f t="shared" si="129"/>
        <v>0</v>
      </c>
      <c r="AA353" s="142">
        <f t="shared" si="129"/>
        <v>0</v>
      </c>
      <c r="AB353" s="142">
        <f t="shared" si="129"/>
        <v>0</v>
      </c>
      <c r="AC353" s="142">
        <f t="shared" si="129"/>
        <v>0</v>
      </c>
      <c r="AD353" s="142">
        <f t="shared" si="129"/>
        <v>0</v>
      </c>
      <c r="AE353" s="142">
        <f t="shared" si="129"/>
        <v>0</v>
      </c>
      <c r="AF353" s="141"/>
      <c r="AG353" s="141"/>
      <c r="AH353" s="141"/>
      <c r="AI353" s="141"/>
    </row>
    <row r="354" spans="2:35" customFormat="1" ht="14.25" x14ac:dyDescent="0.45">
      <c r="B354" s="14" t="s">
        <v>2740</v>
      </c>
      <c r="C354" s="14" t="s">
        <v>2675</v>
      </c>
      <c r="D354" s="15" t="s">
        <v>2741</v>
      </c>
      <c r="E354" s="16" t="s">
        <v>1398</v>
      </c>
      <c r="F354" s="14" t="s">
        <v>2709</v>
      </c>
      <c r="G354" s="17"/>
      <c r="H354" s="17"/>
      <c r="K354" s="139"/>
      <c r="L354" s="140">
        <f t="shared" ref="L354:AE354" si="130">IF(L$329&lt;=0,0,IF(L$353&lt;=0,L$350,MIN($F$5,IF(L$350-(L$352-L$329)/L$353&lt;=0,L$350/2,L$350-(L$352-L$329)/L$353))))</f>
        <v>0</v>
      </c>
      <c r="M354" s="140">
        <f t="shared" si="130"/>
        <v>0</v>
      </c>
      <c r="N354" s="140">
        <f t="shared" si="130"/>
        <v>0</v>
      </c>
      <c r="O354" s="140">
        <f t="shared" si="130"/>
        <v>0</v>
      </c>
      <c r="P354" s="140">
        <f t="shared" si="130"/>
        <v>0</v>
      </c>
      <c r="Q354" s="140">
        <f t="shared" si="130"/>
        <v>0</v>
      </c>
      <c r="R354" s="140">
        <f t="shared" si="130"/>
        <v>0</v>
      </c>
      <c r="S354" s="140">
        <f t="shared" si="130"/>
        <v>0</v>
      </c>
      <c r="T354" s="140">
        <f t="shared" si="130"/>
        <v>0</v>
      </c>
      <c r="U354" s="140">
        <f t="shared" si="130"/>
        <v>0</v>
      </c>
      <c r="V354" s="140">
        <f t="shared" si="130"/>
        <v>0</v>
      </c>
      <c r="W354" s="140">
        <f t="shared" si="130"/>
        <v>0</v>
      </c>
      <c r="X354" s="140">
        <f t="shared" si="130"/>
        <v>0</v>
      </c>
      <c r="Y354" s="140">
        <f t="shared" si="130"/>
        <v>0</v>
      </c>
      <c r="Z354" s="140">
        <f t="shared" si="130"/>
        <v>0</v>
      </c>
      <c r="AA354" s="140">
        <f t="shared" si="130"/>
        <v>0</v>
      </c>
      <c r="AB354" s="140">
        <f t="shared" si="130"/>
        <v>0</v>
      </c>
      <c r="AC354" s="140">
        <f t="shared" si="130"/>
        <v>0</v>
      </c>
      <c r="AD354" s="140">
        <f t="shared" si="130"/>
        <v>0</v>
      </c>
      <c r="AE354" s="140">
        <f t="shared" si="130"/>
        <v>0</v>
      </c>
      <c r="AF354" s="141"/>
      <c r="AG354" s="141"/>
      <c r="AH354" s="141"/>
      <c r="AI354" s="141"/>
    </row>
    <row r="355" spans="2:35" customFormat="1" ht="14.25" x14ac:dyDescent="0.45">
      <c r="B355" s="14" t="s">
        <v>2742</v>
      </c>
      <c r="C355" s="14" t="s">
        <v>2675</v>
      </c>
      <c r="D355" s="15" t="s">
        <v>2743</v>
      </c>
      <c r="E355" s="16" t="s">
        <v>2068</v>
      </c>
      <c r="F355" s="14" t="s">
        <v>2699</v>
      </c>
      <c r="G355" s="17"/>
      <c r="H355" s="17"/>
      <c r="K355" s="139"/>
      <c r="L355" s="142">
        <f t="shared" ref="L355:AE355" si="131">SUMPRODUCT(L$252:L$259*(1-EXP(-L$262:L$269*L$354)))+SUMPRODUCT(L$308:L$323*(1-EXP(-L$272:L$287*L$354)))</f>
        <v>0</v>
      </c>
      <c r="M355" s="142">
        <f t="shared" si="131"/>
        <v>0</v>
      </c>
      <c r="N355" s="142">
        <f t="shared" si="131"/>
        <v>0</v>
      </c>
      <c r="O355" s="142">
        <f t="shared" si="131"/>
        <v>0</v>
      </c>
      <c r="P355" s="142">
        <f t="shared" si="131"/>
        <v>0</v>
      </c>
      <c r="Q355" s="142">
        <f t="shared" si="131"/>
        <v>0</v>
      </c>
      <c r="R355" s="142">
        <f t="shared" si="131"/>
        <v>0</v>
      </c>
      <c r="S355" s="142">
        <f t="shared" si="131"/>
        <v>0</v>
      </c>
      <c r="T355" s="142">
        <f t="shared" si="131"/>
        <v>0</v>
      </c>
      <c r="U355" s="142">
        <f t="shared" si="131"/>
        <v>0</v>
      </c>
      <c r="V355" s="142">
        <f t="shared" si="131"/>
        <v>0</v>
      </c>
      <c r="W355" s="142">
        <f t="shared" si="131"/>
        <v>0</v>
      </c>
      <c r="X355" s="142">
        <f t="shared" si="131"/>
        <v>0</v>
      </c>
      <c r="Y355" s="142">
        <f t="shared" si="131"/>
        <v>0</v>
      </c>
      <c r="Z355" s="142">
        <f t="shared" si="131"/>
        <v>0</v>
      </c>
      <c r="AA355" s="142">
        <f t="shared" si="131"/>
        <v>0</v>
      </c>
      <c r="AB355" s="142">
        <f t="shared" si="131"/>
        <v>0</v>
      </c>
      <c r="AC355" s="142">
        <f t="shared" si="131"/>
        <v>0</v>
      </c>
      <c r="AD355" s="142">
        <f t="shared" si="131"/>
        <v>0</v>
      </c>
      <c r="AE355" s="142">
        <f t="shared" si="131"/>
        <v>0</v>
      </c>
      <c r="AF355" s="141"/>
      <c r="AG355" s="141"/>
      <c r="AH355" s="141"/>
      <c r="AI355" s="141"/>
    </row>
    <row r="356" spans="2:35" customFormat="1" ht="14.25" x14ac:dyDescent="0.45">
      <c r="B356" s="14" t="s">
        <v>2744</v>
      </c>
      <c r="C356" s="14" t="s">
        <v>2675</v>
      </c>
      <c r="D356" s="15" t="s">
        <v>2745</v>
      </c>
      <c r="E356" s="16" t="s">
        <v>1854</v>
      </c>
      <c r="F356" s="14" t="s">
        <v>2702</v>
      </c>
      <c r="G356" s="17"/>
      <c r="H356" s="17"/>
      <c r="K356" s="139"/>
      <c r="L356" s="140">
        <f t="shared" ref="L356:AE356" si="132">IF($F$4="COST",(SUMPRODUCT(L$252:L$259*((1-EXP(-L$262:L$269*L$354))/(L$262:L$269+(L$262:L$269=0))-L$354*EXP(-L$262:L$269*L$354)*(L$262:L$269&lt;&gt;0)))+SUMPRODUCT(L$308:L$323*((1-EXP(-L$272:L$287*L$354))/(L$272:L$287+(L$272:L$287=0))-L$354*EXP(-L$272:L$287*L$354)*(L$272:L$287&lt;&gt;0)))),L$354*L$355)</f>
        <v>0</v>
      </c>
      <c r="M356" s="140">
        <f t="shared" si="132"/>
        <v>0</v>
      </c>
      <c r="N356" s="140">
        <f t="shared" si="132"/>
        <v>0</v>
      </c>
      <c r="O356" s="140">
        <f t="shared" si="132"/>
        <v>0</v>
      </c>
      <c r="P356" s="140">
        <f t="shared" si="132"/>
        <v>0</v>
      </c>
      <c r="Q356" s="140">
        <f t="shared" si="132"/>
        <v>0</v>
      </c>
      <c r="R356" s="140">
        <f t="shared" si="132"/>
        <v>0</v>
      </c>
      <c r="S356" s="140">
        <f t="shared" si="132"/>
        <v>0</v>
      </c>
      <c r="T356" s="140">
        <f t="shared" si="132"/>
        <v>0</v>
      </c>
      <c r="U356" s="140">
        <f t="shared" si="132"/>
        <v>0</v>
      </c>
      <c r="V356" s="140">
        <f t="shared" si="132"/>
        <v>0</v>
      </c>
      <c r="W356" s="140">
        <f t="shared" si="132"/>
        <v>0</v>
      </c>
      <c r="X356" s="140">
        <f t="shared" si="132"/>
        <v>0</v>
      </c>
      <c r="Y356" s="140">
        <f t="shared" si="132"/>
        <v>0</v>
      </c>
      <c r="Z356" s="140">
        <f t="shared" si="132"/>
        <v>0</v>
      </c>
      <c r="AA356" s="140">
        <f t="shared" si="132"/>
        <v>0</v>
      </c>
      <c r="AB356" s="140">
        <f t="shared" si="132"/>
        <v>0</v>
      </c>
      <c r="AC356" s="140">
        <f t="shared" si="132"/>
        <v>0</v>
      </c>
      <c r="AD356" s="140">
        <f t="shared" si="132"/>
        <v>0</v>
      </c>
      <c r="AE356" s="140">
        <f t="shared" si="132"/>
        <v>0</v>
      </c>
      <c r="AF356" s="141"/>
      <c r="AG356" s="141"/>
      <c r="AH356" s="141"/>
      <c r="AI356" s="141"/>
    </row>
    <row r="357" spans="2:35" customFormat="1" ht="14.25" x14ac:dyDescent="0.45">
      <c r="B357" s="14" t="s">
        <v>2746</v>
      </c>
      <c r="C357" s="14" t="s">
        <v>2675</v>
      </c>
      <c r="D357" s="15" t="s">
        <v>2747</v>
      </c>
      <c r="E357" s="16" t="s">
        <v>2705</v>
      </c>
      <c r="F357" s="14" t="s">
        <v>2706</v>
      </c>
      <c r="G357" s="17"/>
      <c r="H357" s="17"/>
      <c r="K357" s="139"/>
      <c r="L357" s="142">
        <f t="shared" ref="L357:AE357" si="133">IF($F$4="COST",L$354*(SUMPRODUCT(L$252:L$259*L$262:L$269*EXP(-L$262:L$269*L$354))+SUMPRODUCT(L$308:L$323*L$272:L$287*EXP(-L$272:L$287*L$354))),L$355+L$354*(SUMPRODUCT(L$252:L$259*L$262:L$269*EXP(-L$262:L$269*L$354))+SUMPRODUCT(L$308:L$323*L$272:L$287*EXP(-L$272:L$287*L$354))))</f>
        <v>0</v>
      </c>
      <c r="M357" s="142">
        <f t="shared" si="133"/>
        <v>0</v>
      </c>
      <c r="N357" s="142">
        <f t="shared" si="133"/>
        <v>0</v>
      </c>
      <c r="O357" s="142">
        <f t="shared" si="133"/>
        <v>0</v>
      </c>
      <c r="P357" s="142">
        <f t="shared" si="133"/>
        <v>0</v>
      </c>
      <c r="Q357" s="142">
        <f t="shared" si="133"/>
        <v>0</v>
      </c>
      <c r="R357" s="142">
        <f t="shared" si="133"/>
        <v>0</v>
      </c>
      <c r="S357" s="142">
        <f t="shared" si="133"/>
        <v>0</v>
      </c>
      <c r="T357" s="142">
        <f t="shared" si="133"/>
        <v>0</v>
      </c>
      <c r="U357" s="142">
        <f t="shared" si="133"/>
        <v>0</v>
      </c>
      <c r="V357" s="142">
        <f t="shared" si="133"/>
        <v>0</v>
      </c>
      <c r="W357" s="142">
        <f t="shared" si="133"/>
        <v>0</v>
      </c>
      <c r="X357" s="142">
        <f t="shared" si="133"/>
        <v>0</v>
      </c>
      <c r="Y357" s="142">
        <f t="shared" si="133"/>
        <v>0</v>
      </c>
      <c r="Z357" s="142">
        <f t="shared" si="133"/>
        <v>0</v>
      </c>
      <c r="AA357" s="142">
        <f t="shared" si="133"/>
        <v>0</v>
      </c>
      <c r="AB357" s="142">
        <f t="shared" si="133"/>
        <v>0</v>
      </c>
      <c r="AC357" s="142">
        <f t="shared" si="133"/>
        <v>0</v>
      </c>
      <c r="AD357" s="142">
        <f t="shared" si="133"/>
        <v>0</v>
      </c>
      <c r="AE357" s="142">
        <f t="shared" si="133"/>
        <v>0</v>
      </c>
      <c r="AF357" s="141"/>
      <c r="AG357" s="141"/>
      <c r="AH357" s="141"/>
      <c r="AI357" s="141"/>
    </row>
    <row r="358" spans="2:35" customFormat="1" ht="14.25" x14ac:dyDescent="0.45">
      <c r="B358" s="14" t="s">
        <v>2748</v>
      </c>
      <c r="C358" s="14" t="s">
        <v>2675</v>
      </c>
      <c r="D358" s="15" t="s">
        <v>2749</v>
      </c>
      <c r="E358" s="16" t="s">
        <v>1398</v>
      </c>
      <c r="F358" s="14" t="s">
        <v>2709</v>
      </c>
      <c r="G358" s="17"/>
      <c r="H358" s="17"/>
      <c r="K358" s="139"/>
      <c r="L358" s="140">
        <f t="shared" ref="L358:AE358" si="134">IF(L$329&lt;=0,0,IF(L$357&lt;=0,L$354,MIN($F$5,IF(L$354-(L$356-L$329)/L$357&lt;=0,L$354/2,L$354-(L$356-L$329)/L$357))))</f>
        <v>0</v>
      </c>
      <c r="M358" s="140">
        <f t="shared" si="134"/>
        <v>0</v>
      </c>
      <c r="N358" s="140">
        <f t="shared" si="134"/>
        <v>0</v>
      </c>
      <c r="O358" s="140">
        <f t="shared" si="134"/>
        <v>0</v>
      </c>
      <c r="P358" s="140">
        <f t="shared" si="134"/>
        <v>0</v>
      </c>
      <c r="Q358" s="140">
        <f t="shared" si="134"/>
        <v>0</v>
      </c>
      <c r="R358" s="140">
        <f t="shared" si="134"/>
        <v>0</v>
      </c>
      <c r="S358" s="140">
        <f t="shared" si="134"/>
        <v>0</v>
      </c>
      <c r="T358" s="140">
        <f t="shared" si="134"/>
        <v>0</v>
      </c>
      <c r="U358" s="140">
        <f t="shared" si="134"/>
        <v>0</v>
      </c>
      <c r="V358" s="140">
        <f t="shared" si="134"/>
        <v>0</v>
      </c>
      <c r="W358" s="140">
        <f t="shared" si="134"/>
        <v>0</v>
      </c>
      <c r="X358" s="140">
        <f t="shared" si="134"/>
        <v>0</v>
      </c>
      <c r="Y358" s="140">
        <f t="shared" si="134"/>
        <v>0</v>
      </c>
      <c r="Z358" s="140">
        <f t="shared" si="134"/>
        <v>0</v>
      </c>
      <c r="AA358" s="140">
        <f t="shared" si="134"/>
        <v>0</v>
      </c>
      <c r="AB358" s="140">
        <f t="shared" si="134"/>
        <v>0</v>
      </c>
      <c r="AC358" s="140">
        <f t="shared" si="134"/>
        <v>0</v>
      </c>
      <c r="AD358" s="140">
        <f t="shared" si="134"/>
        <v>0</v>
      </c>
      <c r="AE358" s="140">
        <f t="shared" si="134"/>
        <v>0</v>
      </c>
      <c r="AF358" s="141"/>
      <c r="AG358" s="141"/>
      <c r="AH358" s="141"/>
      <c r="AI358" s="141"/>
    </row>
    <row r="359" spans="2:35" customFormat="1" ht="14.25" x14ac:dyDescent="0.45">
      <c r="B359" s="14" t="s">
        <v>2750</v>
      </c>
      <c r="C359" s="14" t="s">
        <v>2675</v>
      </c>
      <c r="D359" s="15" t="s">
        <v>2751</v>
      </c>
      <c r="E359" s="16" t="s">
        <v>2068</v>
      </c>
      <c r="F359" s="14" t="s">
        <v>2699</v>
      </c>
      <c r="G359" s="17"/>
      <c r="H359" s="17"/>
      <c r="K359" s="139"/>
      <c r="L359" s="142">
        <f t="shared" ref="L359:AE359" si="135">SUMPRODUCT(L$252:L$259*(1-EXP(-L$262:L$269*L$358)))+SUMPRODUCT(L$308:L$323*(1-EXP(-L$272:L$287*L$358)))</f>
        <v>0</v>
      </c>
      <c r="M359" s="142">
        <f t="shared" si="135"/>
        <v>0</v>
      </c>
      <c r="N359" s="142">
        <f t="shared" si="135"/>
        <v>0</v>
      </c>
      <c r="O359" s="142">
        <f t="shared" si="135"/>
        <v>0</v>
      </c>
      <c r="P359" s="142">
        <f t="shared" si="135"/>
        <v>0</v>
      </c>
      <c r="Q359" s="142">
        <f t="shared" si="135"/>
        <v>0</v>
      </c>
      <c r="R359" s="142">
        <f t="shared" si="135"/>
        <v>0</v>
      </c>
      <c r="S359" s="142">
        <f t="shared" si="135"/>
        <v>0</v>
      </c>
      <c r="T359" s="142">
        <f t="shared" si="135"/>
        <v>0</v>
      </c>
      <c r="U359" s="142">
        <f t="shared" si="135"/>
        <v>0</v>
      </c>
      <c r="V359" s="142">
        <f t="shared" si="135"/>
        <v>0</v>
      </c>
      <c r="W359" s="142">
        <f t="shared" si="135"/>
        <v>0</v>
      </c>
      <c r="X359" s="142">
        <f t="shared" si="135"/>
        <v>0</v>
      </c>
      <c r="Y359" s="142">
        <f t="shared" si="135"/>
        <v>0</v>
      </c>
      <c r="Z359" s="142">
        <f t="shared" si="135"/>
        <v>0</v>
      </c>
      <c r="AA359" s="142">
        <f t="shared" si="135"/>
        <v>0</v>
      </c>
      <c r="AB359" s="142">
        <f t="shared" si="135"/>
        <v>0</v>
      </c>
      <c r="AC359" s="142">
        <f t="shared" si="135"/>
        <v>0</v>
      </c>
      <c r="AD359" s="142">
        <f t="shared" si="135"/>
        <v>0</v>
      </c>
      <c r="AE359" s="142">
        <f t="shared" si="135"/>
        <v>0</v>
      </c>
      <c r="AF359" s="141"/>
      <c r="AG359" s="141"/>
      <c r="AH359" s="141"/>
      <c r="AI359" s="141"/>
    </row>
    <row r="360" spans="2:35" customFormat="1" ht="14.25" x14ac:dyDescent="0.45">
      <c r="B360" s="14" t="s">
        <v>2752</v>
      </c>
      <c r="C360" s="14" t="s">
        <v>2675</v>
      </c>
      <c r="D360" s="15" t="s">
        <v>2753</v>
      </c>
      <c r="E360" s="16" t="s">
        <v>1854</v>
      </c>
      <c r="F360" s="14" t="s">
        <v>2702</v>
      </c>
      <c r="G360" s="17"/>
      <c r="H360" s="17"/>
      <c r="K360" s="139"/>
      <c r="L360" s="140">
        <f t="shared" ref="L360:AE360" si="136">IF($F$4="COST",(SUMPRODUCT(L$252:L$259*((1-EXP(-L$262:L$269*L$358))/(L$262:L$269+(L$262:L$269=0))-L$358*EXP(-L$262:L$269*L$358)*(L$262:L$269&lt;&gt;0)))+SUMPRODUCT(L$308:L$323*((1-EXP(-L$272:L$287*L$358))/(L$272:L$287+(L$272:L$287=0))-L$358*EXP(-L$272:L$287*L$358)*(L$272:L$287&lt;&gt;0)))),L$358*L$359)</f>
        <v>0</v>
      </c>
      <c r="M360" s="140">
        <f t="shared" si="136"/>
        <v>0</v>
      </c>
      <c r="N360" s="140">
        <f t="shared" si="136"/>
        <v>0</v>
      </c>
      <c r="O360" s="140">
        <f t="shared" si="136"/>
        <v>0</v>
      </c>
      <c r="P360" s="140">
        <f t="shared" si="136"/>
        <v>0</v>
      </c>
      <c r="Q360" s="140">
        <f t="shared" si="136"/>
        <v>0</v>
      </c>
      <c r="R360" s="140">
        <f t="shared" si="136"/>
        <v>0</v>
      </c>
      <c r="S360" s="140">
        <f t="shared" si="136"/>
        <v>0</v>
      </c>
      <c r="T360" s="140">
        <f t="shared" si="136"/>
        <v>0</v>
      </c>
      <c r="U360" s="140">
        <f t="shared" si="136"/>
        <v>0</v>
      </c>
      <c r="V360" s="140">
        <f t="shared" si="136"/>
        <v>0</v>
      </c>
      <c r="W360" s="140">
        <f t="shared" si="136"/>
        <v>0</v>
      </c>
      <c r="X360" s="140">
        <f t="shared" si="136"/>
        <v>0</v>
      </c>
      <c r="Y360" s="140">
        <f t="shared" si="136"/>
        <v>0</v>
      </c>
      <c r="Z360" s="140">
        <f t="shared" si="136"/>
        <v>0</v>
      </c>
      <c r="AA360" s="140">
        <f t="shared" si="136"/>
        <v>0</v>
      </c>
      <c r="AB360" s="140">
        <f t="shared" si="136"/>
        <v>0</v>
      </c>
      <c r="AC360" s="140">
        <f t="shared" si="136"/>
        <v>0</v>
      </c>
      <c r="AD360" s="140">
        <f t="shared" si="136"/>
        <v>0</v>
      </c>
      <c r="AE360" s="140">
        <f t="shared" si="136"/>
        <v>0</v>
      </c>
      <c r="AF360" s="141"/>
      <c r="AG360" s="141"/>
      <c r="AH360" s="141"/>
      <c r="AI360" s="141"/>
    </row>
    <row r="361" spans="2:35" customFormat="1" ht="14.25" x14ac:dyDescent="0.45">
      <c r="B361" s="14" t="s">
        <v>2754</v>
      </c>
      <c r="C361" s="14" t="s">
        <v>2675</v>
      </c>
      <c r="D361" s="15" t="s">
        <v>2755</v>
      </c>
      <c r="E361" s="16" t="s">
        <v>2705</v>
      </c>
      <c r="F361" s="14" t="s">
        <v>2706</v>
      </c>
      <c r="G361" s="17"/>
      <c r="H361" s="17"/>
      <c r="K361" s="139"/>
      <c r="L361" s="142">
        <f t="shared" ref="L361:AE361" si="137">IF($F$4="COST",L$358*(SUMPRODUCT(L$252:L$259*L$262:L$269*EXP(-L$262:L$269*L$358))+SUMPRODUCT(L$308:L$323*L$272:L$287*EXP(-L$272:L$287*L$358))),L$359+L$358*(SUMPRODUCT(L$252:L$259*L$262:L$269*EXP(-L$262:L$269*L$358))+SUMPRODUCT(L$308:L$323*L$272:L$287*EXP(-L$272:L$287*L$358))))</f>
        <v>0</v>
      </c>
      <c r="M361" s="142">
        <f t="shared" si="137"/>
        <v>0</v>
      </c>
      <c r="N361" s="142">
        <f t="shared" si="137"/>
        <v>0</v>
      </c>
      <c r="O361" s="142">
        <f t="shared" si="137"/>
        <v>0</v>
      </c>
      <c r="P361" s="142">
        <f t="shared" si="137"/>
        <v>0</v>
      </c>
      <c r="Q361" s="142">
        <f t="shared" si="137"/>
        <v>0</v>
      </c>
      <c r="R361" s="142">
        <f t="shared" si="137"/>
        <v>0</v>
      </c>
      <c r="S361" s="142">
        <f t="shared" si="137"/>
        <v>0</v>
      </c>
      <c r="T361" s="142">
        <f t="shared" si="137"/>
        <v>0</v>
      </c>
      <c r="U361" s="142">
        <f t="shared" si="137"/>
        <v>0</v>
      </c>
      <c r="V361" s="142">
        <f t="shared" si="137"/>
        <v>0</v>
      </c>
      <c r="W361" s="142">
        <f t="shared" si="137"/>
        <v>0</v>
      </c>
      <c r="X361" s="142">
        <f t="shared" si="137"/>
        <v>0</v>
      </c>
      <c r="Y361" s="142">
        <f t="shared" si="137"/>
        <v>0</v>
      </c>
      <c r="Z361" s="142">
        <f t="shared" si="137"/>
        <v>0</v>
      </c>
      <c r="AA361" s="142">
        <f t="shared" si="137"/>
        <v>0</v>
      </c>
      <c r="AB361" s="142">
        <f t="shared" si="137"/>
        <v>0</v>
      </c>
      <c r="AC361" s="142">
        <f t="shared" si="137"/>
        <v>0</v>
      </c>
      <c r="AD361" s="142">
        <f t="shared" si="137"/>
        <v>0</v>
      </c>
      <c r="AE361" s="142">
        <f t="shared" si="137"/>
        <v>0</v>
      </c>
      <c r="AF361" s="141"/>
      <c r="AG361" s="141"/>
      <c r="AH361" s="141"/>
      <c r="AI361" s="141"/>
    </row>
    <row r="362" spans="2:35" customFormat="1" ht="14.25" x14ac:dyDescent="0.45">
      <c r="B362" s="14" t="s">
        <v>2756</v>
      </c>
      <c r="C362" s="14" t="s">
        <v>2675</v>
      </c>
      <c r="D362" s="15" t="s">
        <v>2757</v>
      </c>
      <c r="E362" s="16" t="s">
        <v>1398</v>
      </c>
      <c r="F362" s="14" t="s">
        <v>2709</v>
      </c>
      <c r="G362" s="17"/>
      <c r="H362" s="17"/>
      <c r="K362" s="139"/>
      <c r="L362" s="140">
        <f t="shared" ref="L362:AE362" si="138">IF(L$329&lt;=0,0,IF(L$361&lt;=0,L$358,MIN($F$5,IF(L$358-(L$360-L$329)/L$361&lt;=0,L$358/2,L$358-(L$360-L$329)/L$361))))</f>
        <v>0</v>
      </c>
      <c r="M362" s="140">
        <f t="shared" si="138"/>
        <v>0</v>
      </c>
      <c r="N362" s="140">
        <f t="shared" si="138"/>
        <v>0</v>
      </c>
      <c r="O362" s="140">
        <f t="shared" si="138"/>
        <v>0</v>
      </c>
      <c r="P362" s="140">
        <f t="shared" si="138"/>
        <v>0</v>
      </c>
      <c r="Q362" s="140">
        <f t="shared" si="138"/>
        <v>0</v>
      </c>
      <c r="R362" s="140">
        <f t="shared" si="138"/>
        <v>0</v>
      </c>
      <c r="S362" s="140">
        <f t="shared" si="138"/>
        <v>0</v>
      </c>
      <c r="T362" s="140">
        <f t="shared" si="138"/>
        <v>0</v>
      </c>
      <c r="U362" s="140">
        <f t="shared" si="138"/>
        <v>0</v>
      </c>
      <c r="V362" s="140">
        <f t="shared" si="138"/>
        <v>0</v>
      </c>
      <c r="W362" s="140">
        <f t="shared" si="138"/>
        <v>0</v>
      </c>
      <c r="X362" s="140">
        <f t="shared" si="138"/>
        <v>0</v>
      </c>
      <c r="Y362" s="140">
        <f t="shared" si="138"/>
        <v>0</v>
      </c>
      <c r="Z362" s="140">
        <f t="shared" si="138"/>
        <v>0</v>
      </c>
      <c r="AA362" s="140">
        <f t="shared" si="138"/>
        <v>0</v>
      </c>
      <c r="AB362" s="140">
        <f t="shared" si="138"/>
        <v>0</v>
      </c>
      <c r="AC362" s="140">
        <f t="shared" si="138"/>
        <v>0</v>
      </c>
      <c r="AD362" s="140">
        <f t="shared" si="138"/>
        <v>0</v>
      </c>
      <c r="AE362" s="140">
        <f t="shared" si="138"/>
        <v>0</v>
      </c>
      <c r="AF362" s="141"/>
      <c r="AG362" s="141"/>
      <c r="AH362" s="141"/>
      <c r="AI362" s="141"/>
    </row>
    <row r="363" spans="2:35" customFormat="1" ht="14.25" x14ac:dyDescent="0.45">
      <c r="B363" s="14" t="s">
        <v>2758</v>
      </c>
      <c r="C363" s="14" t="s">
        <v>2675</v>
      </c>
      <c r="D363" s="15" t="s">
        <v>2759</v>
      </c>
      <c r="E363" s="16" t="s">
        <v>2068</v>
      </c>
      <c r="F363" s="14" t="s">
        <v>2699</v>
      </c>
      <c r="G363" s="17"/>
      <c r="H363" s="17"/>
      <c r="K363" s="139"/>
      <c r="L363" s="142">
        <f t="shared" ref="L363:AE363" si="139">SUMPRODUCT(L$252:L$259*(1-EXP(-L$262:L$269*L$362)))+SUMPRODUCT(L$308:L$323*(1-EXP(-L$272:L$287*L$362)))</f>
        <v>0</v>
      </c>
      <c r="M363" s="142">
        <f t="shared" si="139"/>
        <v>0</v>
      </c>
      <c r="N363" s="142">
        <f t="shared" si="139"/>
        <v>0</v>
      </c>
      <c r="O363" s="142">
        <f t="shared" si="139"/>
        <v>0</v>
      </c>
      <c r="P363" s="142">
        <f t="shared" si="139"/>
        <v>0</v>
      </c>
      <c r="Q363" s="142">
        <f t="shared" si="139"/>
        <v>0</v>
      </c>
      <c r="R363" s="142">
        <f t="shared" si="139"/>
        <v>0</v>
      </c>
      <c r="S363" s="142">
        <f t="shared" si="139"/>
        <v>0</v>
      </c>
      <c r="T363" s="142">
        <f t="shared" si="139"/>
        <v>0</v>
      </c>
      <c r="U363" s="142">
        <f t="shared" si="139"/>
        <v>0</v>
      </c>
      <c r="V363" s="142">
        <f t="shared" si="139"/>
        <v>0</v>
      </c>
      <c r="W363" s="142">
        <f t="shared" si="139"/>
        <v>0</v>
      </c>
      <c r="X363" s="142">
        <f t="shared" si="139"/>
        <v>0</v>
      </c>
      <c r="Y363" s="142">
        <f t="shared" si="139"/>
        <v>0</v>
      </c>
      <c r="Z363" s="142">
        <f t="shared" si="139"/>
        <v>0</v>
      </c>
      <c r="AA363" s="142">
        <f t="shared" si="139"/>
        <v>0</v>
      </c>
      <c r="AB363" s="142">
        <f t="shared" si="139"/>
        <v>0</v>
      </c>
      <c r="AC363" s="142">
        <f t="shared" si="139"/>
        <v>0</v>
      </c>
      <c r="AD363" s="142">
        <f t="shared" si="139"/>
        <v>0</v>
      </c>
      <c r="AE363" s="142">
        <f t="shared" si="139"/>
        <v>0</v>
      </c>
      <c r="AF363" s="141"/>
      <c r="AG363" s="141"/>
      <c r="AH363" s="141"/>
      <c r="AI363" s="141"/>
    </row>
    <row r="364" spans="2:35" customFormat="1" ht="14.25" x14ac:dyDescent="0.45">
      <c r="B364" s="14" t="s">
        <v>2760</v>
      </c>
      <c r="C364" s="14" t="s">
        <v>2675</v>
      </c>
      <c r="D364" s="15" t="s">
        <v>2761</v>
      </c>
      <c r="E364" s="16" t="s">
        <v>1854</v>
      </c>
      <c r="F364" s="14" t="s">
        <v>2702</v>
      </c>
      <c r="G364" s="17"/>
      <c r="H364" s="17"/>
      <c r="K364" s="139"/>
      <c r="L364" s="140">
        <f t="shared" ref="L364:AE364" si="140">IF($F$4="COST",(SUMPRODUCT(L$252:L$259*((1-EXP(-L$262:L$269*L$362))/(L$262:L$269+(L$262:L$269=0))-L$362*EXP(-L$262:L$269*L$362)*(L$262:L$269&lt;&gt;0)))+SUMPRODUCT(L$308:L$323*((1-EXP(-L$272:L$287*L$362))/(L$272:L$287+(L$272:L$287=0))-L$362*EXP(-L$272:L$287*L$362)*(L$272:L$287&lt;&gt;0)))),L$362*L$363)</f>
        <v>0</v>
      </c>
      <c r="M364" s="140">
        <f t="shared" si="140"/>
        <v>0</v>
      </c>
      <c r="N364" s="140">
        <f t="shared" si="140"/>
        <v>0</v>
      </c>
      <c r="O364" s="140">
        <f t="shared" si="140"/>
        <v>0</v>
      </c>
      <c r="P364" s="140">
        <f t="shared" si="140"/>
        <v>0</v>
      </c>
      <c r="Q364" s="140">
        <f t="shared" si="140"/>
        <v>0</v>
      </c>
      <c r="R364" s="140">
        <f t="shared" si="140"/>
        <v>0</v>
      </c>
      <c r="S364" s="140">
        <f t="shared" si="140"/>
        <v>0</v>
      </c>
      <c r="T364" s="140">
        <f t="shared" si="140"/>
        <v>0</v>
      </c>
      <c r="U364" s="140">
        <f t="shared" si="140"/>
        <v>0</v>
      </c>
      <c r="V364" s="140">
        <f t="shared" si="140"/>
        <v>0</v>
      </c>
      <c r="W364" s="140">
        <f t="shared" si="140"/>
        <v>0</v>
      </c>
      <c r="X364" s="140">
        <f t="shared" si="140"/>
        <v>0</v>
      </c>
      <c r="Y364" s="140">
        <f t="shared" si="140"/>
        <v>0</v>
      </c>
      <c r="Z364" s="140">
        <f t="shared" si="140"/>
        <v>0</v>
      </c>
      <c r="AA364" s="140">
        <f t="shared" si="140"/>
        <v>0</v>
      </c>
      <c r="AB364" s="140">
        <f t="shared" si="140"/>
        <v>0</v>
      </c>
      <c r="AC364" s="140">
        <f t="shared" si="140"/>
        <v>0</v>
      </c>
      <c r="AD364" s="140">
        <f t="shared" si="140"/>
        <v>0</v>
      </c>
      <c r="AE364" s="140">
        <f t="shared" si="140"/>
        <v>0</v>
      </c>
      <c r="AF364" s="141"/>
      <c r="AG364" s="141"/>
      <c r="AH364" s="141"/>
      <c r="AI364" s="141"/>
    </row>
    <row r="365" spans="2:35" customFormat="1" ht="14.25" x14ac:dyDescent="0.45">
      <c r="B365" s="14" t="s">
        <v>2762</v>
      </c>
      <c r="C365" s="14" t="s">
        <v>2675</v>
      </c>
      <c r="D365" s="15" t="s">
        <v>2763</v>
      </c>
      <c r="E365" s="16" t="s">
        <v>2705</v>
      </c>
      <c r="F365" s="14" t="s">
        <v>2706</v>
      </c>
      <c r="G365" s="17"/>
      <c r="H365" s="17"/>
      <c r="K365" s="139"/>
      <c r="L365" s="142">
        <f t="shared" ref="L365:AE365" si="141">IF($F$4="COST",L$362*(SUMPRODUCT(L$252:L$259*L$262:L$269*EXP(-L$262:L$269*L$362))+SUMPRODUCT(L$308:L$323*L$272:L$287*EXP(-L$272:L$287*L$362))),L$363+L$362*(SUMPRODUCT(L$252:L$259*L$262:L$269*EXP(-L$262:L$269*L$362))+SUMPRODUCT(L$308:L$323*L$272:L$287*EXP(-L$272:L$287*L$362))))</f>
        <v>0</v>
      </c>
      <c r="M365" s="142">
        <f t="shared" si="141"/>
        <v>0</v>
      </c>
      <c r="N365" s="142">
        <f t="shared" si="141"/>
        <v>0</v>
      </c>
      <c r="O365" s="142">
        <f t="shared" si="141"/>
        <v>0</v>
      </c>
      <c r="P365" s="142">
        <f t="shared" si="141"/>
        <v>0</v>
      </c>
      <c r="Q365" s="142">
        <f t="shared" si="141"/>
        <v>0</v>
      </c>
      <c r="R365" s="142">
        <f t="shared" si="141"/>
        <v>0</v>
      </c>
      <c r="S365" s="142">
        <f t="shared" si="141"/>
        <v>0</v>
      </c>
      <c r="T365" s="142">
        <f t="shared" si="141"/>
        <v>0</v>
      </c>
      <c r="U365" s="142">
        <f t="shared" si="141"/>
        <v>0</v>
      </c>
      <c r="V365" s="142">
        <f t="shared" si="141"/>
        <v>0</v>
      </c>
      <c r="W365" s="142">
        <f t="shared" si="141"/>
        <v>0</v>
      </c>
      <c r="X365" s="142">
        <f t="shared" si="141"/>
        <v>0</v>
      </c>
      <c r="Y365" s="142">
        <f t="shared" si="141"/>
        <v>0</v>
      </c>
      <c r="Z365" s="142">
        <f t="shared" si="141"/>
        <v>0</v>
      </c>
      <c r="AA365" s="142">
        <f t="shared" si="141"/>
        <v>0</v>
      </c>
      <c r="AB365" s="142">
        <f t="shared" si="141"/>
        <v>0</v>
      </c>
      <c r="AC365" s="142">
        <f t="shared" si="141"/>
        <v>0</v>
      </c>
      <c r="AD365" s="142">
        <f t="shared" si="141"/>
        <v>0</v>
      </c>
      <c r="AE365" s="142">
        <f t="shared" si="141"/>
        <v>0</v>
      </c>
      <c r="AF365" s="141"/>
      <c r="AG365" s="141"/>
      <c r="AH365" s="141"/>
      <c r="AI365" s="141"/>
    </row>
    <row r="366" spans="2:35" customFormat="1" ht="14.25" x14ac:dyDescent="0.45">
      <c r="B366" s="14" t="s">
        <v>2764</v>
      </c>
      <c r="C366" s="14" t="s">
        <v>2675</v>
      </c>
      <c r="D366" s="15" t="s">
        <v>2765</v>
      </c>
      <c r="E366" s="16" t="s">
        <v>1398</v>
      </c>
      <c r="F366" s="14" t="s">
        <v>2709</v>
      </c>
      <c r="G366" s="17"/>
      <c r="H366" s="17"/>
      <c r="K366" s="139"/>
      <c r="L366" s="140">
        <f t="shared" ref="L366:AE366" si="142">IF(L$329&lt;=0,0,IF(L$365&lt;=0,L$362,MIN($F$5,IF(L$362-(L$364-L$329)/L$365&lt;=0,L$362/2,L$362-(L$364-L$329)/L$365))))</f>
        <v>0</v>
      </c>
      <c r="M366" s="140">
        <f t="shared" si="142"/>
        <v>0</v>
      </c>
      <c r="N366" s="140">
        <f t="shared" si="142"/>
        <v>0</v>
      </c>
      <c r="O366" s="140">
        <f t="shared" si="142"/>
        <v>0</v>
      </c>
      <c r="P366" s="140">
        <f t="shared" si="142"/>
        <v>0</v>
      </c>
      <c r="Q366" s="140">
        <f t="shared" si="142"/>
        <v>0</v>
      </c>
      <c r="R366" s="140">
        <f t="shared" si="142"/>
        <v>0</v>
      </c>
      <c r="S366" s="140">
        <f t="shared" si="142"/>
        <v>0</v>
      </c>
      <c r="T366" s="140">
        <f t="shared" si="142"/>
        <v>0</v>
      </c>
      <c r="U366" s="140">
        <f t="shared" si="142"/>
        <v>0</v>
      </c>
      <c r="V366" s="140">
        <f t="shared" si="142"/>
        <v>0</v>
      </c>
      <c r="W366" s="140">
        <f t="shared" si="142"/>
        <v>0</v>
      </c>
      <c r="X366" s="140">
        <f t="shared" si="142"/>
        <v>0</v>
      </c>
      <c r="Y366" s="140">
        <f t="shared" si="142"/>
        <v>0</v>
      </c>
      <c r="Z366" s="140">
        <f t="shared" si="142"/>
        <v>0</v>
      </c>
      <c r="AA366" s="140">
        <f t="shared" si="142"/>
        <v>0</v>
      </c>
      <c r="AB366" s="140">
        <f t="shared" si="142"/>
        <v>0</v>
      </c>
      <c r="AC366" s="140">
        <f t="shared" si="142"/>
        <v>0</v>
      </c>
      <c r="AD366" s="140">
        <f t="shared" si="142"/>
        <v>0</v>
      </c>
      <c r="AE366" s="140">
        <f t="shared" si="142"/>
        <v>0</v>
      </c>
      <c r="AF366" s="141"/>
      <c r="AG366" s="141"/>
      <c r="AH366" s="141"/>
      <c r="AI366" s="141"/>
    </row>
    <row r="367" spans="2:35" customFormat="1" ht="14.25" x14ac:dyDescent="0.45">
      <c r="B367" s="14" t="s">
        <v>2766</v>
      </c>
      <c r="C367" s="14" t="s">
        <v>2675</v>
      </c>
      <c r="D367" s="15" t="s">
        <v>2767</v>
      </c>
      <c r="E367" s="16" t="s">
        <v>2068</v>
      </c>
      <c r="F367" s="14" t="s">
        <v>2699</v>
      </c>
      <c r="G367" s="17"/>
      <c r="H367" s="17"/>
      <c r="K367" s="139"/>
      <c r="L367" s="142">
        <f t="shared" ref="L367:AE367" si="143">SUMPRODUCT(L$252:L$259*(1-EXP(-L$262:L$269*L$366)))+SUMPRODUCT(L$308:L$323*(1-EXP(-L$272:L$287*L$366)))</f>
        <v>0</v>
      </c>
      <c r="M367" s="142">
        <f t="shared" si="143"/>
        <v>0</v>
      </c>
      <c r="N367" s="142">
        <f t="shared" si="143"/>
        <v>0</v>
      </c>
      <c r="O367" s="142">
        <f t="shared" si="143"/>
        <v>0</v>
      </c>
      <c r="P367" s="142">
        <f t="shared" si="143"/>
        <v>0</v>
      </c>
      <c r="Q367" s="142">
        <f t="shared" si="143"/>
        <v>0</v>
      </c>
      <c r="R367" s="142">
        <f t="shared" si="143"/>
        <v>0</v>
      </c>
      <c r="S367" s="142">
        <f t="shared" si="143"/>
        <v>0</v>
      </c>
      <c r="T367" s="142">
        <f t="shared" si="143"/>
        <v>0</v>
      </c>
      <c r="U367" s="142">
        <f t="shared" si="143"/>
        <v>0</v>
      </c>
      <c r="V367" s="142">
        <f t="shared" si="143"/>
        <v>0</v>
      </c>
      <c r="W367" s="142">
        <f t="shared" si="143"/>
        <v>0</v>
      </c>
      <c r="X367" s="142">
        <f t="shared" si="143"/>
        <v>0</v>
      </c>
      <c r="Y367" s="142">
        <f t="shared" si="143"/>
        <v>0</v>
      </c>
      <c r="Z367" s="142">
        <f t="shared" si="143"/>
        <v>0</v>
      </c>
      <c r="AA367" s="142">
        <f t="shared" si="143"/>
        <v>0</v>
      </c>
      <c r="AB367" s="142">
        <f t="shared" si="143"/>
        <v>0</v>
      </c>
      <c r="AC367" s="142">
        <f t="shared" si="143"/>
        <v>0</v>
      </c>
      <c r="AD367" s="142">
        <f t="shared" si="143"/>
        <v>0</v>
      </c>
      <c r="AE367" s="142">
        <f t="shared" si="143"/>
        <v>0</v>
      </c>
      <c r="AF367" s="141"/>
      <c r="AG367" s="141"/>
      <c r="AH367" s="141"/>
      <c r="AI367" s="141"/>
    </row>
    <row r="368" spans="2:35" customFormat="1" ht="14.25" x14ac:dyDescent="0.45">
      <c r="B368" s="14" t="s">
        <v>2768</v>
      </c>
      <c r="C368" s="14" t="s">
        <v>2675</v>
      </c>
      <c r="D368" s="15" t="s">
        <v>2769</v>
      </c>
      <c r="E368" s="16" t="s">
        <v>1854</v>
      </c>
      <c r="F368" s="14" t="s">
        <v>2702</v>
      </c>
      <c r="G368" s="17"/>
      <c r="H368" s="17"/>
      <c r="K368" s="139"/>
      <c r="L368" s="140">
        <f t="shared" ref="L368:AE368" si="144">IF($F$4="COST",(SUMPRODUCT(L$252:L$259*((1-EXP(-L$262:L$269*L$366))/(L$262:L$269+(L$262:L$269=0))-L$366*EXP(-L$262:L$269*L$366)*(L$262:L$269&lt;&gt;0)))+SUMPRODUCT(L$308:L$323*((1-EXP(-L$272:L$287*L$366))/(L$272:L$287+(L$272:L$287=0))-L$366*EXP(-L$272:L$287*L$366)*(L$272:L$287&lt;&gt;0)))),L$366*L$367)</f>
        <v>0</v>
      </c>
      <c r="M368" s="140">
        <f t="shared" si="144"/>
        <v>0</v>
      </c>
      <c r="N368" s="140">
        <f t="shared" si="144"/>
        <v>0</v>
      </c>
      <c r="O368" s="140">
        <f t="shared" si="144"/>
        <v>0</v>
      </c>
      <c r="P368" s="140">
        <f t="shared" si="144"/>
        <v>0</v>
      </c>
      <c r="Q368" s="140">
        <f t="shared" si="144"/>
        <v>0</v>
      </c>
      <c r="R368" s="140">
        <f t="shared" si="144"/>
        <v>0</v>
      </c>
      <c r="S368" s="140">
        <f t="shared" si="144"/>
        <v>0</v>
      </c>
      <c r="T368" s="140">
        <f t="shared" si="144"/>
        <v>0</v>
      </c>
      <c r="U368" s="140">
        <f t="shared" si="144"/>
        <v>0</v>
      </c>
      <c r="V368" s="140">
        <f t="shared" si="144"/>
        <v>0</v>
      </c>
      <c r="W368" s="140">
        <f t="shared" si="144"/>
        <v>0</v>
      </c>
      <c r="X368" s="140">
        <f t="shared" si="144"/>
        <v>0</v>
      </c>
      <c r="Y368" s="140">
        <f t="shared" si="144"/>
        <v>0</v>
      </c>
      <c r="Z368" s="140">
        <f t="shared" si="144"/>
        <v>0</v>
      </c>
      <c r="AA368" s="140">
        <f t="shared" si="144"/>
        <v>0</v>
      </c>
      <c r="AB368" s="140">
        <f t="shared" si="144"/>
        <v>0</v>
      </c>
      <c r="AC368" s="140">
        <f t="shared" si="144"/>
        <v>0</v>
      </c>
      <c r="AD368" s="140">
        <f t="shared" si="144"/>
        <v>0</v>
      </c>
      <c r="AE368" s="140">
        <f t="shared" si="144"/>
        <v>0</v>
      </c>
      <c r="AF368" s="141"/>
      <c r="AG368" s="141"/>
      <c r="AH368" s="141"/>
      <c r="AI368" s="141"/>
    </row>
    <row r="369" spans="2:35" customFormat="1" ht="14.25" x14ac:dyDescent="0.45">
      <c r="B369" s="14" t="s">
        <v>2770</v>
      </c>
      <c r="C369" s="14" t="s">
        <v>2675</v>
      </c>
      <c r="D369" s="15" t="s">
        <v>2771</v>
      </c>
      <c r="E369" s="16" t="s">
        <v>2705</v>
      </c>
      <c r="F369" s="14" t="s">
        <v>2706</v>
      </c>
      <c r="G369" s="17"/>
      <c r="H369" s="17"/>
      <c r="K369" s="139"/>
      <c r="L369" s="142">
        <f t="shared" ref="L369:AE369" si="145">IF($F$4="COST",L$366*(SUMPRODUCT(L$252:L$259*L$262:L$269*EXP(-L$262:L$269*L$366))+SUMPRODUCT(L$308:L$323*L$272:L$287*EXP(-L$272:L$287*L$366))),L$367+L$366*(SUMPRODUCT(L$252:L$259*L$262:L$269*EXP(-L$262:L$269*L$366))+SUMPRODUCT(L$308:L$323*L$272:L$287*EXP(-L$272:L$287*L$366))))</f>
        <v>0</v>
      </c>
      <c r="M369" s="142">
        <f t="shared" si="145"/>
        <v>0</v>
      </c>
      <c r="N369" s="142">
        <f t="shared" si="145"/>
        <v>0</v>
      </c>
      <c r="O369" s="142">
        <f t="shared" si="145"/>
        <v>0</v>
      </c>
      <c r="P369" s="142">
        <f t="shared" si="145"/>
        <v>0</v>
      </c>
      <c r="Q369" s="142">
        <f t="shared" si="145"/>
        <v>0</v>
      </c>
      <c r="R369" s="142">
        <f t="shared" si="145"/>
        <v>0</v>
      </c>
      <c r="S369" s="142">
        <f t="shared" si="145"/>
        <v>0</v>
      </c>
      <c r="T369" s="142">
        <f t="shared" si="145"/>
        <v>0</v>
      </c>
      <c r="U369" s="142">
        <f t="shared" si="145"/>
        <v>0</v>
      </c>
      <c r="V369" s="142">
        <f t="shared" si="145"/>
        <v>0</v>
      </c>
      <c r="W369" s="142">
        <f t="shared" si="145"/>
        <v>0</v>
      </c>
      <c r="X369" s="142">
        <f t="shared" si="145"/>
        <v>0</v>
      </c>
      <c r="Y369" s="142">
        <f t="shared" si="145"/>
        <v>0</v>
      </c>
      <c r="Z369" s="142">
        <f t="shared" si="145"/>
        <v>0</v>
      </c>
      <c r="AA369" s="142">
        <f t="shared" si="145"/>
        <v>0</v>
      </c>
      <c r="AB369" s="142">
        <f t="shared" si="145"/>
        <v>0</v>
      </c>
      <c r="AC369" s="142">
        <f t="shared" si="145"/>
        <v>0</v>
      </c>
      <c r="AD369" s="142">
        <f t="shared" si="145"/>
        <v>0</v>
      </c>
      <c r="AE369" s="142">
        <f t="shared" si="145"/>
        <v>0</v>
      </c>
      <c r="AF369" s="141"/>
      <c r="AG369" s="141"/>
      <c r="AH369" s="141"/>
      <c r="AI369" s="141"/>
    </row>
    <row r="370" spans="2:35" customFormat="1" ht="14.25" x14ac:dyDescent="0.45">
      <c r="B370" s="14" t="s">
        <v>2772</v>
      </c>
      <c r="C370" s="14" t="s">
        <v>2675</v>
      </c>
      <c r="D370" s="15" t="s">
        <v>2773</v>
      </c>
      <c r="E370" s="16" t="s">
        <v>1398</v>
      </c>
      <c r="F370" s="14" t="s">
        <v>2709</v>
      </c>
      <c r="G370" s="17"/>
      <c r="H370" s="17"/>
      <c r="K370" s="139"/>
      <c r="L370" s="140">
        <f t="shared" ref="L370:AE370" si="146">IF(L$329&lt;=0,0,IF(L$369&lt;=0,L$366,MIN($F$5,IF(L$366-(L$368-L$329)/L$369&lt;=0,L$366/2,L$366-(L$368-L$329)/L$369))))</f>
        <v>0</v>
      </c>
      <c r="M370" s="140">
        <f t="shared" si="146"/>
        <v>0</v>
      </c>
      <c r="N370" s="140">
        <f t="shared" si="146"/>
        <v>0</v>
      </c>
      <c r="O370" s="140">
        <f t="shared" si="146"/>
        <v>0</v>
      </c>
      <c r="P370" s="140">
        <f t="shared" si="146"/>
        <v>0</v>
      </c>
      <c r="Q370" s="140">
        <f t="shared" si="146"/>
        <v>0</v>
      </c>
      <c r="R370" s="140">
        <f t="shared" si="146"/>
        <v>0</v>
      </c>
      <c r="S370" s="140">
        <f t="shared" si="146"/>
        <v>0</v>
      </c>
      <c r="T370" s="140">
        <f t="shared" si="146"/>
        <v>0</v>
      </c>
      <c r="U370" s="140">
        <f t="shared" si="146"/>
        <v>0</v>
      </c>
      <c r="V370" s="140">
        <f t="shared" si="146"/>
        <v>0</v>
      </c>
      <c r="W370" s="140">
        <f t="shared" si="146"/>
        <v>0</v>
      </c>
      <c r="X370" s="140">
        <f t="shared" si="146"/>
        <v>0</v>
      </c>
      <c r="Y370" s="140">
        <f t="shared" si="146"/>
        <v>0</v>
      </c>
      <c r="Z370" s="140">
        <f t="shared" si="146"/>
        <v>0</v>
      </c>
      <c r="AA370" s="140">
        <f t="shared" si="146"/>
        <v>0</v>
      </c>
      <c r="AB370" s="140">
        <f t="shared" si="146"/>
        <v>0</v>
      </c>
      <c r="AC370" s="140">
        <f t="shared" si="146"/>
        <v>0</v>
      </c>
      <c r="AD370" s="140">
        <f t="shared" si="146"/>
        <v>0</v>
      </c>
      <c r="AE370" s="140">
        <f t="shared" si="146"/>
        <v>0</v>
      </c>
      <c r="AF370" s="141"/>
      <c r="AG370" s="141"/>
      <c r="AH370" s="141"/>
      <c r="AI370" s="141"/>
    </row>
    <row r="371" spans="2:35" customFormat="1" ht="14.25" x14ac:dyDescent="0.45">
      <c r="B371" s="14" t="s">
        <v>2774</v>
      </c>
      <c r="C371" s="14" t="s">
        <v>2675</v>
      </c>
      <c r="D371" s="15" t="s">
        <v>2775</v>
      </c>
      <c r="E371" s="16" t="s">
        <v>2068</v>
      </c>
      <c r="F371" s="14" t="s">
        <v>2699</v>
      </c>
      <c r="G371" s="17"/>
      <c r="H371" s="17"/>
      <c r="K371" s="139"/>
      <c r="L371" s="142">
        <f t="shared" ref="L371:AE371" si="147">SUMPRODUCT(L$252:L$259*(1-EXP(-L$262:L$269*L$370)))+SUMPRODUCT(L$308:L$323*(1-EXP(-L$272:L$287*L$370)))</f>
        <v>0</v>
      </c>
      <c r="M371" s="142">
        <f t="shared" si="147"/>
        <v>0</v>
      </c>
      <c r="N371" s="142">
        <f t="shared" si="147"/>
        <v>0</v>
      </c>
      <c r="O371" s="142">
        <f t="shared" si="147"/>
        <v>0</v>
      </c>
      <c r="P371" s="142">
        <f t="shared" si="147"/>
        <v>0</v>
      </c>
      <c r="Q371" s="142">
        <f t="shared" si="147"/>
        <v>0</v>
      </c>
      <c r="R371" s="142">
        <f t="shared" si="147"/>
        <v>0</v>
      </c>
      <c r="S371" s="142">
        <f t="shared" si="147"/>
        <v>0</v>
      </c>
      <c r="T371" s="142">
        <f t="shared" si="147"/>
        <v>0</v>
      </c>
      <c r="U371" s="142">
        <f t="shared" si="147"/>
        <v>0</v>
      </c>
      <c r="V371" s="142">
        <f t="shared" si="147"/>
        <v>0</v>
      </c>
      <c r="W371" s="142">
        <f t="shared" si="147"/>
        <v>0</v>
      </c>
      <c r="X371" s="142">
        <f t="shared" si="147"/>
        <v>0</v>
      </c>
      <c r="Y371" s="142">
        <f t="shared" si="147"/>
        <v>0</v>
      </c>
      <c r="Z371" s="142">
        <f t="shared" si="147"/>
        <v>0</v>
      </c>
      <c r="AA371" s="142">
        <f t="shared" si="147"/>
        <v>0</v>
      </c>
      <c r="AB371" s="142">
        <f t="shared" si="147"/>
        <v>0</v>
      </c>
      <c r="AC371" s="142">
        <f t="shared" si="147"/>
        <v>0</v>
      </c>
      <c r="AD371" s="142">
        <f t="shared" si="147"/>
        <v>0</v>
      </c>
      <c r="AE371" s="142">
        <f t="shared" si="147"/>
        <v>0</v>
      </c>
      <c r="AF371" s="141"/>
      <c r="AG371" s="141"/>
      <c r="AH371" s="141"/>
      <c r="AI371" s="141"/>
    </row>
    <row r="372" spans="2:35" customFormat="1" ht="14.25" x14ac:dyDescent="0.45">
      <c r="B372" s="14" t="s">
        <v>2776</v>
      </c>
      <c r="C372" s="14" t="s">
        <v>2675</v>
      </c>
      <c r="D372" s="15" t="s">
        <v>2777</v>
      </c>
      <c r="E372" s="16" t="s">
        <v>1854</v>
      </c>
      <c r="F372" s="14" t="s">
        <v>2702</v>
      </c>
      <c r="G372" s="17"/>
      <c r="H372" s="17"/>
      <c r="K372" s="139"/>
      <c r="L372" s="140">
        <f t="shared" ref="L372:AE372" si="148">IF($F$4="COST",(SUMPRODUCT(L$252:L$259*((1-EXP(-L$262:L$269*L$370))/(L$262:L$269+(L$262:L$269=0))-L$370*EXP(-L$262:L$269*L$370)*(L$262:L$269&lt;&gt;0)))+SUMPRODUCT(L$308:L$323*((1-EXP(-L$272:L$287*L$370))/(L$272:L$287+(L$272:L$287=0))-L$370*EXP(-L$272:L$287*L$370)*(L$272:L$287&lt;&gt;0)))),L$370*L$371)</f>
        <v>0</v>
      </c>
      <c r="M372" s="140">
        <f t="shared" si="148"/>
        <v>0</v>
      </c>
      <c r="N372" s="140">
        <f t="shared" si="148"/>
        <v>0</v>
      </c>
      <c r="O372" s="140">
        <f t="shared" si="148"/>
        <v>0</v>
      </c>
      <c r="P372" s="140">
        <f t="shared" si="148"/>
        <v>0</v>
      </c>
      <c r="Q372" s="140">
        <f t="shared" si="148"/>
        <v>0</v>
      </c>
      <c r="R372" s="140">
        <f t="shared" si="148"/>
        <v>0</v>
      </c>
      <c r="S372" s="140">
        <f t="shared" si="148"/>
        <v>0</v>
      </c>
      <c r="T372" s="140">
        <f t="shared" si="148"/>
        <v>0</v>
      </c>
      <c r="U372" s="140">
        <f t="shared" si="148"/>
        <v>0</v>
      </c>
      <c r="V372" s="140">
        <f t="shared" si="148"/>
        <v>0</v>
      </c>
      <c r="W372" s="140">
        <f t="shared" si="148"/>
        <v>0</v>
      </c>
      <c r="X372" s="140">
        <f t="shared" si="148"/>
        <v>0</v>
      </c>
      <c r="Y372" s="140">
        <f t="shared" si="148"/>
        <v>0</v>
      </c>
      <c r="Z372" s="140">
        <f t="shared" si="148"/>
        <v>0</v>
      </c>
      <c r="AA372" s="140">
        <f t="shared" si="148"/>
        <v>0</v>
      </c>
      <c r="AB372" s="140">
        <f t="shared" si="148"/>
        <v>0</v>
      </c>
      <c r="AC372" s="140">
        <f t="shared" si="148"/>
        <v>0</v>
      </c>
      <c r="AD372" s="140">
        <f t="shared" si="148"/>
        <v>0</v>
      </c>
      <c r="AE372" s="140">
        <f t="shared" si="148"/>
        <v>0</v>
      </c>
      <c r="AF372" s="141"/>
      <c r="AG372" s="141"/>
      <c r="AH372" s="141"/>
      <c r="AI372" s="141"/>
    </row>
    <row r="373" spans="2:35" customFormat="1" ht="14.25" x14ac:dyDescent="0.45">
      <c r="B373" s="14" t="s">
        <v>2778</v>
      </c>
      <c r="C373" s="14" t="s">
        <v>2675</v>
      </c>
      <c r="D373" s="15" t="s">
        <v>2779</v>
      </c>
      <c r="E373" s="16" t="s">
        <v>2705</v>
      </c>
      <c r="F373" s="14" t="s">
        <v>2706</v>
      </c>
      <c r="G373" s="17"/>
      <c r="H373" s="17"/>
      <c r="K373" s="139"/>
      <c r="L373" s="142">
        <f t="shared" ref="L373:AE373" si="149">IF($F$4="COST",L$370*(SUMPRODUCT(L$252:L$259*L$262:L$269*EXP(-L$262:L$269*L$370))+SUMPRODUCT(L$308:L$323*L$272:L$287*EXP(-L$272:L$287*L$370))),L$371+L$370*(SUMPRODUCT(L$252:L$259*L$262:L$269*EXP(-L$262:L$269*L$370))+SUMPRODUCT(L$308:L$323*L$272:L$287*EXP(-L$272:L$287*L$370))))</f>
        <v>0</v>
      </c>
      <c r="M373" s="142">
        <f t="shared" si="149"/>
        <v>0</v>
      </c>
      <c r="N373" s="142">
        <f t="shared" si="149"/>
        <v>0</v>
      </c>
      <c r="O373" s="142">
        <f t="shared" si="149"/>
        <v>0</v>
      </c>
      <c r="P373" s="142">
        <f t="shared" si="149"/>
        <v>0</v>
      </c>
      <c r="Q373" s="142">
        <f t="shared" si="149"/>
        <v>0</v>
      </c>
      <c r="R373" s="142">
        <f t="shared" si="149"/>
        <v>0</v>
      </c>
      <c r="S373" s="142">
        <f t="shared" si="149"/>
        <v>0</v>
      </c>
      <c r="T373" s="142">
        <f t="shared" si="149"/>
        <v>0</v>
      </c>
      <c r="U373" s="142">
        <f t="shared" si="149"/>
        <v>0</v>
      </c>
      <c r="V373" s="142">
        <f t="shared" si="149"/>
        <v>0</v>
      </c>
      <c r="W373" s="142">
        <f t="shared" si="149"/>
        <v>0</v>
      </c>
      <c r="X373" s="142">
        <f t="shared" si="149"/>
        <v>0</v>
      </c>
      <c r="Y373" s="142">
        <f t="shared" si="149"/>
        <v>0</v>
      </c>
      <c r="Z373" s="142">
        <f t="shared" si="149"/>
        <v>0</v>
      </c>
      <c r="AA373" s="142">
        <f t="shared" si="149"/>
        <v>0</v>
      </c>
      <c r="AB373" s="142">
        <f t="shared" si="149"/>
        <v>0</v>
      </c>
      <c r="AC373" s="142">
        <f t="shared" si="149"/>
        <v>0</v>
      </c>
      <c r="AD373" s="142">
        <f t="shared" si="149"/>
        <v>0</v>
      </c>
      <c r="AE373" s="142">
        <f t="shared" si="149"/>
        <v>0</v>
      </c>
      <c r="AF373" s="141"/>
      <c r="AG373" s="141"/>
      <c r="AH373" s="141"/>
      <c r="AI373" s="141"/>
    </row>
    <row r="374" spans="2:35" customFormat="1" ht="14.25" x14ac:dyDescent="0.45">
      <c r="B374" s="14" t="s">
        <v>2780</v>
      </c>
      <c r="C374" s="14" t="s">
        <v>2675</v>
      </c>
      <c r="D374" s="15" t="s">
        <v>2781</v>
      </c>
      <c r="E374" s="16" t="s">
        <v>1398</v>
      </c>
      <c r="F374" s="14" t="s">
        <v>2709</v>
      </c>
      <c r="G374" s="17"/>
      <c r="H374" s="17"/>
      <c r="K374" s="139"/>
      <c r="L374" s="140">
        <f t="shared" ref="L374:AE374" si="150">IF(L$329&lt;=0,0,IF(L$373&lt;=0,L$370,MIN($F$5,IF(L$370-(L$372-L$329)/L$373&lt;=0,L$370/2,L$370-(L$372-L$329)/L$373))))</f>
        <v>0</v>
      </c>
      <c r="M374" s="140">
        <f t="shared" si="150"/>
        <v>0</v>
      </c>
      <c r="N374" s="140">
        <f t="shared" si="150"/>
        <v>0</v>
      </c>
      <c r="O374" s="140">
        <f t="shared" si="150"/>
        <v>0</v>
      </c>
      <c r="P374" s="140">
        <f t="shared" si="150"/>
        <v>0</v>
      </c>
      <c r="Q374" s="140">
        <f t="shared" si="150"/>
        <v>0</v>
      </c>
      <c r="R374" s="140">
        <f t="shared" si="150"/>
        <v>0</v>
      </c>
      <c r="S374" s="140">
        <f t="shared" si="150"/>
        <v>0</v>
      </c>
      <c r="T374" s="140">
        <f t="shared" si="150"/>
        <v>0</v>
      </c>
      <c r="U374" s="140">
        <f t="shared" si="150"/>
        <v>0</v>
      </c>
      <c r="V374" s="140">
        <f t="shared" si="150"/>
        <v>0</v>
      </c>
      <c r="W374" s="140">
        <f t="shared" si="150"/>
        <v>0</v>
      </c>
      <c r="X374" s="140">
        <f t="shared" si="150"/>
        <v>0</v>
      </c>
      <c r="Y374" s="140">
        <f t="shared" si="150"/>
        <v>0</v>
      </c>
      <c r="Z374" s="140">
        <f t="shared" si="150"/>
        <v>0</v>
      </c>
      <c r="AA374" s="140">
        <f t="shared" si="150"/>
        <v>0</v>
      </c>
      <c r="AB374" s="140">
        <f t="shared" si="150"/>
        <v>0</v>
      </c>
      <c r="AC374" s="140">
        <f t="shared" si="150"/>
        <v>0</v>
      </c>
      <c r="AD374" s="140">
        <f t="shared" si="150"/>
        <v>0</v>
      </c>
      <c r="AE374" s="140">
        <f t="shared" si="150"/>
        <v>0</v>
      </c>
      <c r="AF374" s="141"/>
      <c r="AG374" s="141"/>
      <c r="AH374" s="141"/>
      <c r="AI374" s="141"/>
    </row>
    <row r="375" spans="2:35" customFormat="1" ht="14.25" x14ac:dyDescent="0.45">
      <c r="B375" s="14" t="s">
        <v>2782</v>
      </c>
      <c r="C375" s="14" t="s">
        <v>2675</v>
      </c>
      <c r="D375" s="15" t="s">
        <v>2783</v>
      </c>
      <c r="E375" s="16" t="s">
        <v>2068</v>
      </c>
      <c r="F375" s="14" t="s">
        <v>2699</v>
      </c>
      <c r="G375" s="17"/>
      <c r="H375" s="17"/>
      <c r="K375" s="139"/>
      <c r="L375" s="142">
        <f t="shared" ref="L375:AE375" si="151">SUMPRODUCT(L$252:L$259*(1-EXP(-L$262:L$269*L$374)))+SUMPRODUCT(L$308:L$323*(1-EXP(-L$272:L$287*L$374)))</f>
        <v>0</v>
      </c>
      <c r="M375" s="142">
        <f t="shared" si="151"/>
        <v>0</v>
      </c>
      <c r="N375" s="142">
        <f t="shared" si="151"/>
        <v>0</v>
      </c>
      <c r="O375" s="142">
        <f t="shared" si="151"/>
        <v>0</v>
      </c>
      <c r="P375" s="142">
        <f t="shared" si="151"/>
        <v>0</v>
      </c>
      <c r="Q375" s="142">
        <f t="shared" si="151"/>
        <v>0</v>
      </c>
      <c r="R375" s="142">
        <f t="shared" si="151"/>
        <v>0</v>
      </c>
      <c r="S375" s="142">
        <f t="shared" si="151"/>
        <v>0</v>
      </c>
      <c r="T375" s="142">
        <f t="shared" si="151"/>
        <v>0</v>
      </c>
      <c r="U375" s="142">
        <f t="shared" si="151"/>
        <v>0</v>
      </c>
      <c r="V375" s="142">
        <f t="shared" si="151"/>
        <v>0</v>
      </c>
      <c r="W375" s="142">
        <f t="shared" si="151"/>
        <v>0</v>
      </c>
      <c r="X375" s="142">
        <f t="shared" si="151"/>
        <v>0</v>
      </c>
      <c r="Y375" s="142">
        <f t="shared" si="151"/>
        <v>0</v>
      </c>
      <c r="Z375" s="142">
        <f t="shared" si="151"/>
        <v>0</v>
      </c>
      <c r="AA375" s="142">
        <f t="shared" si="151"/>
        <v>0</v>
      </c>
      <c r="AB375" s="142">
        <f t="shared" si="151"/>
        <v>0</v>
      </c>
      <c r="AC375" s="142">
        <f t="shared" si="151"/>
        <v>0</v>
      </c>
      <c r="AD375" s="142">
        <f t="shared" si="151"/>
        <v>0</v>
      </c>
      <c r="AE375" s="142">
        <f t="shared" si="151"/>
        <v>0</v>
      </c>
      <c r="AF375" s="141"/>
      <c r="AG375" s="141"/>
      <c r="AH375" s="141"/>
      <c r="AI375" s="141"/>
    </row>
    <row r="376" spans="2:35" customFormat="1" ht="14.25" x14ac:dyDescent="0.45">
      <c r="B376" s="14" t="s">
        <v>2784</v>
      </c>
      <c r="C376" s="14" t="s">
        <v>2675</v>
      </c>
      <c r="D376" s="15" t="s">
        <v>2785</v>
      </c>
      <c r="E376" s="16" t="s">
        <v>1854</v>
      </c>
      <c r="F376" s="14" t="s">
        <v>2702</v>
      </c>
      <c r="G376" s="17"/>
      <c r="H376" s="17"/>
      <c r="K376" s="139"/>
      <c r="L376" s="140">
        <f t="shared" ref="L376:AE376" si="152">IF($F$4="COST",(SUMPRODUCT(L$252:L$259*((1-EXP(-L$262:L$269*L$374))/(L$262:L$269+(L$262:L$269=0))-L$374*EXP(-L$262:L$269*L$374)*(L$262:L$269&lt;&gt;0)))+SUMPRODUCT(L$308:L$323*((1-EXP(-L$272:L$287*L$374))/(L$272:L$287+(L$272:L$287=0))-L$374*EXP(-L$272:L$287*L$374)*(L$272:L$287&lt;&gt;0)))),L$374*L$375)</f>
        <v>0</v>
      </c>
      <c r="M376" s="140">
        <f t="shared" si="152"/>
        <v>0</v>
      </c>
      <c r="N376" s="140">
        <f t="shared" si="152"/>
        <v>0</v>
      </c>
      <c r="O376" s="140">
        <f t="shared" si="152"/>
        <v>0</v>
      </c>
      <c r="P376" s="140">
        <f t="shared" si="152"/>
        <v>0</v>
      </c>
      <c r="Q376" s="140">
        <f t="shared" si="152"/>
        <v>0</v>
      </c>
      <c r="R376" s="140">
        <f t="shared" si="152"/>
        <v>0</v>
      </c>
      <c r="S376" s="140">
        <f t="shared" si="152"/>
        <v>0</v>
      </c>
      <c r="T376" s="140">
        <f t="shared" si="152"/>
        <v>0</v>
      </c>
      <c r="U376" s="140">
        <f t="shared" si="152"/>
        <v>0</v>
      </c>
      <c r="V376" s="140">
        <f t="shared" si="152"/>
        <v>0</v>
      </c>
      <c r="W376" s="140">
        <f t="shared" si="152"/>
        <v>0</v>
      </c>
      <c r="X376" s="140">
        <f t="shared" si="152"/>
        <v>0</v>
      </c>
      <c r="Y376" s="140">
        <f t="shared" si="152"/>
        <v>0</v>
      </c>
      <c r="Z376" s="140">
        <f t="shared" si="152"/>
        <v>0</v>
      </c>
      <c r="AA376" s="140">
        <f t="shared" si="152"/>
        <v>0</v>
      </c>
      <c r="AB376" s="140">
        <f t="shared" si="152"/>
        <v>0</v>
      </c>
      <c r="AC376" s="140">
        <f t="shared" si="152"/>
        <v>0</v>
      </c>
      <c r="AD376" s="140">
        <f t="shared" si="152"/>
        <v>0</v>
      </c>
      <c r="AE376" s="140">
        <f t="shared" si="152"/>
        <v>0</v>
      </c>
      <c r="AF376" s="141"/>
      <c r="AG376" s="141"/>
      <c r="AH376" s="141"/>
      <c r="AI376" s="141"/>
    </row>
    <row r="377" spans="2:35" customFormat="1" ht="14.25" x14ac:dyDescent="0.45">
      <c r="B377" s="14" t="s">
        <v>2786</v>
      </c>
      <c r="C377" s="14" t="s">
        <v>2675</v>
      </c>
      <c r="D377" s="15" t="s">
        <v>2787</v>
      </c>
      <c r="E377" s="16" t="s">
        <v>2705</v>
      </c>
      <c r="F377" s="14" t="s">
        <v>2706</v>
      </c>
      <c r="G377" s="17"/>
      <c r="H377" s="17"/>
      <c r="K377" s="139"/>
      <c r="L377" s="142">
        <f t="shared" ref="L377:AE377" si="153">IF($F$4="COST",L$374*(SUMPRODUCT(L$252:L$259*L$262:L$269*EXP(-L$262:L$269*L$374))+SUMPRODUCT(L$308:L$323*L$272:L$287*EXP(-L$272:L$287*L$374))),L$375+L$374*(SUMPRODUCT(L$252:L$259*L$262:L$269*EXP(-L$262:L$269*L$374))+SUMPRODUCT(L$308:L$323*L$272:L$287*EXP(-L$272:L$287*L$374))))</f>
        <v>0</v>
      </c>
      <c r="M377" s="142">
        <f t="shared" si="153"/>
        <v>0</v>
      </c>
      <c r="N377" s="142">
        <f t="shared" si="153"/>
        <v>0</v>
      </c>
      <c r="O377" s="142">
        <f t="shared" si="153"/>
        <v>0</v>
      </c>
      <c r="P377" s="142">
        <f t="shared" si="153"/>
        <v>0</v>
      </c>
      <c r="Q377" s="142">
        <f t="shared" si="153"/>
        <v>0</v>
      </c>
      <c r="R377" s="142">
        <f t="shared" si="153"/>
        <v>0</v>
      </c>
      <c r="S377" s="142">
        <f t="shared" si="153"/>
        <v>0</v>
      </c>
      <c r="T377" s="142">
        <f t="shared" si="153"/>
        <v>0</v>
      </c>
      <c r="U377" s="142">
        <f t="shared" si="153"/>
        <v>0</v>
      </c>
      <c r="V377" s="142">
        <f t="shared" si="153"/>
        <v>0</v>
      </c>
      <c r="W377" s="142">
        <f t="shared" si="153"/>
        <v>0</v>
      </c>
      <c r="X377" s="142">
        <f t="shared" si="153"/>
        <v>0</v>
      </c>
      <c r="Y377" s="142">
        <f t="shared" si="153"/>
        <v>0</v>
      </c>
      <c r="Z377" s="142">
        <f t="shared" si="153"/>
        <v>0</v>
      </c>
      <c r="AA377" s="142">
        <f t="shared" si="153"/>
        <v>0</v>
      </c>
      <c r="AB377" s="142">
        <f t="shared" si="153"/>
        <v>0</v>
      </c>
      <c r="AC377" s="142">
        <f t="shared" si="153"/>
        <v>0</v>
      </c>
      <c r="AD377" s="142">
        <f t="shared" si="153"/>
        <v>0</v>
      </c>
      <c r="AE377" s="142">
        <f t="shared" si="153"/>
        <v>0</v>
      </c>
      <c r="AF377" s="141"/>
      <c r="AG377" s="141"/>
      <c r="AH377" s="141"/>
      <c r="AI377" s="141"/>
    </row>
    <row r="378" spans="2:35" customFormat="1" ht="14.25" x14ac:dyDescent="0.45">
      <c r="B378" s="14" t="s">
        <v>2788</v>
      </c>
      <c r="C378" s="14" t="s">
        <v>2675</v>
      </c>
      <c r="D378" s="15" t="s">
        <v>2789</v>
      </c>
      <c r="E378" s="16" t="s">
        <v>1398</v>
      </c>
      <c r="F378" s="14" t="s">
        <v>2709</v>
      </c>
      <c r="G378" s="17"/>
      <c r="H378" s="17"/>
      <c r="K378" s="139"/>
      <c r="L378" s="140">
        <f t="shared" ref="L378:AE378" si="154">IF(L$329&lt;=0,0,IF(L$377&lt;=0,L$374,MIN($F$5,IF(L$374-(L$376-L$329)/L$377&lt;=0,L$374/2,L$374-(L$376-L$329)/L$377))))</f>
        <v>0</v>
      </c>
      <c r="M378" s="140">
        <f t="shared" si="154"/>
        <v>0</v>
      </c>
      <c r="N378" s="140">
        <f t="shared" si="154"/>
        <v>0</v>
      </c>
      <c r="O378" s="140">
        <f t="shared" si="154"/>
        <v>0</v>
      </c>
      <c r="P378" s="140">
        <f t="shared" si="154"/>
        <v>0</v>
      </c>
      <c r="Q378" s="140">
        <f t="shared" si="154"/>
        <v>0</v>
      </c>
      <c r="R378" s="140">
        <f t="shared" si="154"/>
        <v>0</v>
      </c>
      <c r="S378" s="140">
        <f t="shared" si="154"/>
        <v>0</v>
      </c>
      <c r="T378" s="140">
        <f t="shared" si="154"/>
        <v>0</v>
      </c>
      <c r="U378" s="140">
        <f t="shared" si="154"/>
        <v>0</v>
      </c>
      <c r="V378" s="140">
        <f t="shared" si="154"/>
        <v>0</v>
      </c>
      <c r="W378" s="140">
        <f t="shared" si="154"/>
        <v>0</v>
      </c>
      <c r="X378" s="140">
        <f t="shared" si="154"/>
        <v>0</v>
      </c>
      <c r="Y378" s="140">
        <f t="shared" si="154"/>
        <v>0</v>
      </c>
      <c r="Z378" s="140">
        <f t="shared" si="154"/>
        <v>0</v>
      </c>
      <c r="AA378" s="140">
        <f t="shared" si="154"/>
        <v>0</v>
      </c>
      <c r="AB378" s="140">
        <f t="shared" si="154"/>
        <v>0</v>
      </c>
      <c r="AC378" s="140">
        <f t="shared" si="154"/>
        <v>0</v>
      </c>
      <c r="AD378" s="140">
        <f t="shared" si="154"/>
        <v>0</v>
      </c>
      <c r="AE378" s="140">
        <f t="shared" si="154"/>
        <v>0</v>
      </c>
      <c r="AF378" s="141"/>
      <c r="AG378" s="141"/>
      <c r="AH378" s="141"/>
      <c r="AI378" s="141"/>
    </row>
    <row r="379" spans="2:35" customFormat="1" ht="14.25" x14ac:dyDescent="0.45">
      <c r="B379" s="14" t="s">
        <v>2790</v>
      </c>
      <c r="C379" s="14" t="s">
        <v>2675</v>
      </c>
      <c r="D379" s="15" t="s">
        <v>2791</v>
      </c>
      <c r="E379" s="16" t="s">
        <v>2068</v>
      </c>
      <c r="F379" s="14" t="s">
        <v>2699</v>
      </c>
      <c r="G379" s="17"/>
      <c r="H379" s="17"/>
      <c r="K379" s="139"/>
      <c r="L379" s="142">
        <f t="shared" ref="L379:AE379" si="155">SUMPRODUCT(L$252:L$259*(1-EXP(-L$262:L$269*L$378)))+SUMPRODUCT(L$308:L$323*(1-EXP(-L$272:L$287*L$378)))</f>
        <v>0</v>
      </c>
      <c r="M379" s="142">
        <f t="shared" si="155"/>
        <v>0</v>
      </c>
      <c r="N379" s="142">
        <f t="shared" si="155"/>
        <v>0</v>
      </c>
      <c r="O379" s="142">
        <f t="shared" si="155"/>
        <v>0</v>
      </c>
      <c r="P379" s="142">
        <f t="shared" si="155"/>
        <v>0</v>
      </c>
      <c r="Q379" s="142">
        <f t="shared" si="155"/>
        <v>0</v>
      </c>
      <c r="R379" s="142">
        <f t="shared" si="155"/>
        <v>0</v>
      </c>
      <c r="S379" s="142">
        <f t="shared" si="155"/>
        <v>0</v>
      </c>
      <c r="T379" s="142">
        <f t="shared" si="155"/>
        <v>0</v>
      </c>
      <c r="U379" s="142">
        <f t="shared" si="155"/>
        <v>0</v>
      </c>
      <c r="V379" s="142">
        <f t="shared" si="155"/>
        <v>0</v>
      </c>
      <c r="W379" s="142">
        <f t="shared" si="155"/>
        <v>0</v>
      </c>
      <c r="X379" s="142">
        <f t="shared" si="155"/>
        <v>0</v>
      </c>
      <c r="Y379" s="142">
        <f t="shared" si="155"/>
        <v>0</v>
      </c>
      <c r="Z379" s="142">
        <f t="shared" si="155"/>
        <v>0</v>
      </c>
      <c r="AA379" s="142">
        <f t="shared" si="155"/>
        <v>0</v>
      </c>
      <c r="AB379" s="142">
        <f t="shared" si="155"/>
        <v>0</v>
      </c>
      <c r="AC379" s="142">
        <f t="shared" si="155"/>
        <v>0</v>
      </c>
      <c r="AD379" s="142">
        <f t="shared" si="155"/>
        <v>0</v>
      </c>
      <c r="AE379" s="142">
        <f t="shared" si="155"/>
        <v>0</v>
      </c>
      <c r="AF379" s="141"/>
      <c r="AG379" s="141"/>
      <c r="AH379" s="141"/>
      <c r="AI379" s="141"/>
    </row>
    <row r="380" spans="2:35" customFormat="1" ht="14.25" x14ac:dyDescent="0.45">
      <c r="B380" s="14" t="s">
        <v>2792</v>
      </c>
      <c r="C380" s="14" t="s">
        <v>2675</v>
      </c>
      <c r="D380" s="15" t="s">
        <v>2793</v>
      </c>
      <c r="E380" s="16" t="s">
        <v>1854</v>
      </c>
      <c r="F380" s="14" t="s">
        <v>2702</v>
      </c>
      <c r="G380" s="17"/>
      <c r="H380" s="17"/>
      <c r="K380" s="139"/>
      <c r="L380" s="140">
        <f t="shared" ref="L380:AE380" si="156">IF($F$4="COST",(SUMPRODUCT(L$252:L$259*((1-EXP(-L$262:L$269*L$378))/(L$262:L$269+(L$262:L$269=0))-L$378*EXP(-L$262:L$269*L$378)*(L$262:L$269&lt;&gt;0)))+SUMPRODUCT(L$308:L$323*((1-EXP(-L$272:L$287*L$378))/(L$272:L$287+(L$272:L$287=0))-L$378*EXP(-L$272:L$287*L$378)*(L$272:L$287&lt;&gt;0)))),L$378*L$379)</f>
        <v>0</v>
      </c>
      <c r="M380" s="140">
        <f t="shared" si="156"/>
        <v>0</v>
      </c>
      <c r="N380" s="140">
        <f t="shared" si="156"/>
        <v>0</v>
      </c>
      <c r="O380" s="140">
        <f t="shared" si="156"/>
        <v>0</v>
      </c>
      <c r="P380" s="140">
        <f t="shared" si="156"/>
        <v>0</v>
      </c>
      <c r="Q380" s="140">
        <f t="shared" si="156"/>
        <v>0</v>
      </c>
      <c r="R380" s="140">
        <f t="shared" si="156"/>
        <v>0</v>
      </c>
      <c r="S380" s="140">
        <f t="shared" si="156"/>
        <v>0</v>
      </c>
      <c r="T380" s="140">
        <f t="shared" si="156"/>
        <v>0</v>
      </c>
      <c r="U380" s="140">
        <f t="shared" si="156"/>
        <v>0</v>
      </c>
      <c r="V380" s="140">
        <f t="shared" si="156"/>
        <v>0</v>
      </c>
      <c r="W380" s="140">
        <f t="shared" si="156"/>
        <v>0</v>
      </c>
      <c r="X380" s="140">
        <f t="shared" si="156"/>
        <v>0</v>
      </c>
      <c r="Y380" s="140">
        <f t="shared" si="156"/>
        <v>0</v>
      </c>
      <c r="Z380" s="140">
        <f t="shared" si="156"/>
        <v>0</v>
      </c>
      <c r="AA380" s="140">
        <f t="shared" si="156"/>
        <v>0</v>
      </c>
      <c r="AB380" s="140">
        <f t="shared" si="156"/>
        <v>0</v>
      </c>
      <c r="AC380" s="140">
        <f t="shared" si="156"/>
        <v>0</v>
      </c>
      <c r="AD380" s="140">
        <f t="shared" si="156"/>
        <v>0</v>
      </c>
      <c r="AE380" s="140">
        <f t="shared" si="156"/>
        <v>0</v>
      </c>
      <c r="AF380" s="141"/>
      <c r="AG380" s="141"/>
      <c r="AH380" s="141"/>
      <c r="AI380" s="141"/>
    </row>
    <row r="381" spans="2:35" customFormat="1" ht="14.25" x14ac:dyDescent="0.45">
      <c r="B381" s="14" t="s">
        <v>2794</v>
      </c>
      <c r="C381" s="14" t="s">
        <v>2675</v>
      </c>
      <c r="D381" s="15" t="s">
        <v>2795</v>
      </c>
      <c r="E381" s="16" t="s">
        <v>2705</v>
      </c>
      <c r="F381" s="14" t="s">
        <v>2706</v>
      </c>
      <c r="G381" s="17"/>
      <c r="H381" s="17"/>
      <c r="K381" s="139"/>
      <c r="L381" s="142">
        <f t="shared" ref="L381:AE381" si="157">IF($F$4="COST",L$378*(SUMPRODUCT(L$252:L$259*L$262:L$269*EXP(-L$262:L$269*L$378))+SUMPRODUCT(L$308:L$323*L$272:L$287*EXP(-L$272:L$287*L$378))),L$379+L$378*(SUMPRODUCT(L$252:L$259*L$262:L$269*EXP(-L$262:L$269*L$378))+SUMPRODUCT(L$308:L$323*L$272:L$287*EXP(-L$272:L$287*L$378))))</f>
        <v>0</v>
      </c>
      <c r="M381" s="142">
        <f t="shared" si="157"/>
        <v>0</v>
      </c>
      <c r="N381" s="142">
        <f t="shared" si="157"/>
        <v>0</v>
      </c>
      <c r="O381" s="142">
        <f t="shared" si="157"/>
        <v>0</v>
      </c>
      <c r="P381" s="142">
        <f t="shared" si="157"/>
        <v>0</v>
      </c>
      <c r="Q381" s="142">
        <f t="shared" si="157"/>
        <v>0</v>
      </c>
      <c r="R381" s="142">
        <f t="shared" si="157"/>
        <v>0</v>
      </c>
      <c r="S381" s="142">
        <f t="shared" si="157"/>
        <v>0</v>
      </c>
      <c r="T381" s="142">
        <f t="shared" si="157"/>
        <v>0</v>
      </c>
      <c r="U381" s="142">
        <f t="shared" si="157"/>
        <v>0</v>
      </c>
      <c r="V381" s="142">
        <f t="shared" si="157"/>
        <v>0</v>
      </c>
      <c r="W381" s="142">
        <f t="shared" si="157"/>
        <v>0</v>
      </c>
      <c r="X381" s="142">
        <f t="shared" si="157"/>
        <v>0</v>
      </c>
      <c r="Y381" s="142">
        <f t="shared" si="157"/>
        <v>0</v>
      </c>
      <c r="Z381" s="142">
        <f t="shared" si="157"/>
        <v>0</v>
      </c>
      <c r="AA381" s="142">
        <f t="shared" si="157"/>
        <v>0</v>
      </c>
      <c r="AB381" s="142">
        <f t="shared" si="157"/>
        <v>0</v>
      </c>
      <c r="AC381" s="142">
        <f t="shared" si="157"/>
        <v>0</v>
      </c>
      <c r="AD381" s="142">
        <f t="shared" si="157"/>
        <v>0</v>
      </c>
      <c r="AE381" s="142">
        <f t="shared" si="157"/>
        <v>0</v>
      </c>
      <c r="AF381" s="141"/>
      <c r="AG381" s="141"/>
      <c r="AH381" s="141"/>
      <c r="AI381" s="141"/>
    </row>
    <row r="382" spans="2:35" customFormat="1" ht="14.25" x14ac:dyDescent="0.45">
      <c r="B382" s="14" t="s">
        <v>2796</v>
      </c>
      <c r="C382" s="14" t="s">
        <v>2675</v>
      </c>
      <c r="D382" s="15" t="s">
        <v>2797</v>
      </c>
      <c r="E382" s="16" t="s">
        <v>1398</v>
      </c>
      <c r="F382" s="14" t="s">
        <v>2709</v>
      </c>
      <c r="G382" s="17"/>
      <c r="H382" s="17"/>
      <c r="K382" s="139"/>
      <c r="L382" s="140">
        <f t="shared" ref="L382:AE382" si="158">IF(L$329&lt;=0,0,IF(L$381&lt;=0,L$378,MIN($F$5,IF(L$378-(L$380-L$329)/L$381&lt;=0,L$378/2,L$378-(L$380-L$329)/L$381))))</f>
        <v>0</v>
      </c>
      <c r="M382" s="140">
        <f t="shared" si="158"/>
        <v>0</v>
      </c>
      <c r="N382" s="140">
        <f t="shared" si="158"/>
        <v>0</v>
      </c>
      <c r="O382" s="140">
        <f t="shared" si="158"/>
        <v>0</v>
      </c>
      <c r="P382" s="140">
        <f t="shared" si="158"/>
        <v>0</v>
      </c>
      <c r="Q382" s="140">
        <f t="shared" si="158"/>
        <v>0</v>
      </c>
      <c r="R382" s="140">
        <f t="shared" si="158"/>
        <v>0</v>
      </c>
      <c r="S382" s="140">
        <f t="shared" si="158"/>
        <v>0</v>
      </c>
      <c r="T382" s="140">
        <f t="shared" si="158"/>
        <v>0</v>
      </c>
      <c r="U382" s="140">
        <f t="shared" si="158"/>
        <v>0</v>
      </c>
      <c r="V382" s="140">
        <f t="shared" si="158"/>
        <v>0</v>
      </c>
      <c r="W382" s="140">
        <f t="shared" si="158"/>
        <v>0</v>
      </c>
      <c r="X382" s="140">
        <f t="shared" si="158"/>
        <v>0</v>
      </c>
      <c r="Y382" s="140">
        <f t="shared" si="158"/>
        <v>0</v>
      </c>
      <c r="Z382" s="140">
        <f t="shared" si="158"/>
        <v>0</v>
      </c>
      <c r="AA382" s="140">
        <f t="shared" si="158"/>
        <v>0</v>
      </c>
      <c r="AB382" s="140">
        <f t="shared" si="158"/>
        <v>0</v>
      </c>
      <c r="AC382" s="140">
        <f t="shared" si="158"/>
        <v>0</v>
      </c>
      <c r="AD382" s="140">
        <f t="shared" si="158"/>
        <v>0</v>
      </c>
      <c r="AE382" s="140">
        <f t="shared" si="158"/>
        <v>0</v>
      </c>
      <c r="AF382" s="141"/>
      <c r="AG382" s="141"/>
      <c r="AH382" s="141"/>
      <c r="AI382" s="141"/>
    </row>
    <row r="383" spans="2:35" customFormat="1" ht="14.25" x14ac:dyDescent="0.45">
      <c r="B383" s="14" t="s">
        <v>2798</v>
      </c>
      <c r="C383" s="14" t="s">
        <v>2675</v>
      </c>
      <c r="D383" s="15" t="s">
        <v>2799</v>
      </c>
      <c r="E383" s="16" t="s">
        <v>2068</v>
      </c>
      <c r="F383" s="14" t="s">
        <v>2699</v>
      </c>
      <c r="G383" s="17"/>
      <c r="H383" s="17"/>
      <c r="K383" s="139"/>
      <c r="L383" s="142">
        <f t="shared" ref="L383:AE383" si="159">SUMPRODUCT(L$252:L$259*(1-EXP(-L$262:L$269*L$382)))+SUMPRODUCT(L$308:L$323*(1-EXP(-L$272:L$287*L$382)))</f>
        <v>0</v>
      </c>
      <c r="M383" s="142">
        <f t="shared" si="159"/>
        <v>0</v>
      </c>
      <c r="N383" s="142">
        <f t="shared" si="159"/>
        <v>0</v>
      </c>
      <c r="O383" s="142">
        <f t="shared" si="159"/>
        <v>0</v>
      </c>
      <c r="P383" s="142">
        <f t="shared" si="159"/>
        <v>0</v>
      </c>
      <c r="Q383" s="142">
        <f t="shared" si="159"/>
        <v>0</v>
      </c>
      <c r="R383" s="142">
        <f t="shared" si="159"/>
        <v>0</v>
      </c>
      <c r="S383" s="142">
        <f t="shared" si="159"/>
        <v>0</v>
      </c>
      <c r="T383" s="142">
        <f t="shared" si="159"/>
        <v>0</v>
      </c>
      <c r="U383" s="142">
        <f t="shared" si="159"/>
        <v>0</v>
      </c>
      <c r="V383" s="142">
        <f t="shared" si="159"/>
        <v>0</v>
      </c>
      <c r="W383" s="142">
        <f t="shared" si="159"/>
        <v>0</v>
      </c>
      <c r="X383" s="142">
        <f t="shared" si="159"/>
        <v>0</v>
      </c>
      <c r="Y383" s="142">
        <f t="shared" si="159"/>
        <v>0</v>
      </c>
      <c r="Z383" s="142">
        <f t="shared" si="159"/>
        <v>0</v>
      </c>
      <c r="AA383" s="142">
        <f t="shared" si="159"/>
        <v>0</v>
      </c>
      <c r="AB383" s="142">
        <f t="shared" si="159"/>
        <v>0</v>
      </c>
      <c r="AC383" s="142">
        <f t="shared" si="159"/>
        <v>0</v>
      </c>
      <c r="AD383" s="142">
        <f t="shared" si="159"/>
        <v>0</v>
      </c>
      <c r="AE383" s="142">
        <f t="shared" si="159"/>
        <v>0</v>
      </c>
      <c r="AF383" s="141"/>
      <c r="AG383" s="141"/>
      <c r="AH383" s="141"/>
      <c r="AI383" s="141"/>
    </row>
    <row r="384" spans="2:35" customFormat="1" ht="14.25" x14ac:dyDescent="0.45">
      <c r="B384" s="14" t="s">
        <v>2800</v>
      </c>
      <c r="C384" s="14" t="s">
        <v>2675</v>
      </c>
      <c r="D384" s="15" t="s">
        <v>2801</v>
      </c>
      <c r="E384" s="16" t="s">
        <v>1854</v>
      </c>
      <c r="F384" s="14" t="s">
        <v>2702</v>
      </c>
      <c r="G384" s="17"/>
      <c r="H384" s="17"/>
      <c r="K384" s="139"/>
      <c r="L384" s="140">
        <f t="shared" ref="L384:AE384" si="160">IF($F$4="COST",(SUMPRODUCT(L$252:L$259*((1-EXP(-L$262:L$269*L$382))/(L$262:L$269+(L$262:L$269=0))-L$382*EXP(-L$262:L$269*L$382)*(L$262:L$269&lt;&gt;0)))+SUMPRODUCT(L$308:L$323*((1-EXP(-L$272:L$287*L$382))/(L$272:L$287+(L$272:L$287=0))-L$382*EXP(-L$272:L$287*L$382)*(L$272:L$287&lt;&gt;0)))),L$382*L$383)</f>
        <v>0</v>
      </c>
      <c r="M384" s="140">
        <f t="shared" si="160"/>
        <v>0</v>
      </c>
      <c r="N384" s="140">
        <f t="shared" si="160"/>
        <v>0</v>
      </c>
      <c r="O384" s="140">
        <f t="shared" si="160"/>
        <v>0</v>
      </c>
      <c r="P384" s="140">
        <f t="shared" si="160"/>
        <v>0</v>
      </c>
      <c r="Q384" s="140">
        <f t="shared" si="160"/>
        <v>0</v>
      </c>
      <c r="R384" s="140">
        <f t="shared" si="160"/>
        <v>0</v>
      </c>
      <c r="S384" s="140">
        <f t="shared" si="160"/>
        <v>0</v>
      </c>
      <c r="T384" s="140">
        <f t="shared" si="160"/>
        <v>0</v>
      </c>
      <c r="U384" s="140">
        <f t="shared" si="160"/>
        <v>0</v>
      </c>
      <c r="V384" s="140">
        <f t="shared" si="160"/>
        <v>0</v>
      </c>
      <c r="W384" s="140">
        <f t="shared" si="160"/>
        <v>0</v>
      </c>
      <c r="X384" s="140">
        <f t="shared" si="160"/>
        <v>0</v>
      </c>
      <c r="Y384" s="140">
        <f t="shared" si="160"/>
        <v>0</v>
      </c>
      <c r="Z384" s="140">
        <f t="shared" si="160"/>
        <v>0</v>
      </c>
      <c r="AA384" s="140">
        <f t="shared" si="160"/>
        <v>0</v>
      </c>
      <c r="AB384" s="140">
        <f t="shared" si="160"/>
        <v>0</v>
      </c>
      <c r="AC384" s="140">
        <f t="shared" si="160"/>
        <v>0</v>
      </c>
      <c r="AD384" s="140">
        <f t="shared" si="160"/>
        <v>0</v>
      </c>
      <c r="AE384" s="140">
        <f t="shared" si="160"/>
        <v>0</v>
      </c>
      <c r="AF384" s="141"/>
      <c r="AG384" s="141"/>
      <c r="AH384" s="141"/>
      <c r="AI384" s="141"/>
    </row>
    <row r="385" spans="1:35" customFormat="1" ht="14.25" x14ac:dyDescent="0.45">
      <c r="B385" s="14" t="s">
        <v>2802</v>
      </c>
      <c r="C385" s="14" t="s">
        <v>2675</v>
      </c>
      <c r="D385" s="15" t="s">
        <v>2803</v>
      </c>
      <c r="E385" s="16" t="s">
        <v>2705</v>
      </c>
      <c r="F385" s="14" t="s">
        <v>2706</v>
      </c>
      <c r="G385" s="17"/>
      <c r="H385" s="17"/>
      <c r="K385" s="139"/>
      <c r="L385" s="142">
        <f t="shared" ref="L385:AE385" si="161">IF($F$4="COST",L$382*(SUMPRODUCT(L$252:L$259*L$262:L$269*EXP(-L$262:L$269*L$382))+SUMPRODUCT(L$308:L$323*L$272:L$287*EXP(-L$272:L$287*L$382))),L$383+L$382*(SUMPRODUCT(L$252:L$259*L$262:L$269*EXP(-L$262:L$269*L$382))+SUMPRODUCT(L$308:L$323*L$272:L$287*EXP(-L$272:L$287*L$382))))</f>
        <v>0</v>
      </c>
      <c r="M385" s="142">
        <f t="shared" si="161"/>
        <v>0</v>
      </c>
      <c r="N385" s="142">
        <f t="shared" si="161"/>
        <v>0</v>
      </c>
      <c r="O385" s="142">
        <f t="shared" si="161"/>
        <v>0</v>
      </c>
      <c r="P385" s="142">
        <f t="shared" si="161"/>
        <v>0</v>
      </c>
      <c r="Q385" s="142">
        <f t="shared" si="161"/>
        <v>0</v>
      </c>
      <c r="R385" s="142">
        <f t="shared" si="161"/>
        <v>0</v>
      </c>
      <c r="S385" s="142">
        <f t="shared" si="161"/>
        <v>0</v>
      </c>
      <c r="T385" s="142">
        <f t="shared" si="161"/>
        <v>0</v>
      </c>
      <c r="U385" s="142">
        <f t="shared" si="161"/>
        <v>0</v>
      </c>
      <c r="V385" s="142">
        <f t="shared" si="161"/>
        <v>0</v>
      </c>
      <c r="W385" s="142">
        <f t="shared" si="161"/>
        <v>0</v>
      </c>
      <c r="X385" s="142">
        <f t="shared" si="161"/>
        <v>0</v>
      </c>
      <c r="Y385" s="142">
        <f t="shared" si="161"/>
        <v>0</v>
      </c>
      <c r="Z385" s="142">
        <f t="shared" si="161"/>
        <v>0</v>
      </c>
      <c r="AA385" s="142">
        <f t="shared" si="161"/>
        <v>0</v>
      </c>
      <c r="AB385" s="142">
        <f t="shared" si="161"/>
        <v>0</v>
      </c>
      <c r="AC385" s="142">
        <f t="shared" si="161"/>
        <v>0</v>
      </c>
      <c r="AD385" s="142">
        <f t="shared" si="161"/>
        <v>0</v>
      </c>
      <c r="AE385" s="142">
        <f t="shared" si="161"/>
        <v>0</v>
      </c>
      <c r="AF385" s="141"/>
      <c r="AG385" s="141"/>
      <c r="AH385" s="141"/>
      <c r="AI385" s="141"/>
    </row>
    <row r="386" spans="1:35" customFormat="1" ht="14.25" x14ac:dyDescent="0.45">
      <c r="B386" s="14" t="s">
        <v>2804</v>
      </c>
      <c r="C386" s="14" t="s">
        <v>2675</v>
      </c>
      <c r="D386" s="15" t="s">
        <v>2805</v>
      </c>
      <c r="E386" s="16" t="s">
        <v>1398</v>
      </c>
      <c r="F386" s="14" t="s">
        <v>2709</v>
      </c>
      <c r="G386" s="17"/>
      <c r="H386" s="17"/>
      <c r="K386" s="139"/>
      <c r="L386" s="140">
        <f t="shared" ref="L386:AE386" si="162">IF(L$329&lt;=0,0,IF(L$385&lt;=0,L$382,MIN($F$5,IF(L$382-(L$384-L$329)/L$385&lt;=0,L$382/2,L$382-(L$384-L$329)/L$385))))</f>
        <v>0</v>
      </c>
      <c r="M386" s="140">
        <f t="shared" si="162"/>
        <v>0</v>
      </c>
      <c r="N386" s="140">
        <f t="shared" si="162"/>
        <v>0</v>
      </c>
      <c r="O386" s="140">
        <f t="shared" si="162"/>
        <v>0</v>
      </c>
      <c r="P386" s="140">
        <f t="shared" si="162"/>
        <v>0</v>
      </c>
      <c r="Q386" s="140">
        <f t="shared" si="162"/>
        <v>0</v>
      </c>
      <c r="R386" s="140">
        <f t="shared" si="162"/>
        <v>0</v>
      </c>
      <c r="S386" s="140">
        <f t="shared" si="162"/>
        <v>0</v>
      </c>
      <c r="T386" s="140">
        <f t="shared" si="162"/>
        <v>0</v>
      </c>
      <c r="U386" s="140">
        <f t="shared" si="162"/>
        <v>0</v>
      </c>
      <c r="V386" s="140">
        <f t="shared" si="162"/>
        <v>0</v>
      </c>
      <c r="W386" s="140">
        <f t="shared" si="162"/>
        <v>0</v>
      </c>
      <c r="X386" s="140">
        <f t="shared" si="162"/>
        <v>0</v>
      </c>
      <c r="Y386" s="140">
        <f t="shared" si="162"/>
        <v>0</v>
      </c>
      <c r="Z386" s="140">
        <f t="shared" si="162"/>
        <v>0</v>
      </c>
      <c r="AA386" s="140">
        <f t="shared" si="162"/>
        <v>0</v>
      </c>
      <c r="AB386" s="140">
        <f t="shared" si="162"/>
        <v>0</v>
      </c>
      <c r="AC386" s="140">
        <f t="shared" si="162"/>
        <v>0</v>
      </c>
      <c r="AD386" s="140">
        <f t="shared" si="162"/>
        <v>0</v>
      </c>
      <c r="AE386" s="140">
        <f t="shared" si="162"/>
        <v>0</v>
      </c>
      <c r="AF386" s="141"/>
      <c r="AG386" s="141"/>
      <c r="AH386" s="141"/>
      <c r="AI386" s="141"/>
    </row>
    <row r="387" spans="1:35" customFormat="1" ht="14.25" x14ac:dyDescent="0.45">
      <c r="B387" s="14" t="s">
        <v>2806</v>
      </c>
      <c r="C387" s="14" t="s">
        <v>2675</v>
      </c>
      <c r="D387" s="15" t="s">
        <v>2807</v>
      </c>
      <c r="E387" s="16" t="s">
        <v>2068</v>
      </c>
      <c r="F387" s="14" t="s">
        <v>2699</v>
      </c>
      <c r="G387" s="17"/>
      <c r="H387" s="17"/>
      <c r="K387" s="139"/>
      <c r="L387" s="142">
        <f t="shared" ref="L387:AE387" si="163">SUMPRODUCT(L$252:L$259*(1-EXP(-L$262:L$269*L$386)))+SUMPRODUCT(L$308:L$323*(1-EXP(-L$272:L$287*L$386)))</f>
        <v>0</v>
      </c>
      <c r="M387" s="142">
        <f t="shared" si="163"/>
        <v>0</v>
      </c>
      <c r="N387" s="142">
        <f t="shared" si="163"/>
        <v>0</v>
      </c>
      <c r="O387" s="142">
        <f t="shared" si="163"/>
        <v>0</v>
      </c>
      <c r="P387" s="142">
        <f t="shared" si="163"/>
        <v>0</v>
      </c>
      <c r="Q387" s="142">
        <f t="shared" si="163"/>
        <v>0</v>
      </c>
      <c r="R387" s="142">
        <f t="shared" si="163"/>
        <v>0</v>
      </c>
      <c r="S387" s="142">
        <f t="shared" si="163"/>
        <v>0</v>
      </c>
      <c r="T387" s="142">
        <f t="shared" si="163"/>
        <v>0</v>
      </c>
      <c r="U387" s="142">
        <f t="shared" si="163"/>
        <v>0</v>
      </c>
      <c r="V387" s="142">
        <f t="shared" si="163"/>
        <v>0</v>
      </c>
      <c r="W387" s="142">
        <f t="shared" si="163"/>
        <v>0</v>
      </c>
      <c r="X387" s="142">
        <f t="shared" si="163"/>
        <v>0</v>
      </c>
      <c r="Y387" s="142">
        <f t="shared" si="163"/>
        <v>0</v>
      </c>
      <c r="Z387" s="142">
        <f t="shared" si="163"/>
        <v>0</v>
      </c>
      <c r="AA387" s="142">
        <f t="shared" si="163"/>
        <v>0</v>
      </c>
      <c r="AB387" s="142">
        <f t="shared" si="163"/>
        <v>0</v>
      </c>
      <c r="AC387" s="142">
        <f t="shared" si="163"/>
        <v>0</v>
      </c>
      <c r="AD387" s="142">
        <f t="shared" si="163"/>
        <v>0</v>
      </c>
      <c r="AE387" s="142">
        <f t="shared" si="163"/>
        <v>0</v>
      </c>
      <c r="AF387" s="141"/>
      <c r="AG387" s="141"/>
      <c r="AH387" s="141"/>
      <c r="AI387" s="141"/>
    </row>
    <row r="388" spans="1:35" customFormat="1" ht="14.25" x14ac:dyDescent="0.45">
      <c r="B388" s="14" t="s">
        <v>2808</v>
      </c>
      <c r="C388" s="14" t="s">
        <v>2675</v>
      </c>
      <c r="D388" s="15" t="s">
        <v>2809</v>
      </c>
      <c r="E388" s="16" t="s">
        <v>1854</v>
      </c>
      <c r="F388" s="14" t="s">
        <v>2702</v>
      </c>
      <c r="G388" s="17"/>
      <c r="H388" s="17"/>
      <c r="K388" s="139"/>
      <c r="L388" s="140">
        <f t="shared" ref="L388:AE388" si="164">IF($F$4="COST",(SUMPRODUCT(L$252:L$259*((1-EXP(-L$262:L$269*L$386))/(L$262:L$269+(L$262:L$269=0))-L$386*EXP(-L$262:L$269*L$386)*(L$262:L$269&lt;&gt;0)))+SUMPRODUCT(L$308:L$323*((1-EXP(-L$272:L$287*L$386))/(L$272:L$287+(L$272:L$287=0))-L$386*EXP(-L$272:L$287*L$386)*(L$272:L$287&lt;&gt;0)))),L$386*L$387)</f>
        <v>0</v>
      </c>
      <c r="M388" s="140">
        <f t="shared" si="164"/>
        <v>0</v>
      </c>
      <c r="N388" s="140">
        <f t="shared" si="164"/>
        <v>0</v>
      </c>
      <c r="O388" s="140">
        <f t="shared" si="164"/>
        <v>0</v>
      </c>
      <c r="P388" s="140">
        <f t="shared" si="164"/>
        <v>0</v>
      </c>
      <c r="Q388" s="140">
        <f t="shared" si="164"/>
        <v>0</v>
      </c>
      <c r="R388" s="140">
        <f t="shared" si="164"/>
        <v>0</v>
      </c>
      <c r="S388" s="140">
        <f t="shared" si="164"/>
        <v>0</v>
      </c>
      <c r="T388" s="140">
        <f t="shared" si="164"/>
        <v>0</v>
      </c>
      <c r="U388" s="140">
        <f t="shared" si="164"/>
        <v>0</v>
      </c>
      <c r="V388" s="140">
        <f t="shared" si="164"/>
        <v>0</v>
      </c>
      <c r="W388" s="140">
        <f t="shared" si="164"/>
        <v>0</v>
      </c>
      <c r="X388" s="140">
        <f t="shared" si="164"/>
        <v>0</v>
      </c>
      <c r="Y388" s="140">
        <f t="shared" si="164"/>
        <v>0</v>
      </c>
      <c r="Z388" s="140">
        <f t="shared" si="164"/>
        <v>0</v>
      </c>
      <c r="AA388" s="140">
        <f t="shared" si="164"/>
        <v>0</v>
      </c>
      <c r="AB388" s="140">
        <f t="shared" si="164"/>
        <v>0</v>
      </c>
      <c r="AC388" s="140">
        <f t="shared" si="164"/>
        <v>0</v>
      </c>
      <c r="AD388" s="140">
        <f t="shared" si="164"/>
        <v>0</v>
      </c>
      <c r="AE388" s="140">
        <f t="shared" si="164"/>
        <v>0</v>
      </c>
      <c r="AF388" s="141"/>
      <c r="AG388" s="141"/>
      <c r="AH388" s="141"/>
      <c r="AI388" s="141"/>
    </row>
    <row r="389" spans="1:35" customFormat="1" ht="14.25" x14ac:dyDescent="0.45">
      <c r="B389" s="14" t="s">
        <v>2810</v>
      </c>
      <c r="C389" s="14" t="s">
        <v>2675</v>
      </c>
      <c r="D389" s="15" t="s">
        <v>2811</v>
      </c>
      <c r="E389" s="16" t="s">
        <v>2705</v>
      </c>
      <c r="F389" s="14" t="s">
        <v>2706</v>
      </c>
      <c r="G389" s="17"/>
      <c r="H389" s="17"/>
      <c r="K389" s="139"/>
      <c r="L389" s="142">
        <f t="shared" ref="L389:AE389" si="165">IF($F$4="COST",L$386*(SUMPRODUCT(L$252:L$259*L$262:L$269*EXP(-L$262:L$269*L$386))+SUMPRODUCT(L$308:L$323*L$272:L$287*EXP(-L$272:L$287*L$386))),L$387+L$386*(SUMPRODUCT(L$252:L$259*L$262:L$269*EXP(-L$262:L$269*L$386))+SUMPRODUCT(L$308:L$323*L$272:L$287*EXP(-L$272:L$287*L$386))))</f>
        <v>0</v>
      </c>
      <c r="M389" s="142">
        <f t="shared" si="165"/>
        <v>0</v>
      </c>
      <c r="N389" s="142">
        <f t="shared" si="165"/>
        <v>0</v>
      </c>
      <c r="O389" s="142">
        <f t="shared" si="165"/>
        <v>0</v>
      </c>
      <c r="P389" s="142">
        <f t="shared" si="165"/>
        <v>0</v>
      </c>
      <c r="Q389" s="142">
        <f t="shared" si="165"/>
        <v>0</v>
      </c>
      <c r="R389" s="142">
        <f t="shared" si="165"/>
        <v>0</v>
      </c>
      <c r="S389" s="142">
        <f t="shared" si="165"/>
        <v>0</v>
      </c>
      <c r="T389" s="142">
        <f t="shared" si="165"/>
        <v>0</v>
      </c>
      <c r="U389" s="142">
        <f t="shared" si="165"/>
        <v>0</v>
      </c>
      <c r="V389" s="142">
        <f t="shared" si="165"/>
        <v>0</v>
      </c>
      <c r="W389" s="142">
        <f t="shared" si="165"/>
        <v>0</v>
      </c>
      <c r="X389" s="142">
        <f t="shared" si="165"/>
        <v>0</v>
      </c>
      <c r="Y389" s="142">
        <f t="shared" si="165"/>
        <v>0</v>
      </c>
      <c r="Z389" s="142">
        <f t="shared" si="165"/>
        <v>0</v>
      </c>
      <c r="AA389" s="142">
        <f t="shared" si="165"/>
        <v>0</v>
      </c>
      <c r="AB389" s="142">
        <f t="shared" si="165"/>
        <v>0</v>
      </c>
      <c r="AC389" s="142">
        <f t="shared" si="165"/>
        <v>0</v>
      </c>
      <c r="AD389" s="142">
        <f t="shared" si="165"/>
        <v>0</v>
      </c>
      <c r="AE389" s="142">
        <f t="shared" si="165"/>
        <v>0</v>
      </c>
      <c r="AF389" s="141"/>
      <c r="AG389" s="141"/>
      <c r="AH389" s="141"/>
      <c r="AI389" s="141"/>
    </row>
    <row r="390" spans="1:35" customFormat="1" ht="14.25" x14ac:dyDescent="0.45">
      <c r="B390" s="14" t="s">
        <v>2812</v>
      </c>
      <c r="C390" s="14" t="s">
        <v>2675</v>
      </c>
      <c r="D390" s="15" t="s">
        <v>2813</v>
      </c>
      <c r="E390" s="16" t="s">
        <v>1398</v>
      </c>
      <c r="F390" s="14" t="s">
        <v>2709</v>
      </c>
      <c r="G390" s="17"/>
      <c r="H390" s="17"/>
      <c r="K390" s="139"/>
      <c r="L390" s="140">
        <f t="shared" ref="L390:AE390" si="166">IF(L$329&lt;=0,0,IF(L$389&lt;=0,L$386,MIN($F$5,IF(L$386-(L$388-L$329)/L$389&lt;=0,L$386/2,L$386-(L$388-L$329)/L$389))))</f>
        <v>0</v>
      </c>
      <c r="M390" s="140">
        <f t="shared" si="166"/>
        <v>0</v>
      </c>
      <c r="N390" s="140">
        <f t="shared" si="166"/>
        <v>0</v>
      </c>
      <c r="O390" s="140">
        <f t="shared" si="166"/>
        <v>0</v>
      </c>
      <c r="P390" s="140">
        <f t="shared" si="166"/>
        <v>0</v>
      </c>
      <c r="Q390" s="140">
        <f t="shared" si="166"/>
        <v>0</v>
      </c>
      <c r="R390" s="140">
        <f t="shared" si="166"/>
        <v>0</v>
      </c>
      <c r="S390" s="140">
        <f t="shared" si="166"/>
        <v>0</v>
      </c>
      <c r="T390" s="140">
        <f t="shared" si="166"/>
        <v>0</v>
      </c>
      <c r="U390" s="140">
        <f t="shared" si="166"/>
        <v>0</v>
      </c>
      <c r="V390" s="140">
        <f t="shared" si="166"/>
        <v>0</v>
      </c>
      <c r="W390" s="140">
        <f t="shared" si="166"/>
        <v>0</v>
      </c>
      <c r="X390" s="140">
        <f t="shared" si="166"/>
        <v>0</v>
      </c>
      <c r="Y390" s="140">
        <f t="shared" si="166"/>
        <v>0</v>
      </c>
      <c r="Z390" s="140">
        <f t="shared" si="166"/>
        <v>0</v>
      </c>
      <c r="AA390" s="140">
        <f t="shared" si="166"/>
        <v>0</v>
      </c>
      <c r="AB390" s="140">
        <f t="shared" si="166"/>
        <v>0</v>
      </c>
      <c r="AC390" s="140">
        <f t="shared" si="166"/>
        <v>0</v>
      </c>
      <c r="AD390" s="140">
        <f t="shared" si="166"/>
        <v>0</v>
      </c>
      <c r="AE390" s="140">
        <f t="shared" si="166"/>
        <v>0</v>
      </c>
      <c r="AF390" s="141"/>
      <c r="AG390" s="141"/>
      <c r="AH390" s="141"/>
      <c r="AI390" s="141"/>
    </row>
    <row r="391" spans="1:35" customFormat="1" ht="14.25" x14ac:dyDescent="0.45">
      <c r="B391" s="14" t="s">
        <v>2814</v>
      </c>
      <c r="C391" s="14" t="s">
        <v>2675</v>
      </c>
      <c r="D391" s="15" t="s">
        <v>2815</v>
      </c>
      <c r="E391" s="16" t="s">
        <v>2068</v>
      </c>
      <c r="F391" s="14" t="s">
        <v>2699</v>
      </c>
      <c r="G391" s="17"/>
      <c r="H391" s="17"/>
      <c r="K391" s="139"/>
      <c r="L391" s="142">
        <f t="shared" ref="L391:AE391" si="167">SUMPRODUCT(L$252:L$259*(1-EXP(-L$262:L$269*L$390)))+SUMPRODUCT(L$308:L$323*(1-EXP(-L$272:L$287*L$390)))</f>
        <v>0</v>
      </c>
      <c r="M391" s="142">
        <f t="shared" si="167"/>
        <v>0</v>
      </c>
      <c r="N391" s="142">
        <f t="shared" si="167"/>
        <v>0</v>
      </c>
      <c r="O391" s="142">
        <f t="shared" si="167"/>
        <v>0</v>
      </c>
      <c r="P391" s="142">
        <f t="shared" si="167"/>
        <v>0</v>
      </c>
      <c r="Q391" s="142">
        <f t="shared" si="167"/>
        <v>0</v>
      </c>
      <c r="R391" s="142">
        <f t="shared" si="167"/>
        <v>0</v>
      </c>
      <c r="S391" s="142">
        <f t="shared" si="167"/>
        <v>0</v>
      </c>
      <c r="T391" s="142">
        <f t="shared" si="167"/>
        <v>0</v>
      </c>
      <c r="U391" s="142">
        <f t="shared" si="167"/>
        <v>0</v>
      </c>
      <c r="V391" s="142">
        <f t="shared" si="167"/>
        <v>0</v>
      </c>
      <c r="W391" s="142">
        <f t="shared" si="167"/>
        <v>0</v>
      </c>
      <c r="X391" s="142">
        <f t="shared" si="167"/>
        <v>0</v>
      </c>
      <c r="Y391" s="142">
        <f t="shared" si="167"/>
        <v>0</v>
      </c>
      <c r="Z391" s="142">
        <f t="shared" si="167"/>
        <v>0</v>
      </c>
      <c r="AA391" s="142">
        <f t="shared" si="167"/>
        <v>0</v>
      </c>
      <c r="AB391" s="142">
        <f t="shared" si="167"/>
        <v>0</v>
      </c>
      <c r="AC391" s="142">
        <f t="shared" si="167"/>
        <v>0</v>
      </c>
      <c r="AD391" s="142">
        <f t="shared" si="167"/>
        <v>0</v>
      </c>
      <c r="AE391" s="142">
        <f t="shared" si="167"/>
        <v>0</v>
      </c>
      <c r="AF391" s="141"/>
      <c r="AG391" s="141"/>
      <c r="AH391" s="141"/>
      <c r="AI391" s="141"/>
    </row>
    <row r="392" spans="1:35" customFormat="1" ht="14.25" x14ac:dyDescent="0.45">
      <c r="B392" s="14" t="s">
        <v>2816</v>
      </c>
      <c r="C392" s="14" t="s">
        <v>2675</v>
      </c>
      <c r="D392" s="15" t="s">
        <v>2817</v>
      </c>
      <c r="E392" s="16" t="s">
        <v>1854</v>
      </c>
      <c r="F392" s="14" t="s">
        <v>2702</v>
      </c>
      <c r="G392" s="17"/>
      <c r="H392" s="17"/>
      <c r="K392" s="139"/>
      <c r="L392" s="140">
        <f t="shared" ref="L392:AE392" si="168">IF($F$4="COST",(SUMPRODUCT(L$252:L$259*((1-EXP(-L$262:L$269*L$390))/(L$262:L$269+(L$262:L$269=0))-L$390*EXP(-L$262:L$269*L$390)*(L$262:L$269&lt;&gt;0)))+SUMPRODUCT(L$308:L$323*((1-EXP(-L$272:L$287*L$390))/(L$272:L$287+(L$272:L$287=0))-L$390*EXP(-L$272:L$287*L$390)*(L$272:L$287&lt;&gt;0)))),L$390*L$391)</f>
        <v>0</v>
      </c>
      <c r="M392" s="140">
        <f t="shared" si="168"/>
        <v>0</v>
      </c>
      <c r="N392" s="140">
        <f t="shared" si="168"/>
        <v>0</v>
      </c>
      <c r="O392" s="140">
        <f t="shared" si="168"/>
        <v>0</v>
      </c>
      <c r="P392" s="140">
        <f t="shared" si="168"/>
        <v>0</v>
      </c>
      <c r="Q392" s="140">
        <f t="shared" si="168"/>
        <v>0</v>
      </c>
      <c r="R392" s="140">
        <f t="shared" si="168"/>
        <v>0</v>
      </c>
      <c r="S392" s="140">
        <f t="shared" si="168"/>
        <v>0</v>
      </c>
      <c r="T392" s="140">
        <f t="shared" si="168"/>
        <v>0</v>
      </c>
      <c r="U392" s="140">
        <f t="shared" si="168"/>
        <v>0</v>
      </c>
      <c r="V392" s="140">
        <f t="shared" si="168"/>
        <v>0</v>
      </c>
      <c r="W392" s="140">
        <f t="shared" si="168"/>
        <v>0</v>
      </c>
      <c r="X392" s="140">
        <f t="shared" si="168"/>
        <v>0</v>
      </c>
      <c r="Y392" s="140">
        <f t="shared" si="168"/>
        <v>0</v>
      </c>
      <c r="Z392" s="140">
        <f t="shared" si="168"/>
        <v>0</v>
      </c>
      <c r="AA392" s="140">
        <f t="shared" si="168"/>
        <v>0</v>
      </c>
      <c r="AB392" s="140">
        <f t="shared" si="168"/>
        <v>0</v>
      </c>
      <c r="AC392" s="140">
        <f t="shared" si="168"/>
        <v>0</v>
      </c>
      <c r="AD392" s="140">
        <f t="shared" si="168"/>
        <v>0</v>
      </c>
      <c r="AE392" s="140">
        <f t="shared" si="168"/>
        <v>0</v>
      </c>
      <c r="AF392" s="141"/>
      <c r="AG392" s="141"/>
      <c r="AH392" s="141"/>
      <c r="AI392" s="141"/>
    </row>
    <row r="393" spans="1:35" customFormat="1" ht="14.25" x14ac:dyDescent="0.45">
      <c r="B393" s="14" t="s">
        <v>2818</v>
      </c>
      <c r="C393" s="14" t="s">
        <v>2675</v>
      </c>
      <c r="D393" s="15" t="s">
        <v>2819</v>
      </c>
      <c r="E393" s="16" t="s">
        <v>2705</v>
      </c>
      <c r="F393" s="14" t="s">
        <v>2706</v>
      </c>
      <c r="G393" s="17"/>
      <c r="H393" s="17"/>
      <c r="K393" s="139"/>
      <c r="L393" s="142">
        <f t="shared" ref="L393:AE393" si="169">IF($F$4="COST",L$390*(SUMPRODUCT(L$252:L$259*L$262:L$269*EXP(-L$262:L$269*L$390))+SUMPRODUCT(L$308:L$323*L$272:L$287*EXP(-L$272:L$287*L$390))),L$391+L$390*(SUMPRODUCT(L$252:L$259*L$262:L$269*EXP(-L$262:L$269*L$390))+SUMPRODUCT(L$308:L$323*L$272:L$287*EXP(-L$272:L$287*L$390))))</f>
        <v>0</v>
      </c>
      <c r="M393" s="142">
        <f t="shared" si="169"/>
        <v>0</v>
      </c>
      <c r="N393" s="142">
        <f t="shared" si="169"/>
        <v>0</v>
      </c>
      <c r="O393" s="142">
        <f t="shared" si="169"/>
        <v>0</v>
      </c>
      <c r="P393" s="142">
        <f t="shared" si="169"/>
        <v>0</v>
      </c>
      <c r="Q393" s="142">
        <f t="shared" si="169"/>
        <v>0</v>
      </c>
      <c r="R393" s="142">
        <f t="shared" si="169"/>
        <v>0</v>
      </c>
      <c r="S393" s="142">
        <f t="shared" si="169"/>
        <v>0</v>
      </c>
      <c r="T393" s="142">
        <f t="shared" si="169"/>
        <v>0</v>
      </c>
      <c r="U393" s="142">
        <f t="shared" si="169"/>
        <v>0</v>
      </c>
      <c r="V393" s="142">
        <f t="shared" si="169"/>
        <v>0</v>
      </c>
      <c r="W393" s="142">
        <f t="shared" si="169"/>
        <v>0</v>
      </c>
      <c r="X393" s="142">
        <f t="shared" si="169"/>
        <v>0</v>
      </c>
      <c r="Y393" s="142">
        <f t="shared" si="169"/>
        <v>0</v>
      </c>
      <c r="Z393" s="142">
        <f t="shared" si="169"/>
        <v>0</v>
      </c>
      <c r="AA393" s="142">
        <f t="shared" si="169"/>
        <v>0</v>
      </c>
      <c r="AB393" s="142">
        <f t="shared" si="169"/>
        <v>0</v>
      </c>
      <c r="AC393" s="142">
        <f t="shared" si="169"/>
        <v>0</v>
      </c>
      <c r="AD393" s="142">
        <f t="shared" si="169"/>
        <v>0</v>
      </c>
      <c r="AE393" s="142">
        <f t="shared" si="169"/>
        <v>0</v>
      </c>
      <c r="AF393" s="141"/>
      <c r="AG393" s="141"/>
      <c r="AH393" s="141"/>
      <c r="AI393" s="141"/>
    </row>
    <row r="394" spans="1:35" customFormat="1" ht="14.25" x14ac:dyDescent="0.45">
      <c r="B394" s="14" t="s">
        <v>2820</v>
      </c>
      <c r="C394" s="14" t="s">
        <v>2675</v>
      </c>
      <c r="D394" s="15" t="s">
        <v>2821</v>
      </c>
      <c r="E394" s="16" t="s">
        <v>1398</v>
      </c>
      <c r="F394" s="14" t="s">
        <v>2709</v>
      </c>
      <c r="G394" s="17"/>
      <c r="H394" s="17"/>
      <c r="K394" s="139"/>
      <c r="L394" s="140">
        <f t="shared" ref="L394:AE394" si="170">IF(L$329&lt;=0,0,IF(L$393&lt;=0,L$390,MIN($F$5,IF(L$390-(L$392-L$329)/L$393&lt;=0,L$390/2,L$390-(L$392-L$329)/L$393))))</f>
        <v>0</v>
      </c>
      <c r="M394" s="140">
        <f t="shared" si="170"/>
        <v>0</v>
      </c>
      <c r="N394" s="140">
        <f t="shared" si="170"/>
        <v>0</v>
      </c>
      <c r="O394" s="140">
        <f t="shared" si="170"/>
        <v>0</v>
      </c>
      <c r="P394" s="140">
        <f t="shared" si="170"/>
        <v>0</v>
      </c>
      <c r="Q394" s="140">
        <f t="shared" si="170"/>
        <v>0</v>
      </c>
      <c r="R394" s="140">
        <f t="shared" si="170"/>
        <v>0</v>
      </c>
      <c r="S394" s="140">
        <f t="shared" si="170"/>
        <v>0</v>
      </c>
      <c r="T394" s="140">
        <f t="shared" si="170"/>
        <v>0</v>
      </c>
      <c r="U394" s="140">
        <f t="shared" si="170"/>
        <v>0</v>
      </c>
      <c r="V394" s="140">
        <f t="shared" si="170"/>
        <v>0</v>
      </c>
      <c r="W394" s="140">
        <f t="shared" si="170"/>
        <v>0</v>
      </c>
      <c r="X394" s="140">
        <f t="shared" si="170"/>
        <v>0</v>
      </c>
      <c r="Y394" s="140">
        <f t="shared" si="170"/>
        <v>0</v>
      </c>
      <c r="Z394" s="140">
        <f t="shared" si="170"/>
        <v>0</v>
      </c>
      <c r="AA394" s="140">
        <f t="shared" si="170"/>
        <v>0</v>
      </c>
      <c r="AB394" s="140">
        <f t="shared" si="170"/>
        <v>0</v>
      </c>
      <c r="AC394" s="140">
        <f t="shared" si="170"/>
        <v>0</v>
      </c>
      <c r="AD394" s="140">
        <f t="shared" si="170"/>
        <v>0</v>
      </c>
      <c r="AE394" s="140">
        <f t="shared" si="170"/>
        <v>0</v>
      </c>
      <c r="AF394" s="141"/>
      <c r="AG394" s="141"/>
      <c r="AH394" s="141"/>
      <c r="AI394" s="141"/>
    </row>
    <row r="395" spans="1:35" x14ac:dyDescent="0.35"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  <c r="AA395" s="135"/>
      <c r="AB395" s="135"/>
      <c r="AC395" s="135"/>
      <c r="AD395" s="135"/>
      <c r="AE395" s="135"/>
      <c r="AF395" s="135"/>
      <c r="AG395" s="135"/>
      <c r="AH395" s="135"/>
      <c r="AI395" s="135"/>
    </row>
    <row r="396" spans="1:35" customFormat="1" ht="14.25" x14ac:dyDescent="0.45">
      <c r="A396" s="11"/>
      <c r="B396" s="6"/>
      <c r="C396" s="7" t="s">
        <v>2822</v>
      </c>
      <c r="D396" s="6" t="s">
        <v>1488</v>
      </c>
      <c r="E396" s="7" t="s">
        <v>35</v>
      </c>
      <c r="F396" s="7" t="s">
        <v>45</v>
      </c>
      <c r="G396" s="7" t="s">
        <v>37</v>
      </c>
      <c r="H396" s="12" t="s">
        <v>38</v>
      </c>
      <c r="I396" s="6" t="s">
        <v>39</v>
      </c>
      <c r="J396" s="48">
        <v>2</v>
      </c>
      <c r="K396" s="137">
        <v>2021</v>
      </c>
      <c r="L396" s="138">
        <v>2022</v>
      </c>
      <c r="M396" s="137">
        <v>2023</v>
      </c>
      <c r="N396" s="137">
        <v>2024</v>
      </c>
      <c r="O396" s="137">
        <v>2025</v>
      </c>
      <c r="P396" s="137">
        <v>2026</v>
      </c>
      <c r="Q396" s="137">
        <v>2027</v>
      </c>
      <c r="R396" s="137">
        <v>2028</v>
      </c>
      <c r="S396" s="137">
        <v>2029</v>
      </c>
      <c r="T396" s="137">
        <v>2030</v>
      </c>
      <c r="U396" s="137">
        <v>2031</v>
      </c>
      <c r="V396" s="137">
        <v>2032</v>
      </c>
      <c r="W396" s="137">
        <v>2033</v>
      </c>
      <c r="X396" s="137">
        <v>2034</v>
      </c>
      <c r="Y396" s="137">
        <v>2035</v>
      </c>
      <c r="Z396" s="137">
        <v>2036</v>
      </c>
      <c r="AA396" s="137">
        <v>2037</v>
      </c>
      <c r="AB396" s="137">
        <v>2038</v>
      </c>
      <c r="AC396" s="137">
        <v>2039</v>
      </c>
      <c r="AD396" s="137">
        <v>2040</v>
      </c>
      <c r="AE396" s="137">
        <v>2041</v>
      </c>
      <c r="AF396" s="137">
        <v>2042</v>
      </c>
      <c r="AG396" s="137">
        <v>2043</v>
      </c>
      <c r="AH396" s="137">
        <v>2044</v>
      </c>
      <c r="AI396" s="137">
        <v>2045</v>
      </c>
    </row>
    <row r="397" spans="1:35" customFormat="1" ht="14.25" x14ac:dyDescent="0.45">
      <c r="B397" s="14" t="s">
        <v>1793</v>
      </c>
      <c r="C397" s="14" t="s">
        <v>2675</v>
      </c>
      <c r="D397" s="15" t="s">
        <v>2823</v>
      </c>
      <c r="E397" s="16" t="s">
        <v>1398</v>
      </c>
      <c r="F397" s="14" t="s">
        <v>1793</v>
      </c>
      <c r="G397" s="17"/>
      <c r="H397" s="128" t="str">
        <f>Settings!$B$3&amp;".mit.fundsp.cbam.tot.2"</f>
        <v>egy.mit.fundsp.cbam.tot.2</v>
      </c>
      <c r="I397" t="s">
        <v>2867</v>
      </c>
      <c r="K397" s="139"/>
      <c r="L397" s="140">
        <f t="shared" ref="L397:AE397" si="171">L$394</f>
        <v>0</v>
      </c>
      <c r="M397" s="140">
        <f t="shared" si="171"/>
        <v>0</v>
      </c>
      <c r="N397" s="140">
        <f t="shared" si="171"/>
        <v>0</v>
      </c>
      <c r="O397" s="140">
        <f t="shared" si="171"/>
        <v>0</v>
      </c>
      <c r="P397" s="140">
        <f t="shared" si="171"/>
        <v>0</v>
      </c>
      <c r="Q397" s="140">
        <f t="shared" si="171"/>
        <v>0</v>
      </c>
      <c r="R397" s="140">
        <f t="shared" si="171"/>
        <v>0</v>
      </c>
      <c r="S397" s="140">
        <f t="shared" si="171"/>
        <v>0</v>
      </c>
      <c r="T397" s="140">
        <f t="shared" si="171"/>
        <v>0</v>
      </c>
      <c r="U397" s="140">
        <f t="shared" si="171"/>
        <v>0</v>
      </c>
      <c r="V397" s="140">
        <f t="shared" si="171"/>
        <v>0</v>
      </c>
      <c r="W397" s="140">
        <f t="shared" si="171"/>
        <v>0</v>
      </c>
      <c r="X397" s="140">
        <f t="shared" si="171"/>
        <v>0</v>
      </c>
      <c r="Y397" s="140">
        <f t="shared" si="171"/>
        <v>0</v>
      </c>
      <c r="Z397" s="140">
        <f t="shared" si="171"/>
        <v>0</v>
      </c>
      <c r="AA397" s="140">
        <f t="shared" si="171"/>
        <v>0</v>
      </c>
      <c r="AB397" s="140">
        <f t="shared" si="171"/>
        <v>0</v>
      </c>
      <c r="AC397" s="140">
        <f t="shared" si="171"/>
        <v>0</v>
      </c>
      <c r="AD397" s="140">
        <f t="shared" si="171"/>
        <v>0</v>
      </c>
      <c r="AE397" s="140">
        <f t="shared" si="171"/>
        <v>0</v>
      </c>
      <c r="AF397" s="141"/>
      <c r="AG397" s="141"/>
      <c r="AH397" s="141"/>
      <c r="AI397" s="141"/>
    </row>
    <row r="398" spans="1:35" customFormat="1" ht="14.25" x14ac:dyDescent="0.45">
      <c r="B398" s="14" t="s">
        <v>2825</v>
      </c>
      <c r="C398" s="14" t="s">
        <v>2675</v>
      </c>
      <c r="D398" s="15" t="s">
        <v>2826</v>
      </c>
      <c r="E398" s="16" t="s">
        <v>2068</v>
      </c>
      <c r="F398" s="14" t="s">
        <v>2825</v>
      </c>
      <c r="G398" s="17"/>
      <c r="H398" s="128" t="str">
        <f>Settings!$B$3&amp;".mit.abat.cbam.tot.2"</f>
        <v>egy.mit.abat.cbam.tot.2</v>
      </c>
      <c r="I398" t="s">
        <v>2827</v>
      </c>
      <c r="K398" s="139"/>
      <c r="L398" s="142">
        <f t="shared" ref="L398:AE398" si="172">L399+L400</f>
        <v>0</v>
      </c>
      <c r="M398" s="142">
        <f t="shared" si="172"/>
        <v>0</v>
      </c>
      <c r="N398" s="142">
        <f t="shared" si="172"/>
        <v>0</v>
      </c>
      <c r="O398" s="142">
        <f t="shared" si="172"/>
        <v>0</v>
      </c>
      <c r="P398" s="142">
        <f t="shared" si="172"/>
        <v>0</v>
      </c>
      <c r="Q398" s="142">
        <f t="shared" si="172"/>
        <v>0</v>
      </c>
      <c r="R398" s="142">
        <f t="shared" si="172"/>
        <v>0</v>
      </c>
      <c r="S398" s="142">
        <f t="shared" si="172"/>
        <v>0</v>
      </c>
      <c r="T398" s="142">
        <f t="shared" si="172"/>
        <v>0</v>
      </c>
      <c r="U398" s="142">
        <f t="shared" si="172"/>
        <v>0</v>
      </c>
      <c r="V398" s="142">
        <f t="shared" si="172"/>
        <v>0</v>
      </c>
      <c r="W398" s="142">
        <f t="shared" si="172"/>
        <v>0</v>
      </c>
      <c r="X398" s="142">
        <f t="shared" si="172"/>
        <v>0</v>
      </c>
      <c r="Y398" s="142">
        <f t="shared" si="172"/>
        <v>0</v>
      </c>
      <c r="Z398" s="142">
        <f t="shared" si="172"/>
        <v>0</v>
      </c>
      <c r="AA398" s="142">
        <f t="shared" si="172"/>
        <v>0</v>
      </c>
      <c r="AB398" s="142">
        <f t="shared" si="172"/>
        <v>0</v>
      </c>
      <c r="AC398" s="142">
        <f t="shared" si="172"/>
        <v>0</v>
      </c>
      <c r="AD398" s="142">
        <f t="shared" si="172"/>
        <v>0</v>
      </c>
      <c r="AE398" s="142">
        <f t="shared" si="172"/>
        <v>0</v>
      </c>
      <c r="AF398" s="141"/>
      <c r="AG398" s="141"/>
      <c r="AH398" s="141"/>
      <c r="AI398" s="141"/>
    </row>
    <row r="399" spans="1:35" customFormat="1" ht="14.25" x14ac:dyDescent="0.45">
      <c r="B399" s="14" t="s">
        <v>2828</v>
      </c>
      <c r="C399" s="14" t="s">
        <v>2675</v>
      </c>
      <c r="D399" s="15" t="s">
        <v>2829</v>
      </c>
      <c r="E399" s="16" t="s">
        <v>2068</v>
      </c>
      <c r="F399" s="14" t="s">
        <v>2828</v>
      </c>
      <c r="G399" s="17"/>
      <c r="H399" s="128" t="str">
        <f>Settings!$B$3&amp;".mit.abatf.cbam.tot.2"</f>
        <v>egy.mit.abatf.cbam.tot.2</v>
      </c>
      <c r="I399" t="s">
        <v>2830</v>
      </c>
      <c r="K399" s="139"/>
      <c r="L399" s="142">
        <f t="shared" ref="L399:AE399" si="173">SUMPRODUCT(L$252:L$259*(1-EXP(-L$262:L$269*L$397)))</f>
        <v>0</v>
      </c>
      <c r="M399" s="142">
        <f t="shared" si="173"/>
        <v>0</v>
      </c>
      <c r="N399" s="142">
        <f t="shared" si="173"/>
        <v>0</v>
      </c>
      <c r="O399" s="142">
        <f t="shared" si="173"/>
        <v>0</v>
      </c>
      <c r="P399" s="142">
        <f t="shared" si="173"/>
        <v>0</v>
      </c>
      <c r="Q399" s="142">
        <f t="shared" si="173"/>
        <v>0</v>
      </c>
      <c r="R399" s="142">
        <f t="shared" si="173"/>
        <v>0</v>
      </c>
      <c r="S399" s="142">
        <f t="shared" si="173"/>
        <v>0</v>
      </c>
      <c r="T399" s="142">
        <f t="shared" si="173"/>
        <v>0</v>
      </c>
      <c r="U399" s="142">
        <f t="shared" si="173"/>
        <v>0</v>
      </c>
      <c r="V399" s="142">
        <f t="shared" si="173"/>
        <v>0</v>
      </c>
      <c r="W399" s="142">
        <f t="shared" si="173"/>
        <v>0</v>
      </c>
      <c r="X399" s="142">
        <f t="shared" si="173"/>
        <v>0</v>
      </c>
      <c r="Y399" s="142">
        <f t="shared" si="173"/>
        <v>0</v>
      </c>
      <c r="Z399" s="142">
        <f t="shared" si="173"/>
        <v>0</v>
      </c>
      <c r="AA399" s="142">
        <f t="shared" si="173"/>
        <v>0</v>
      </c>
      <c r="AB399" s="142">
        <f t="shared" si="173"/>
        <v>0</v>
      </c>
      <c r="AC399" s="142">
        <f t="shared" si="173"/>
        <v>0</v>
      </c>
      <c r="AD399" s="142">
        <f t="shared" si="173"/>
        <v>0</v>
      </c>
      <c r="AE399" s="142">
        <f t="shared" si="173"/>
        <v>0</v>
      </c>
      <c r="AF399" s="141"/>
      <c r="AG399" s="141"/>
      <c r="AH399" s="141"/>
      <c r="AI399" s="141"/>
    </row>
    <row r="400" spans="1:35" customFormat="1" ht="14.25" x14ac:dyDescent="0.45">
      <c r="B400" s="14" t="s">
        <v>2831</v>
      </c>
      <c r="C400" s="14" t="s">
        <v>2675</v>
      </c>
      <c r="D400" s="15" t="s">
        <v>2832</v>
      </c>
      <c r="E400" s="16" t="s">
        <v>2068</v>
      </c>
      <c r="F400" s="14" t="s">
        <v>2831</v>
      </c>
      <c r="G400" s="17"/>
      <c r="H400" s="128" t="str">
        <f>Settings!$B$3&amp;".mit.abatp.cbam.tot.2"</f>
        <v>egy.mit.abatp.cbam.tot.2</v>
      </c>
      <c r="I400" t="s">
        <v>2833</v>
      </c>
      <c r="K400" s="139"/>
      <c r="L400" s="142">
        <f t="shared" ref="L400:AE400" si="174">SUMPRODUCT(L$308:L$323*(1-EXP(-L$272:L$287*L$397)))</f>
        <v>0</v>
      </c>
      <c r="M400" s="142">
        <f t="shared" si="174"/>
        <v>0</v>
      </c>
      <c r="N400" s="142">
        <f t="shared" si="174"/>
        <v>0</v>
      </c>
      <c r="O400" s="142">
        <f t="shared" si="174"/>
        <v>0</v>
      </c>
      <c r="P400" s="142">
        <f t="shared" si="174"/>
        <v>0</v>
      </c>
      <c r="Q400" s="142">
        <f t="shared" si="174"/>
        <v>0</v>
      </c>
      <c r="R400" s="142">
        <f t="shared" si="174"/>
        <v>0</v>
      </c>
      <c r="S400" s="142">
        <f t="shared" si="174"/>
        <v>0</v>
      </c>
      <c r="T400" s="142">
        <f t="shared" si="174"/>
        <v>0</v>
      </c>
      <c r="U400" s="142">
        <f t="shared" si="174"/>
        <v>0</v>
      </c>
      <c r="V400" s="142">
        <f t="shared" si="174"/>
        <v>0</v>
      </c>
      <c r="W400" s="142">
        <f t="shared" si="174"/>
        <v>0</v>
      </c>
      <c r="X400" s="142">
        <f t="shared" si="174"/>
        <v>0</v>
      </c>
      <c r="Y400" s="142">
        <f t="shared" si="174"/>
        <v>0</v>
      </c>
      <c r="Z400" s="142">
        <f t="shared" si="174"/>
        <v>0</v>
      </c>
      <c r="AA400" s="142">
        <f t="shared" si="174"/>
        <v>0</v>
      </c>
      <c r="AB400" s="142">
        <f t="shared" si="174"/>
        <v>0</v>
      </c>
      <c r="AC400" s="142">
        <f t="shared" si="174"/>
        <v>0</v>
      </c>
      <c r="AD400" s="142">
        <f t="shared" si="174"/>
        <v>0</v>
      </c>
      <c r="AE400" s="142">
        <f t="shared" si="174"/>
        <v>0</v>
      </c>
      <c r="AF400" s="141"/>
      <c r="AG400" s="141"/>
      <c r="AH400" s="141"/>
      <c r="AI400" s="141"/>
    </row>
    <row r="401" spans="1:35" customFormat="1" ht="14.25" x14ac:dyDescent="0.45">
      <c r="B401" s="14" t="s">
        <v>2834</v>
      </c>
      <c r="C401" s="14" t="s">
        <v>2675</v>
      </c>
      <c r="D401" s="15" t="s">
        <v>2835</v>
      </c>
      <c r="E401" s="16" t="s">
        <v>1854</v>
      </c>
      <c r="F401" s="14" t="s">
        <v>2834</v>
      </c>
      <c r="G401" s="17"/>
      <c r="H401" s="128" t="str">
        <f>Settings!$B$3&amp;".mit.outlay.cbam.tot.2"</f>
        <v>egy.mit.outlay.cbam.tot.2</v>
      </c>
      <c r="K401" s="139"/>
      <c r="L401" s="140">
        <f t="shared" ref="L401:AE401" si="175">IF($F$4="COST",(SUMPRODUCT(L$252:L$259*((1-EXP(-L$262:L$269*L$397))/(L$262:L$269+(L$262:L$269=0))-L$397*EXP(-L$262:L$269*L$397)*(L$262:L$269&lt;&gt;0)))+SUMPRODUCT(L$308:L$323*((1-EXP(-L$272:L$287*L$397))/(L$272:L$287+(L$272:L$287=0))-L$397*EXP(-L$272:L$287*L$397)*(L$272:L$287&lt;&gt;0)))),L$397*L$398)</f>
        <v>0</v>
      </c>
      <c r="M401" s="140">
        <f t="shared" si="175"/>
        <v>0</v>
      </c>
      <c r="N401" s="140">
        <f t="shared" si="175"/>
        <v>0</v>
      </c>
      <c r="O401" s="140">
        <f t="shared" si="175"/>
        <v>0</v>
      </c>
      <c r="P401" s="140">
        <f t="shared" si="175"/>
        <v>0</v>
      </c>
      <c r="Q401" s="140">
        <f t="shared" si="175"/>
        <v>0</v>
      </c>
      <c r="R401" s="140">
        <f t="shared" si="175"/>
        <v>0</v>
      </c>
      <c r="S401" s="140">
        <f t="shared" si="175"/>
        <v>0</v>
      </c>
      <c r="T401" s="140">
        <f t="shared" si="175"/>
        <v>0</v>
      </c>
      <c r="U401" s="140">
        <f t="shared" si="175"/>
        <v>0</v>
      </c>
      <c r="V401" s="140">
        <f t="shared" si="175"/>
        <v>0</v>
      </c>
      <c r="W401" s="140">
        <f t="shared" si="175"/>
        <v>0</v>
      </c>
      <c r="X401" s="140">
        <f t="shared" si="175"/>
        <v>0</v>
      </c>
      <c r="Y401" s="140">
        <f t="shared" si="175"/>
        <v>0</v>
      </c>
      <c r="Z401" s="140">
        <f t="shared" si="175"/>
        <v>0</v>
      </c>
      <c r="AA401" s="140">
        <f t="shared" si="175"/>
        <v>0</v>
      </c>
      <c r="AB401" s="140">
        <f t="shared" si="175"/>
        <v>0</v>
      </c>
      <c r="AC401" s="140">
        <f t="shared" si="175"/>
        <v>0</v>
      </c>
      <c r="AD401" s="140">
        <f t="shared" si="175"/>
        <v>0</v>
      </c>
      <c r="AE401" s="140">
        <f t="shared" si="175"/>
        <v>0</v>
      </c>
      <c r="AF401" s="141"/>
      <c r="AG401" s="141"/>
      <c r="AH401" s="141"/>
      <c r="AI401" s="141"/>
    </row>
    <row r="402" spans="1:35" customFormat="1" ht="14.25" x14ac:dyDescent="0.45">
      <c r="B402" s="14" t="s">
        <v>2836</v>
      </c>
      <c r="C402" s="14" t="s">
        <v>2675</v>
      </c>
      <c r="D402" s="15" t="s">
        <v>2837</v>
      </c>
      <c r="E402" s="16" t="s">
        <v>1854</v>
      </c>
      <c r="F402" s="14" t="s">
        <v>2836</v>
      </c>
      <c r="G402" s="17"/>
      <c r="H402" s="17"/>
      <c r="K402" s="139"/>
      <c r="L402" s="142">
        <f t="shared" ref="L402:AE402" si="176">L$401-L$329</f>
        <v>0</v>
      </c>
      <c r="M402" s="142">
        <f t="shared" si="176"/>
        <v>0</v>
      </c>
      <c r="N402" s="142">
        <f t="shared" si="176"/>
        <v>0</v>
      </c>
      <c r="O402" s="142">
        <f t="shared" si="176"/>
        <v>0</v>
      </c>
      <c r="P402" s="142">
        <f t="shared" si="176"/>
        <v>0</v>
      </c>
      <c r="Q402" s="142">
        <f t="shared" si="176"/>
        <v>0</v>
      </c>
      <c r="R402" s="142">
        <f t="shared" si="176"/>
        <v>0</v>
      </c>
      <c r="S402" s="142">
        <f t="shared" si="176"/>
        <v>0</v>
      </c>
      <c r="T402" s="142">
        <f t="shared" si="176"/>
        <v>0</v>
      </c>
      <c r="U402" s="142">
        <f t="shared" si="176"/>
        <v>0</v>
      </c>
      <c r="V402" s="142">
        <f t="shared" si="176"/>
        <v>0</v>
      </c>
      <c r="W402" s="142">
        <f t="shared" si="176"/>
        <v>0</v>
      </c>
      <c r="X402" s="142">
        <f t="shared" si="176"/>
        <v>0</v>
      </c>
      <c r="Y402" s="142">
        <f t="shared" si="176"/>
        <v>0</v>
      </c>
      <c r="Z402" s="142">
        <f t="shared" si="176"/>
        <v>0</v>
      </c>
      <c r="AA402" s="142">
        <f t="shared" si="176"/>
        <v>0</v>
      </c>
      <c r="AB402" s="142">
        <f t="shared" si="176"/>
        <v>0</v>
      </c>
      <c r="AC402" s="142">
        <f t="shared" si="176"/>
        <v>0</v>
      </c>
      <c r="AD402" s="142">
        <f t="shared" si="176"/>
        <v>0</v>
      </c>
      <c r="AE402" s="142">
        <f t="shared" si="176"/>
        <v>0</v>
      </c>
      <c r="AF402" s="141"/>
      <c r="AG402" s="141"/>
      <c r="AH402" s="141"/>
      <c r="AI402" s="141"/>
    </row>
    <row r="403" spans="1:35" customFormat="1" ht="14.25" x14ac:dyDescent="0.45">
      <c r="B403" s="14" t="s">
        <v>2838</v>
      </c>
      <c r="C403" s="14" t="s">
        <v>2675</v>
      </c>
      <c r="D403" s="15" t="s">
        <v>2839</v>
      </c>
      <c r="E403" s="16" t="s">
        <v>1854</v>
      </c>
      <c r="F403" s="14" t="s">
        <v>2838</v>
      </c>
      <c r="G403" s="17"/>
      <c r="H403" s="128" t="str">
        <f>Settings!$B$3&amp;".mit.unspent.cbam.tot.2"</f>
        <v>egy.mit.unspent.cbam.tot.2</v>
      </c>
      <c r="K403" s="139"/>
      <c r="L403" s="140">
        <f t="shared" ref="L403:AE403" si="177">MAX(0,L$329-L$401)</f>
        <v>0</v>
      </c>
      <c r="M403" s="140">
        <f t="shared" si="177"/>
        <v>0</v>
      </c>
      <c r="N403" s="140">
        <f t="shared" si="177"/>
        <v>0</v>
      </c>
      <c r="O403" s="140">
        <f t="shared" si="177"/>
        <v>0</v>
      </c>
      <c r="P403" s="140">
        <f t="shared" si="177"/>
        <v>0</v>
      </c>
      <c r="Q403" s="140">
        <f t="shared" si="177"/>
        <v>0</v>
      </c>
      <c r="R403" s="140">
        <f t="shared" si="177"/>
        <v>0</v>
      </c>
      <c r="S403" s="140">
        <f t="shared" si="177"/>
        <v>0</v>
      </c>
      <c r="T403" s="140">
        <f t="shared" si="177"/>
        <v>0</v>
      </c>
      <c r="U403" s="140">
        <f t="shared" si="177"/>
        <v>0</v>
      </c>
      <c r="V403" s="140">
        <f t="shared" si="177"/>
        <v>0</v>
      </c>
      <c r="W403" s="140">
        <f t="shared" si="177"/>
        <v>0</v>
      </c>
      <c r="X403" s="140">
        <f t="shared" si="177"/>
        <v>0</v>
      </c>
      <c r="Y403" s="140">
        <f t="shared" si="177"/>
        <v>0</v>
      </c>
      <c r="Z403" s="140">
        <f t="shared" si="177"/>
        <v>0</v>
      </c>
      <c r="AA403" s="140">
        <f t="shared" si="177"/>
        <v>0</v>
      </c>
      <c r="AB403" s="140">
        <f t="shared" si="177"/>
        <v>0</v>
      </c>
      <c r="AC403" s="140">
        <f t="shared" si="177"/>
        <v>0</v>
      </c>
      <c r="AD403" s="140">
        <f t="shared" si="177"/>
        <v>0</v>
      </c>
      <c r="AE403" s="140">
        <f t="shared" si="177"/>
        <v>0</v>
      </c>
      <c r="AF403" s="141"/>
      <c r="AG403" s="141"/>
      <c r="AH403" s="141"/>
      <c r="AI403" s="141"/>
    </row>
    <row r="404" spans="1:35" customFormat="1" ht="14.25" x14ac:dyDescent="0.45">
      <c r="B404" s="14" t="s">
        <v>2840</v>
      </c>
      <c r="C404" s="14" t="s">
        <v>2675</v>
      </c>
      <c r="D404" s="15" t="s">
        <v>2841</v>
      </c>
      <c r="E404" s="16" t="s">
        <v>2842</v>
      </c>
      <c r="F404" s="14" t="s">
        <v>2840</v>
      </c>
      <c r="G404" s="17"/>
      <c r="H404" s="17"/>
      <c r="K404" s="139"/>
      <c r="L404" s="144">
        <f t="shared" ref="L404:AE404" si="178">(L$329&gt;0)*(L$397&gt;=$F$5-0.000000001)</f>
        <v>0</v>
      </c>
      <c r="M404" s="144">
        <f t="shared" si="178"/>
        <v>0</v>
      </c>
      <c r="N404" s="144">
        <f t="shared" si="178"/>
        <v>0</v>
      </c>
      <c r="O404" s="144">
        <f t="shared" si="178"/>
        <v>0</v>
      </c>
      <c r="P404" s="144">
        <f t="shared" si="178"/>
        <v>0</v>
      </c>
      <c r="Q404" s="144">
        <f t="shared" si="178"/>
        <v>0</v>
      </c>
      <c r="R404" s="144">
        <f t="shared" si="178"/>
        <v>0</v>
      </c>
      <c r="S404" s="144">
        <f t="shared" si="178"/>
        <v>0</v>
      </c>
      <c r="T404" s="144">
        <f t="shared" si="178"/>
        <v>0</v>
      </c>
      <c r="U404" s="144">
        <f t="shared" si="178"/>
        <v>0</v>
      </c>
      <c r="V404" s="144">
        <f t="shared" si="178"/>
        <v>0</v>
      </c>
      <c r="W404" s="144">
        <f t="shared" si="178"/>
        <v>0</v>
      </c>
      <c r="X404" s="144">
        <f t="shared" si="178"/>
        <v>0</v>
      </c>
      <c r="Y404" s="144">
        <f t="shared" si="178"/>
        <v>0</v>
      </c>
      <c r="Z404" s="144">
        <f t="shared" si="178"/>
        <v>0</v>
      </c>
      <c r="AA404" s="144">
        <f t="shared" si="178"/>
        <v>0</v>
      </c>
      <c r="AB404" s="144">
        <f t="shared" si="178"/>
        <v>0</v>
      </c>
      <c r="AC404" s="144">
        <f t="shared" si="178"/>
        <v>0</v>
      </c>
      <c r="AD404" s="144">
        <f t="shared" si="178"/>
        <v>0</v>
      </c>
      <c r="AE404" s="144">
        <f t="shared" si="178"/>
        <v>0</v>
      </c>
      <c r="AF404" s="141"/>
      <c r="AG404" s="141"/>
      <c r="AH404" s="141"/>
      <c r="AI404" s="141"/>
    </row>
    <row r="405" spans="1:35" customFormat="1" ht="14.25" x14ac:dyDescent="0.45">
      <c r="B405" s="14" t="s">
        <v>2843</v>
      </c>
      <c r="C405" s="14" t="s">
        <v>2675</v>
      </c>
      <c r="D405" s="15" t="s">
        <v>2844</v>
      </c>
      <c r="E405" s="16" t="s">
        <v>1398</v>
      </c>
      <c r="F405" s="14" t="s">
        <v>2843</v>
      </c>
      <c r="G405" s="17"/>
      <c r="H405" s="128" t="str">
        <f>Settings!$B$3&amp;".mit.cpt.cbam.tot.2"</f>
        <v>egy.mit.cpt.cbam.tot.2</v>
      </c>
      <c r="K405" s="139"/>
      <c r="L405" s="140">
        <f t="shared" ref="L405:AE405" si="179">IF(L$398&gt;0,L$401/L$398,0)</f>
        <v>0</v>
      </c>
      <c r="M405" s="140">
        <f t="shared" si="179"/>
        <v>0</v>
      </c>
      <c r="N405" s="140">
        <f t="shared" si="179"/>
        <v>0</v>
      </c>
      <c r="O405" s="140">
        <f t="shared" si="179"/>
        <v>0</v>
      </c>
      <c r="P405" s="140">
        <f t="shared" si="179"/>
        <v>0</v>
      </c>
      <c r="Q405" s="140">
        <f t="shared" si="179"/>
        <v>0</v>
      </c>
      <c r="R405" s="140">
        <f t="shared" si="179"/>
        <v>0</v>
      </c>
      <c r="S405" s="140">
        <f t="shared" si="179"/>
        <v>0</v>
      </c>
      <c r="T405" s="140">
        <f t="shared" si="179"/>
        <v>0</v>
      </c>
      <c r="U405" s="140">
        <f t="shared" si="179"/>
        <v>0</v>
      </c>
      <c r="V405" s="140">
        <f t="shared" si="179"/>
        <v>0</v>
      </c>
      <c r="W405" s="140">
        <f t="shared" si="179"/>
        <v>0</v>
      </c>
      <c r="X405" s="140">
        <f t="shared" si="179"/>
        <v>0</v>
      </c>
      <c r="Y405" s="140">
        <f t="shared" si="179"/>
        <v>0</v>
      </c>
      <c r="Z405" s="140">
        <f t="shared" si="179"/>
        <v>0</v>
      </c>
      <c r="AA405" s="140">
        <f t="shared" si="179"/>
        <v>0</v>
      </c>
      <c r="AB405" s="140">
        <f t="shared" si="179"/>
        <v>0</v>
      </c>
      <c r="AC405" s="140">
        <f t="shared" si="179"/>
        <v>0</v>
      </c>
      <c r="AD405" s="140">
        <f t="shared" si="179"/>
        <v>0</v>
      </c>
      <c r="AE405" s="140">
        <f t="shared" si="179"/>
        <v>0</v>
      </c>
      <c r="AF405" s="141"/>
      <c r="AG405" s="141"/>
      <c r="AH405" s="141"/>
      <c r="AI405" s="141"/>
    </row>
    <row r="406" spans="1:35" customFormat="1" ht="14.25" x14ac:dyDescent="0.45">
      <c r="B406" s="14" t="s">
        <v>2845</v>
      </c>
      <c r="C406" s="14" t="s">
        <v>2675</v>
      </c>
      <c r="D406" s="15" t="s">
        <v>2846</v>
      </c>
      <c r="E406" s="16" t="s">
        <v>1854</v>
      </c>
      <c r="F406" s="14" t="s">
        <v>2845</v>
      </c>
      <c r="G406" s="17"/>
      <c r="H406" s="17"/>
      <c r="I406" t="s">
        <v>2847</v>
      </c>
      <c r="K406" s="139"/>
      <c r="L406" s="143">
        <f>L$218*Mitigation_Industry!L$799</f>
        <v>0</v>
      </c>
      <c r="M406" s="143">
        <f>M$218*Mitigation_Industry!M$799</f>
        <v>0</v>
      </c>
      <c r="N406" s="143">
        <f>N$218*Mitigation_Industry!N$799</f>
        <v>0</v>
      </c>
      <c r="O406" s="143">
        <f>O$218*Mitigation_Industry!O$799</f>
        <v>0</v>
      </c>
      <c r="P406" s="143">
        <f>P$218*Mitigation_Industry!P$799</f>
        <v>0</v>
      </c>
      <c r="Q406" s="143">
        <f>Q$218*Mitigation_Industry!Q$799</f>
        <v>0</v>
      </c>
      <c r="R406" s="143">
        <f>R$218*Mitigation_Industry!R$799</f>
        <v>0</v>
      </c>
      <c r="S406" s="143">
        <f>S$218*Mitigation_Industry!S$799</f>
        <v>0</v>
      </c>
      <c r="T406" s="143">
        <f>T$218*Mitigation_Industry!T$799</f>
        <v>0</v>
      </c>
      <c r="U406" s="143">
        <f>U$218*Mitigation_Industry!U$799</f>
        <v>0</v>
      </c>
      <c r="V406" s="143">
        <f>V$218*Mitigation_Industry!V$799</f>
        <v>0</v>
      </c>
      <c r="W406" s="143">
        <f>W$218*Mitigation_Industry!W$799</f>
        <v>0</v>
      </c>
      <c r="X406" s="143">
        <f>X$218*Mitigation_Industry!X$799</f>
        <v>0</v>
      </c>
      <c r="Y406" s="143">
        <f>Y$218*Mitigation_Industry!Y$799</f>
        <v>0</v>
      </c>
      <c r="Z406" s="143">
        <f>Z$218*Mitigation_Industry!Z$799</f>
        <v>0</v>
      </c>
      <c r="AA406" s="143">
        <f>AA$218*Mitigation_Industry!AA$799</f>
        <v>0</v>
      </c>
      <c r="AB406" s="143">
        <f>AB$218*Mitigation_Industry!AB$799</f>
        <v>0</v>
      </c>
      <c r="AC406" s="143">
        <f>AC$218*Mitigation_Industry!AC$799</f>
        <v>0</v>
      </c>
      <c r="AD406" s="143">
        <f>AD$218*Mitigation_Industry!AD$799</f>
        <v>0</v>
      </c>
      <c r="AE406" s="143">
        <f>AE$218*Mitigation_Industry!AE$799</f>
        <v>0</v>
      </c>
      <c r="AF406" s="141"/>
      <c r="AG406" s="141"/>
      <c r="AH406" s="141"/>
      <c r="AI406" s="141"/>
    </row>
    <row r="407" spans="1:35" customFormat="1" ht="14.25" x14ac:dyDescent="0.45">
      <c r="B407" s="14" t="s">
        <v>2848</v>
      </c>
      <c r="C407" s="14" t="s">
        <v>2675</v>
      </c>
      <c r="D407" s="15" t="s">
        <v>2849</v>
      </c>
      <c r="E407" s="16" t="s">
        <v>1854</v>
      </c>
      <c r="F407" s="14" t="s">
        <v>2848</v>
      </c>
      <c r="G407" s="17"/>
      <c r="H407" s="17"/>
      <c r="I407" t="s">
        <v>2850</v>
      </c>
      <c r="K407" s="139"/>
      <c r="L407" s="143">
        <f t="shared" ref="L407:AE407" si="180">L406-L$329</f>
        <v>0</v>
      </c>
      <c r="M407" s="143">
        <f t="shared" si="180"/>
        <v>0</v>
      </c>
      <c r="N407" s="143">
        <f t="shared" si="180"/>
        <v>0</v>
      </c>
      <c r="O407" s="143">
        <f t="shared" si="180"/>
        <v>0</v>
      </c>
      <c r="P407" s="143">
        <f t="shared" si="180"/>
        <v>0</v>
      </c>
      <c r="Q407" s="143">
        <f t="shared" si="180"/>
        <v>0</v>
      </c>
      <c r="R407" s="143">
        <f t="shared" si="180"/>
        <v>0</v>
      </c>
      <c r="S407" s="143">
        <f t="shared" si="180"/>
        <v>0</v>
      </c>
      <c r="T407" s="143">
        <f t="shared" si="180"/>
        <v>0</v>
      </c>
      <c r="U407" s="143">
        <f t="shared" si="180"/>
        <v>0</v>
      </c>
      <c r="V407" s="143">
        <f t="shared" si="180"/>
        <v>0</v>
      </c>
      <c r="W407" s="143">
        <f t="shared" si="180"/>
        <v>0</v>
      </c>
      <c r="X407" s="143">
        <f t="shared" si="180"/>
        <v>0</v>
      </c>
      <c r="Y407" s="143">
        <f t="shared" si="180"/>
        <v>0</v>
      </c>
      <c r="Z407" s="143">
        <f t="shared" si="180"/>
        <v>0</v>
      </c>
      <c r="AA407" s="143">
        <f t="shared" si="180"/>
        <v>0</v>
      </c>
      <c r="AB407" s="143">
        <f t="shared" si="180"/>
        <v>0</v>
      </c>
      <c r="AC407" s="143">
        <f t="shared" si="180"/>
        <v>0</v>
      </c>
      <c r="AD407" s="143">
        <f t="shared" si="180"/>
        <v>0</v>
      </c>
      <c r="AE407" s="143">
        <f t="shared" si="180"/>
        <v>0</v>
      </c>
      <c r="AF407" s="141"/>
      <c r="AG407" s="141"/>
      <c r="AH407" s="141"/>
      <c r="AI407" s="141"/>
    </row>
    <row r="408" spans="1:35" x14ac:dyDescent="0.35"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  <c r="AA408" s="135"/>
      <c r="AB408" s="135"/>
      <c r="AC408" s="135"/>
      <c r="AD408" s="135"/>
      <c r="AE408" s="135"/>
      <c r="AF408" s="135"/>
      <c r="AG408" s="135"/>
      <c r="AH408" s="135"/>
      <c r="AI408" s="135"/>
    </row>
    <row r="409" spans="1:35" customFormat="1" ht="14.25" x14ac:dyDescent="0.45">
      <c r="A409" s="11"/>
      <c r="B409" s="6"/>
      <c r="C409" s="7" t="s">
        <v>1160</v>
      </c>
      <c r="D409" s="6" t="s">
        <v>1488</v>
      </c>
      <c r="E409" s="7" t="s">
        <v>35</v>
      </c>
      <c r="F409" s="7" t="s">
        <v>45</v>
      </c>
      <c r="G409" s="7" t="s">
        <v>37</v>
      </c>
      <c r="H409" s="12" t="s">
        <v>38</v>
      </c>
      <c r="I409" s="6" t="s">
        <v>2868</v>
      </c>
      <c r="J409" s="48">
        <v>2</v>
      </c>
      <c r="K409" s="137">
        <v>2021</v>
      </c>
      <c r="L409" s="138">
        <v>2022</v>
      </c>
      <c r="M409" s="137">
        <v>2023</v>
      </c>
      <c r="N409" s="137">
        <v>2024</v>
      </c>
      <c r="O409" s="137">
        <v>2025</v>
      </c>
      <c r="P409" s="137">
        <v>2026</v>
      </c>
      <c r="Q409" s="137">
        <v>2027</v>
      </c>
      <c r="R409" s="137">
        <v>2028</v>
      </c>
      <c r="S409" s="137">
        <v>2029</v>
      </c>
      <c r="T409" s="137">
        <v>2030</v>
      </c>
      <c r="U409" s="137">
        <v>2031</v>
      </c>
      <c r="V409" s="137">
        <v>2032</v>
      </c>
      <c r="W409" s="137">
        <v>2033</v>
      </c>
      <c r="X409" s="137">
        <v>2034</v>
      </c>
      <c r="Y409" s="137">
        <v>2035</v>
      </c>
      <c r="Z409" s="137">
        <v>2036</v>
      </c>
      <c r="AA409" s="137">
        <v>2037</v>
      </c>
      <c r="AB409" s="137">
        <v>2038</v>
      </c>
      <c r="AC409" s="137">
        <v>2039</v>
      </c>
      <c r="AD409" s="137">
        <v>2040</v>
      </c>
      <c r="AE409" s="137">
        <v>2041</v>
      </c>
      <c r="AF409" s="137">
        <v>2042</v>
      </c>
      <c r="AG409" s="137">
        <v>2043</v>
      </c>
      <c r="AH409" s="137">
        <v>2044</v>
      </c>
      <c r="AI409" s="137">
        <v>2045</v>
      </c>
    </row>
    <row r="410" spans="1:35" customFormat="1" ht="14.25" x14ac:dyDescent="0.45">
      <c r="B410" s="14" t="s">
        <v>49</v>
      </c>
      <c r="C410" s="14" t="s">
        <v>4</v>
      </c>
      <c r="D410" s="15" t="s">
        <v>2852</v>
      </c>
      <c r="E410" s="16" t="s">
        <v>51</v>
      </c>
      <c r="F410" s="14" t="s">
        <v>2853</v>
      </c>
      <c r="G410" s="17"/>
      <c r="H410" s="128" t="str">
        <f>Settings!$B$3&amp;".mit.shpf.coa.ind.2"</f>
        <v>egy.mit.shpf.coa.ind.2</v>
      </c>
      <c r="K410" s="140"/>
      <c r="L410" s="140">
        <f>L$397*Scenarios!$E$30</f>
        <v>0</v>
      </c>
      <c r="M410" s="140">
        <f>M$397*Scenarios!$E$30</f>
        <v>0</v>
      </c>
      <c r="N410" s="140">
        <f>N$397*Scenarios!$E$30</f>
        <v>0</v>
      </c>
      <c r="O410" s="140">
        <f>O$397*Scenarios!$E$30</f>
        <v>0</v>
      </c>
      <c r="P410" s="140">
        <f>P$397*Scenarios!$E$30</f>
        <v>0</v>
      </c>
      <c r="Q410" s="140">
        <f>Q$397*Scenarios!$E$30</f>
        <v>0</v>
      </c>
      <c r="R410" s="140">
        <f>R$397*Scenarios!$E$30</f>
        <v>0</v>
      </c>
      <c r="S410" s="140">
        <f>S$397*Scenarios!$E$30</f>
        <v>0</v>
      </c>
      <c r="T410" s="140">
        <f>T$397*Scenarios!$E$30</f>
        <v>0</v>
      </c>
      <c r="U410" s="140">
        <f>U$397*Scenarios!$E$30</f>
        <v>0</v>
      </c>
      <c r="V410" s="140">
        <f>V$397*Scenarios!$E$30</f>
        <v>0</v>
      </c>
      <c r="W410" s="140">
        <f>W$397*Scenarios!$E$30</f>
        <v>0</v>
      </c>
      <c r="X410" s="140">
        <f>X$397*Scenarios!$E$30</f>
        <v>0</v>
      </c>
      <c r="Y410" s="140">
        <f>Y$397*Scenarios!$E$30</f>
        <v>0</v>
      </c>
      <c r="Z410" s="140">
        <f>Z$397*Scenarios!$E$30</f>
        <v>0</v>
      </c>
      <c r="AA410" s="140">
        <f>AA$397*Scenarios!$E$30</f>
        <v>0</v>
      </c>
      <c r="AB410" s="140">
        <f>AB$397*Scenarios!$E$30</f>
        <v>0</v>
      </c>
      <c r="AC410" s="140">
        <f>AC$397*Scenarios!$E$30</f>
        <v>0</v>
      </c>
      <c r="AD410" s="140">
        <f>AD$397*Scenarios!$E$30</f>
        <v>0</v>
      </c>
      <c r="AE410" s="140">
        <f>AE$397*Scenarios!$E$30</f>
        <v>0</v>
      </c>
      <c r="AF410" s="141"/>
      <c r="AG410" s="141"/>
      <c r="AH410" s="141"/>
      <c r="AI410" s="141"/>
    </row>
    <row r="411" spans="1:35" customFormat="1" ht="14.25" x14ac:dyDescent="0.45">
      <c r="B411" s="14" t="s">
        <v>53</v>
      </c>
      <c r="C411" s="14" t="s">
        <v>4</v>
      </c>
      <c r="D411" s="15" t="s">
        <v>2854</v>
      </c>
      <c r="E411" s="16" t="s">
        <v>51</v>
      </c>
      <c r="F411" s="14" t="s">
        <v>2853</v>
      </c>
      <c r="G411" s="17"/>
      <c r="H411" s="128" t="str">
        <f>Settings!$B$3&amp;".mit.shpf.nga.ind.2"</f>
        <v>egy.mit.shpf.nga.ind.2</v>
      </c>
      <c r="K411" s="140"/>
      <c r="L411" s="140">
        <f>L$397*Scenarios!$E$31</f>
        <v>0</v>
      </c>
      <c r="M411" s="140">
        <f>M$397*Scenarios!$E$31</f>
        <v>0</v>
      </c>
      <c r="N411" s="140">
        <f>N$397*Scenarios!$E$31</f>
        <v>0</v>
      </c>
      <c r="O411" s="140">
        <f>O$397*Scenarios!$E$31</f>
        <v>0</v>
      </c>
      <c r="P411" s="140">
        <f>P$397*Scenarios!$E$31</f>
        <v>0</v>
      </c>
      <c r="Q411" s="140">
        <f>Q$397*Scenarios!$E$31</f>
        <v>0</v>
      </c>
      <c r="R411" s="140">
        <f>R$397*Scenarios!$E$31</f>
        <v>0</v>
      </c>
      <c r="S411" s="140">
        <f>S$397*Scenarios!$E$31</f>
        <v>0</v>
      </c>
      <c r="T411" s="140">
        <f>T$397*Scenarios!$E$31</f>
        <v>0</v>
      </c>
      <c r="U411" s="140">
        <f>U$397*Scenarios!$E$31</f>
        <v>0</v>
      </c>
      <c r="V411" s="140">
        <f>V$397*Scenarios!$E$31</f>
        <v>0</v>
      </c>
      <c r="W411" s="140">
        <f>W$397*Scenarios!$E$31</f>
        <v>0</v>
      </c>
      <c r="X411" s="140">
        <f>X$397*Scenarios!$E$31</f>
        <v>0</v>
      </c>
      <c r="Y411" s="140">
        <f>Y$397*Scenarios!$E$31</f>
        <v>0</v>
      </c>
      <c r="Z411" s="140">
        <f>Z$397*Scenarios!$E$31</f>
        <v>0</v>
      </c>
      <c r="AA411" s="140">
        <f>AA$397*Scenarios!$E$31</f>
        <v>0</v>
      </c>
      <c r="AB411" s="140">
        <f>AB$397*Scenarios!$E$31</f>
        <v>0</v>
      </c>
      <c r="AC411" s="140">
        <f>AC$397*Scenarios!$E$31</f>
        <v>0</v>
      </c>
      <c r="AD411" s="140">
        <f>AD$397*Scenarios!$E$31</f>
        <v>0</v>
      </c>
      <c r="AE411" s="140">
        <f>AE$397*Scenarios!$E$31</f>
        <v>0</v>
      </c>
      <c r="AF411" s="141"/>
      <c r="AG411" s="141"/>
      <c r="AH411" s="141"/>
      <c r="AI411" s="141"/>
    </row>
    <row r="412" spans="1:35" customFormat="1" ht="14.25" x14ac:dyDescent="0.45">
      <c r="B412" s="14" t="s">
        <v>55</v>
      </c>
      <c r="C412" s="14" t="s">
        <v>4</v>
      </c>
      <c r="D412" s="15" t="s">
        <v>2855</v>
      </c>
      <c r="E412" s="16" t="s">
        <v>57</v>
      </c>
      <c r="F412" s="14" t="s">
        <v>2853</v>
      </c>
      <c r="G412" s="17"/>
      <c r="H412" s="128" t="str">
        <f>Settings!$B$3&amp;".mit.shpf.gso.ind.2"</f>
        <v>egy.mit.shpf.gso.ind.2</v>
      </c>
      <c r="K412" s="140"/>
      <c r="L412" s="140">
        <f>L$397*Scenarios!$E$32</f>
        <v>0</v>
      </c>
      <c r="M412" s="140">
        <f>M$397*Scenarios!$E$32</f>
        <v>0</v>
      </c>
      <c r="N412" s="140">
        <f>N$397*Scenarios!$E$32</f>
        <v>0</v>
      </c>
      <c r="O412" s="140">
        <f>O$397*Scenarios!$E$32</f>
        <v>0</v>
      </c>
      <c r="P412" s="140">
        <f>P$397*Scenarios!$E$32</f>
        <v>0</v>
      </c>
      <c r="Q412" s="140">
        <f>Q$397*Scenarios!$E$32</f>
        <v>0</v>
      </c>
      <c r="R412" s="140">
        <f>R$397*Scenarios!$E$32</f>
        <v>0</v>
      </c>
      <c r="S412" s="140">
        <f>S$397*Scenarios!$E$32</f>
        <v>0</v>
      </c>
      <c r="T412" s="140">
        <f>T$397*Scenarios!$E$32</f>
        <v>0</v>
      </c>
      <c r="U412" s="140">
        <f>U$397*Scenarios!$E$32</f>
        <v>0</v>
      </c>
      <c r="V412" s="140">
        <f>V$397*Scenarios!$E$32</f>
        <v>0</v>
      </c>
      <c r="W412" s="140">
        <f>W$397*Scenarios!$E$32</f>
        <v>0</v>
      </c>
      <c r="X412" s="140">
        <f>X$397*Scenarios!$E$32</f>
        <v>0</v>
      </c>
      <c r="Y412" s="140">
        <f>Y$397*Scenarios!$E$32</f>
        <v>0</v>
      </c>
      <c r="Z412" s="140">
        <f>Z$397*Scenarios!$E$32</f>
        <v>0</v>
      </c>
      <c r="AA412" s="140">
        <f>AA$397*Scenarios!$E$32</f>
        <v>0</v>
      </c>
      <c r="AB412" s="140">
        <f>AB$397*Scenarios!$E$32</f>
        <v>0</v>
      </c>
      <c r="AC412" s="140">
        <f>AC$397*Scenarios!$E$32</f>
        <v>0</v>
      </c>
      <c r="AD412" s="140">
        <f>AD$397*Scenarios!$E$32</f>
        <v>0</v>
      </c>
      <c r="AE412" s="140">
        <f>AE$397*Scenarios!$E$32</f>
        <v>0</v>
      </c>
      <c r="AF412" s="141"/>
      <c r="AG412" s="141"/>
      <c r="AH412" s="141"/>
      <c r="AI412" s="141"/>
    </row>
    <row r="413" spans="1:35" customFormat="1" ht="14.25" x14ac:dyDescent="0.45">
      <c r="B413" s="14" t="s">
        <v>58</v>
      </c>
      <c r="C413" s="14" t="s">
        <v>4</v>
      </c>
      <c r="D413" s="15" t="s">
        <v>2856</v>
      </c>
      <c r="E413" s="16" t="s">
        <v>57</v>
      </c>
      <c r="F413" s="14" t="s">
        <v>2853</v>
      </c>
      <c r="G413" s="17"/>
      <c r="H413" s="128" t="str">
        <f>Settings!$B$3&amp;".mit.shpf.die.ind.2"</f>
        <v>egy.mit.shpf.die.ind.2</v>
      </c>
      <c r="K413" s="140"/>
      <c r="L413" s="140">
        <f>L$397*Scenarios!$E$33</f>
        <v>0</v>
      </c>
      <c r="M413" s="140">
        <f>M$397*Scenarios!$E$33</f>
        <v>0</v>
      </c>
      <c r="N413" s="140">
        <f>N$397*Scenarios!$E$33</f>
        <v>0</v>
      </c>
      <c r="O413" s="140">
        <f>O$397*Scenarios!$E$33</f>
        <v>0</v>
      </c>
      <c r="P413" s="140">
        <f>P$397*Scenarios!$E$33</f>
        <v>0</v>
      </c>
      <c r="Q413" s="140">
        <f>Q$397*Scenarios!$E$33</f>
        <v>0</v>
      </c>
      <c r="R413" s="140">
        <f>R$397*Scenarios!$E$33</f>
        <v>0</v>
      </c>
      <c r="S413" s="140">
        <f>S$397*Scenarios!$E$33</f>
        <v>0</v>
      </c>
      <c r="T413" s="140">
        <f>T$397*Scenarios!$E$33</f>
        <v>0</v>
      </c>
      <c r="U413" s="140">
        <f>U$397*Scenarios!$E$33</f>
        <v>0</v>
      </c>
      <c r="V413" s="140">
        <f>V$397*Scenarios!$E$33</f>
        <v>0</v>
      </c>
      <c r="W413" s="140">
        <f>W$397*Scenarios!$E$33</f>
        <v>0</v>
      </c>
      <c r="X413" s="140">
        <f>X$397*Scenarios!$E$33</f>
        <v>0</v>
      </c>
      <c r="Y413" s="140">
        <f>Y$397*Scenarios!$E$33</f>
        <v>0</v>
      </c>
      <c r="Z413" s="140">
        <f>Z$397*Scenarios!$E$33</f>
        <v>0</v>
      </c>
      <c r="AA413" s="140">
        <f>AA$397*Scenarios!$E$33</f>
        <v>0</v>
      </c>
      <c r="AB413" s="140">
        <f>AB$397*Scenarios!$E$33</f>
        <v>0</v>
      </c>
      <c r="AC413" s="140">
        <f>AC$397*Scenarios!$E$33</f>
        <v>0</v>
      </c>
      <c r="AD413" s="140">
        <f>AD$397*Scenarios!$E$33</f>
        <v>0</v>
      </c>
      <c r="AE413" s="140">
        <f>AE$397*Scenarios!$E$33</f>
        <v>0</v>
      </c>
      <c r="AF413" s="141"/>
      <c r="AG413" s="141"/>
      <c r="AH413" s="141"/>
      <c r="AI413" s="141"/>
    </row>
    <row r="414" spans="1:35" customFormat="1" ht="14.25" x14ac:dyDescent="0.45">
      <c r="B414" s="14" t="s">
        <v>60</v>
      </c>
      <c r="C414" s="14" t="s">
        <v>4</v>
      </c>
      <c r="D414" s="15" t="s">
        <v>2857</v>
      </c>
      <c r="E414" s="16" t="s">
        <v>57</v>
      </c>
      <c r="F414" s="14" t="s">
        <v>2853</v>
      </c>
      <c r="G414" s="17"/>
      <c r="H414" s="128" t="str">
        <f>Settings!$B$3&amp;".mit.shpf.lpg.ind.2"</f>
        <v>egy.mit.shpf.lpg.ind.2</v>
      </c>
      <c r="K414" s="140"/>
      <c r="L414" s="140">
        <f>L$397*Scenarios!$E$34</f>
        <v>0</v>
      </c>
      <c r="M414" s="140">
        <f>M$397*Scenarios!$E$34</f>
        <v>0</v>
      </c>
      <c r="N414" s="140">
        <f>N$397*Scenarios!$E$34</f>
        <v>0</v>
      </c>
      <c r="O414" s="140">
        <f>O$397*Scenarios!$E$34</f>
        <v>0</v>
      </c>
      <c r="P414" s="140">
        <f>P$397*Scenarios!$E$34</f>
        <v>0</v>
      </c>
      <c r="Q414" s="140">
        <f>Q$397*Scenarios!$E$34</f>
        <v>0</v>
      </c>
      <c r="R414" s="140">
        <f>R$397*Scenarios!$E$34</f>
        <v>0</v>
      </c>
      <c r="S414" s="140">
        <f>S$397*Scenarios!$E$34</f>
        <v>0</v>
      </c>
      <c r="T414" s="140">
        <f>T$397*Scenarios!$E$34</f>
        <v>0</v>
      </c>
      <c r="U414" s="140">
        <f>U$397*Scenarios!$E$34</f>
        <v>0</v>
      </c>
      <c r="V414" s="140">
        <f>V$397*Scenarios!$E$34</f>
        <v>0</v>
      </c>
      <c r="W414" s="140">
        <f>W$397*Scenarios!$E$34</f>
        <v>0</v>
      </c>
      <c r="X414" s="140">
        <f>X$397*Scenarios!$E$34</f>
        <v>0</v>
      </c>
      <c r="Y414" s="140">
        <f>Y$397*Scenarios!$E$34</f>
        <v>0</v>
      </c>
      <c r="Z414" s="140">
        <f>Z$397*Scenarios!$E$34</f>
        <v>0</v>
      </c>
      <c r="AA414" s="140">
        <f>AA$397*Scenarios!$E$34</f>
        <v>0</v>
      </c>
      <c r="AB414" s="140">
        <f>AB$397*Scenarios!$E$34</f>
        <v>0</v>
      </c>
      <c r="AC414" s="140">
        <f>AC$397*Scenarios!$E$34</f>
        <v>0</v>
      </c>
      <c r="AD414" s="140">
        <f>AD$397*Scenarios!$E$34</f>
        <v>0</v>
      </c>
      <c r="AE414" s="140">
        <f>AE$397*Scenarios!$E$34</f>
        <v>0</v>
      </c>
      <c r="AF414" s="141"/>
      <c r="AG414" s="141"/>
      <c r="AH414" s="141"/>
      <c r="AI414" s="141"/>
    </row>
    <row r="415" spans="1:35" customFormat="1" ht="14.25" x14ac:dyDescent="0.45">
      <c r="B415" s="14" t="s">
        <v>62</v>
      </c>
      <c r="C415" s="14" t="s">
        <v>4</v>
      </c>
      <c r="D415" s="15" t="s">
        <v>2858</v>
      </c>
      <c r="E415" s="16" t="s">
        <v>57</v>
      </c>
      <c r="F415" s="14" t="s">
        <v>2853</v>
      </c>
      <c r="G415" s="17"/>
      <c r="H415" s="128" t="str">
        <f>Settings!$B$3&amp;".mit.shpf.ker.ind.2"</f>
        <v>egy.mit.shpf.ker.ind.2</v>
      </c>
      <c r="K415" s="140"/>
      <c r="L415" s="140">
        <f>L$397*Scenarios!$E$35</f>
        <v>0</v>
      </c>
      <c r="M415" s="140">
        <f>M$397*Scenarios!$E$35</f>
        <v>0</v>
      </c>
      <c r="N415" s="140">
        <f>N$397*Scenarios!$E$35</f>
        <v>0</v>
      </c>
      <c r="O415" s="140">
        <f>O$397*Scenarios!$E$35</f>
        <v>0</v>
      </c>
      <c r="P415" s="140">
        <f>P$397*Scenarios!$E$35</f>
        <v>0</v>
      </c>
      <c r="Q415" s="140">
        <f>Q$397*Scenarios!$E$35</f>
        <v>0</v>
      </c>
      <c r="R415" s="140">
        <f>R$397*Scenarios!$E$35</f>
        <v>0</v>
      </c>
      <c r="S415" s="140">
        <f>S$397*Scenarios!$E$35</f>
        <v>0</v>
      </c>
      <c r="T415" s="140">
        <f>T$397*Scenarios!$E$35</f>
        <v>0</v>
      </c>
      <c r="U415" s="140">
        <f>U$397*Scenarios!$E$35</f>
        <v>0</v>
      </c>
      <c r="V415" s="140">
        <f>V$397*Scenarios!$E$35</f>
        <v>0</v>
      </c>
      <c r="W415" s="140">
        <f>W$397*Scenarios!$E$35</f>
        <v>0</v>
      </c>
      <c r="X415" s="140">
        <f>X$397*Scenarios!$E$35</f>
        <v>0</v>
      </c>
      <c r="Y415" s="140">
        <f>Y$397*Scenarios!$E$35</f>
        <v>0</v>
      </c>
      <c r="Z415" s="140">
        <f>Z$397*Scenarios!$E$35</f>
        <v>0</v>
      </c>
      <c r="AA415" s="140">
        <f>AA$397*Scenarios!$E$35</f>
        <v>0</v>
      </c>
      <c r="AB415" s="140">
        <f>AB$397*Scenarios!$E$35</f>
        <v>0</v>
      </c>
      <c r="AC415" s="140">
        <f>AC$397*Scenarios!$E$35</f>
        <v>0</v>
      </c>
      <c r="AD415" s="140">
        <f>AD$397*Scenarios!$E$35</f>
        <v>0</v>
      </c>
      <c r="AE415" s="140">
        <f>AE$397*Scenarios!$E$35</f>
        <v>0</v>
      </c>
      <c r="AF415" s="141"/>
      <c r="AG415" s="141"/>
      <c r="AH415" s="141"/>
      <c r="AI415" s="141"/>
    </row>
    <row r="416" spans="1:35" customFormat="1" ht="14.25" x14ac:dyDescent="0.45">
      <c r="B416" s="14" t="s">
        <v>64</v>
      </c>
      <c r="C416" s="14" t="s">
        <v>4</v>
      </c>
      <c r="D416" s="15" t="s">
        <v>2859</v>
      </c>
      <c r="E416" s="16" t="s">
        <v>66</v>
      </c>
      <c r="F416" s="14" t="s">
        <v>2853</v>
      </c>
      <c r="G416" s="17"/>
      <c r="H416" s="128" t="str">
        <f>Settings!$B$3&amp;".mit.shpf.oop.ind.2"</f>
        <v>egy.mit.shpf.oop.ind.2</v>
      </c>
      <c r="K416" s="140"/>
      <c r="L416" s="140">
        <f>L$397*Scenarios!$E$36</f>
        <v>0</v>
      </c>
      <c r="M416" s="140">
        <f>M$397*Scenarios!$E$36</f>
        <v>0</v>
      </c>
      <c r="N416" s="140">
        <f>N$397*Scenarios!$E$36</f>
        <v>0</v>
      </c>
      <c r="O416" s="140">
        <f>O$397*Scenarios!$E$36</f>
        <v>0</v>
      </c>
      <c r="P416" s="140">
        <f>P$397*Scenarios!$E$36</f>
        <v>0</v>
      </c>
      <c r="Q416" s="140">
        <f>Q$397*Scenarios!$E$36</f>
        <v>0</v>
      </c>
      <c r="R416" s="140">
        <f>R$397*Scenarios!$E$36</f>
        <v>0</v>
      </c>
      <c r="S416" s="140">
        <f>S$397*Scenarios!$E$36</f>
        <v>0</v>
      </c>
      <c r="T416" s="140">
        <f>T$397*Scenarios!$E$36</f>
        <v>0</v>
      </c>
      <c r="U416" s="140">
        <f>U$397*Scenarios!$E$36</f>
        <v>0</v>
      </c>
      <c r="V416" s="140">
        <f>V$397*Scenarios!$E$36</f>
        <v>0</v>
      </c>
      <c r="W416" s="140">
        <f>W$397*Scenarios!$E$36</f>
        <v>0</v>
      </c>
      <c r="X416" s="140">
        <f>X$397*Scenarios!$E$36</f>
        <v>0</v>
      </c>
      <c r="Y416" s="140">
        <f>Y$397*Scenarios!$E$36</f>
        <v>0</v>
      </c>
      <c r="Z416" s="140">
        <f>Z$397*Scenarios!$E$36</f>
        <v>0</v>
      </c>
      <c r="AA416" s="140">
        <f>AA$397*Scenarios!$E$36</f>
        <v>0</v>
      </c>
      <c r="AB416" s="140">
        <f>AB$397*Scenarios!$E$36</f>
        <v>0</v>
      </c>
      <c r="AC416" s="140">
        <f>AC$397*Scenarios!$E$36</f>
        <v>0</v>
      </c>
      <c r="AD416" s="140">
        <f>AD$397*Scenarios!$E$36</f>
        <v>0</v>
      </c>
      <c r="AE416" s="140">
        <f>AE$397*Scenarios!$E$36</f>
        <v>0</v>
      </c>
      <c r="AF416" s="141"/>
      <c r="AG416" s="141"/>
      <c r="AH416" s="141"/>
      <c r="AI416" s="141"/>
    </row>
    <row r="417" spans="1:35" customFormat="1" ht="14.25" x14ac:dyDescent="0.45">
      <c r="B417" s="14" t="s">
        <v>67</v>
      </c>
      <c r="C417" s="14" t="s">
        <v>4</v>
      </c>
      <c r="D417" s="15" t="s">
        <v>2860</v>
      </c>
      <c r="E417" s="16" t="s">
        <v>51</v>
      </c>
      <c r="F417" s="14" t="s">
        <v>2853</v>
      </c>
      <c r="G417" s="17"/>
      <c r="H417" s="128" t="str">
        <f>Settings!$B$3&amp;".mit.shpf.bio.ind.2"</f>
        <v>egy.mit.shpf.bio.ind.2</v>
      </c>
      <c r="K417" s="140"/>
      <c r="L417" s="140">
        <f>L$397*Scenarios!$E$37</f>
        <v>0</v>
      </c>
      <c r="M417" s="140">
        <f>M$397*Scenarios!$E$37</f>
        <v>0</v>
      </c>
      <c r="N417" s="140">
        <f>N$397*Scenarios!$E$37</f>
        <v>0</v>
      </c>
      <c r="O417" s="140">
        <f>O$397*Scenarios!$E$37</f>
        <v>0</v>
      </c>
      <c r="P417" s="140">
        <f>P$397*Scenarios!$E$37</f>
        <v>0</v>
      </c>
      <c r="Q417" s="140">
        <f>Q$397*Scenarios!$E$37</f>
        <v>0</v>
      </c>
      <c r="R417" s="140">
        <f>R$397*Scenarios!$E$37</f>
        <v>0</v>
      </c>
      <c r="S417" s="140">
        <f>S$397*Scenarios!$E$37</f>
        <v>0</v>
      </c>
      <c r="T417" s="140">
        <f>T$397*Scenarios!$E$37</f>
        <v>0</v>
      </c>
      <c r="U417" s="140">
        <f>U$397*Scenarios!$E$37</f>
        <v>0</v>
      </c>
      <c r="V417" s="140">
        <f>V$397*Scenarios!$E$37</f>
        <v>0</v>
      </c>
      <c r="W417" s="140">
        <f>W$397*Scenarios!$E$37</f>
        <v>0</v>
      </c>
      <c r="X417" s="140">
        <f>X$397*Scenarios!$E$37</f>
        <v>0</v>
      </c>
      <c r="Y417" s="140">
        <f>Y$397*Scenarios!$E$37</f>
        <v>0</v>
      </c>
      <c r="Z417" s="140">
        <f>Z$397*Scenarios!$E$37</f>
        <v>0</v>
      </c>
      <c r="AA417" s="140">
        <f>AA$397*Scenarios!$E$37</f>
        <v>0</v>
      </c>
      <c r="AB417" s="140">
        <f>AB$397*Scenarios!$E$37</f>
        <v>0</v>
      </c>
      <c r="AC417" s="140">
        <f>AC$397*Scenarios!$E$37</f>
        <v>0</v>
      </c>
      <c r="AD417" s="140">
        <f>AD$397*Scenarios!$E$37</f>
        <v>0</v>
      </c>
      <c r="AE417" s="140">
        <f>AE$397*Scenarios!$E$37</f>
        <v>0</v>
      </c>
      <c r="AF417" s="141"/>
      <c r="AG417" s="141"/>
      <c r="AH417" s="141"/>
      <c r="AI417" s="141"/>
    </row>
    <row r="418" spans="1:35" customFormat="1" ht="14.25" x14ac:dyDescent="0.45">
      <c r="B418" s="14" t="s">
        <v>69</v>
      </c>
      <c r="C418" s="14" t="s">
        <v>4</v>
      </c>
      <c r="D418" s="15" t="s">
        <v>2861</v>
      </c>
      <c r="E418" s="16" t="s">
        <v>71</v>
      </c>
      <c r="F418" s="14" t="s">
        <v>2853</v>
      </c>
      <c r="G418" s="17"/>
      <c r="H418" s="128" t="str">
        <f>Settings!$B$3&amp;".mit.shpf.ren.ind.2"</f>
        <v>egy.mit.shpf.ren.ind.2</v>
      </c>
      <c r="K418" s="140"/>
      <c r="L418" s="140">
        <f>L$397*Scenarios!$E$38</f>
        <v>0</v>
      </c>
      <c r="M418" s="140">
        <f>M$397*Scenarios!$E$38</f>
        <v>0</v>
      </c>
      <c r="N418" s="140">
        <f>N$397*Scenarios!$E$38</f>
        <v>0</v>
      </c>
      <c r="O418" s="140">
        <f>O$397*Scenarios!$E$38</f>
        <v>0</v>
      </c>
      <c r="P418" s="140">
        <f>P$397*Scenarios!$E$38</f>
        <v>0</v>
      </c>
      <c r="Q418" s="140">
        <f>Q$397*Scenarios!$E$38</f>
        <v>0</v>
      </c>
      <c r="R418" s="140">
        <f>R$397*Scenarios!$E$38</f>
        <v>0</v>
      </c>
      <c r="S418" s="140">
        <f>S$397*Scenarios!$E$38</f>
        <v>0</v>
      </c>
      <c r="T418" s="140">
        <f>T$397*Scenarios!$E$38</f>
        <v>0</v>
      </c>
      <c r="U418" s="140">
        <f>U$397*Scenarios!$E$38</f>
        <v>0</v>
      </c>
      <c r="V418" s="140">
        <f>V$397*Scenarios!$E$38</f>
        <v>0</v>
      </c>
      <c r="W418" s="140">
        <f>W$397*Scenarios!$E$38</f>
        <v>0</v>
      </c>
      <c r="X418" s="140">
        <f>X$397*Scenarios!$E$38</f>
        <v>0</v>
      </c>
      <c r="Y418" s="140">
        <f>Y$397*Scenarios!$E$38</f>
        <v>0</v>
      </c>
      <c r="Z418" s="140">
        <f>Z$397*Scenarios!$E$38</f>
        <v>0</v>
      </c>
      <c r="AA418" s="140">
        <f>AA$397*Scenarios!$E$38</f>
        <v>0</v>
      </c>
      <c r="AB418" s="140">
        <f>AB$397*Scenarios!$E$38</f>
        <v>0</v>
      </c>
      <c r="AC418" s="140">
        <f>AC$397*Scenarios!$E$38</f>
        <v>0</v>
      </c>
      <c r="AD418" s="140">
        <f>AD$397*Scenarios!$E$38</f>
        <v>0</v>
      </c>
      <c r="AE418" s="140">
        <f>AE$397*Scenarios!$E$38</f>
        <v>0</v>
      </c>
      <c r="AF418" s="141"/>
      <c r="AG418" s="141"/>
      <c r="AH418" s="141"/>
      <c r="AI418" s="141"/>
    </row>
    <row r="419" spans="1:35" x14ac:dyDescent="0.35"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  <c r="AA419" s="135"/>
      <c r="AB419" s="135"/>
      <c r="AC419" s="135"/>
      <c r="AD419" s="135"/>
      <c r="AE419" s="135"/>
      <c r="AF419" s="135"/>
      <c r="AG419" s="135"/>
      <c r="AH419" s="135"/>
      <c r="AI419" s="135"/>
    </row>
    <row r="420" spans="1:35" x14ac:dyDescent="0.35"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  <c r="AA420" s="135"/>
      <c r="AB420" s="135"/>
      <c r="AC420" s="135"/>
      <c r="AD420" s="135"/>
      <c r="AE420" s="135"/>
      <c r="AF420" s="135"/>
      <c r="AG420" s="135"/>
      <c r="AH420" s="135"/>
      <c r="AI420" s="135"/>
    </row>
    <row r="421" spans="1:35" x14ac:dyDescent="0.35"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  <c r="AA421" s="135"/>
      <c r="AB421" s="135"/>
      <c r="AC421" s="135"/>
      <c r="AD421" s="135"/>
      <c r="AE421" s="135"/>
      <c r="AF421" s="135"/>
      <c r="AG421" s="135"/>
      <c r="AH421" s="135"/>
      <c r="AI421" s="135"/>
    </row>
    <row r="422" spans="1:35" x14ac:dyDescent="0.35"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  <c r="AA422" s="135"/>
      <c r="AB422" s="135"/>
      <c r="AC422" s="135"/>
      <c r="AD422" s="135"/>
      <c r="AE422" s="135"/>
      <c r="AF422" s="135"/>
      <c r="AG422" s="135"/>
      <c r="AH422" s="135"/>
      <c r="AI422" s="135"/>
    </row>
    <row r="425" spans="1:35" ht="13.9" x14ac:dyDescent="0.4">
      <c r="B425" s="124" t="s">
        <v>3670</v>
      </c>
    </row>
    <row r="426" spans="1:35" customFormat="1" ht="14.25" x14ac:dyDescent="0.45">
      <c r="A426" s="11"/>
      <c r="B426" s="6" t="s">
        <v>3671</v>
      </c>
      <c r="C426" s="7" t="s">
        <v>1488</v>
      </c>
      <c r="D426" s="6" t="s">
        <v>34</v>
      </c>
      <c r="E426" s="7" t="s">
        <v>35</v>
      </c>
      <c r="F426" s="7"/>
      <c r="G426" s="7"/>
      <c r="H426" s="12"/>
      <c r="I426" s="6"/>
      <c r="J426" s="48"/>
      <c r="K426" s="137"/>
      <c r="L426" s="138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  <c r="AD426" s="137"/>
      <c r="AE426" s="137"/>
      <c r="AF426" s="137"/>
      <c r="AG426" s="137"/>
      <c r="AH426" s="137"/>
      <c r="AI426" s="137"/>
    </row>
    <row r="427" spans="1:35" customFormat="1" ht="14.25" x14ac:dyDescent="0.45">
      <c r="B427" s="14" t="s">
        <v>1737</v>
      </c>
      <c r="C427" s="14" t="s">
        <v>2675</v>
      </c>
      <c r="D427" s="15" t="s">
        <v>3672</v>
      </c>
      <c r="E427" s="16" t="s">
        <v>1854</v>
      </c>
      <c r="F427" s="14"/>
      <c r="G427" s="17"/>
      <c r="H427" s="128"/>
      <c r="K427" s="139"/>
      <c r="L427" s="166">
        <v>0</v>
      </c>
      <c r="M427" s="166">
        <v>0</v>
      </c>
      <c r="N427" s="166">
        <v>0</v>
      </c>
      <c r="O427" s="166">
        <v>0</v>
      </c>
      <c r="P427" s="166">
        <v>0</v>
      </c>
      <c r="Q427" s="166">
        <v>313.18092912945133</v>
      </c>
      <c r="R427" s="166">
        <v>646.88764494852489</v>
      </c>
      <c r="S427" s="166">
        <v>1002.1648959865571</v>
      </c>
      <c r="T427" s="166">
        <v>1380.1062236958546</v>
      </c>
      <c r="U427" s="166">
        <v>1781.8561629939895</v>
      </c>
      <c r="V427" s="166">
        <v>2208.6125408023772</v>
      </c>
      <c r="W427" s="166">
        <v>2661.6288769403232</v>
      </c>
      <c r="X427" s="166">
        <v>3142.2168919286596</v>
      </c>
      <c r="Y427" s="166">
        <v>3651.7491264608011</v>
      </c>
      <c r="Z427" s="166">
        <v>4191.6616775120128</v>
      </c>
      <c r="AA427" s="166">
        <v>4763.45705628019</v>
      </c>
      <c r="AB427" s="166">
        <v>5368.7071733840539</v>
      </c>
      <c r="AC427" s="166">
        <v>6009.0564569877843</v>
      </c>
      <c r="AD427" s="166">
        <v>6686.2251097751796</v>
      </c>
      <c r="AE427" s="166">
        <v>7402.012510962054</v>
      </c>
      <c r="AF427" s="141"/>
      <c r="AG427" s="141"/>
      <c r="AH427" s="141"/>
      <c r="AI427" s="141"/>
    </row>
    <row r="428" spans="1:35" customFormat="1" ht="14.25" x14ac:dyDescent="0.45">
      <c r="B428" s="14" t="s">
        <v>1741</v>
      </c>
      <c r="C428" s="14" t="s">
        <v>2675</v>
      </c>
      <c r="D428" s="15" t="s">
        <v>3672</v>
      </c>
      <c r="E428" s="16" t="s">
        <v>1854</v>
      </c>
      <c r="F428" s="14"/>
      <c r="G428" s="17"/>
      <c r="H428" s="128"/>
      <c r="K428" s="139"/>
      <c r="L428" s="166">
        <v>0</v>
      </c>
      <c r="M428" s="166">
        <v>0</v>
      </c>
      <c r="N428" s="166">
        <v>0</v>
      </c>
      <c r="O428" s="166">
        <v>0</v>
      </c>
      <c r="P428" s="166">
        <v>0</v>
      </c>
      <c r="Q428" s="166">
        <v>0</v>
      </c>
      <c r="R428" s="166">
        <v>1057.9653697411281</v>
      </c>
      <c r="S428" s="166">
        <v>1093.1620433314142</v>
      </c>
      <c r="T428" s="166">
        <v>1129.5594607976172</v>
      </c>
      <c r="U428" s="166">
        <v>1167.1997052675226</v>
      </c>
      <c r="V428" s="166">
        <v>1206.1263807224127</v>
      </c>
      <c r="W428" s="166">
        <v>1246.3846689558893</v>
      </c>
      <c r="X428" s="166">
        <v>1288.0213887550383</v>
      </c>
      <c r="Y428" s="166">
        <v>1331.0850573946454</v>
      </c>
      <c r="Z428" s="166">
        <v>1375.6259545390431</v>
      </c>
      <c r="AA428" s="166">
        <v>1421.6961886502354</v>
      </c>
      <c r="AB428" s="166">
        <v>1469.3497660051655</v>
      </c>
      <c r="AC428" s="166">
        <v>1518.6426624294395</v>
      </c>
      <c r="AD428" s="166">
        <v>1569.6328978594127</v>
      </c>
      <c r="AE428" s="166">
        <v>1622.380613849411</v>
      </c>
      <c r="AF428" s="141"/>
      <c r="AG428" s="141"/>
      <c r="AH428" s="141"/>
      <c r="AI428" s="141"/>
    </row>
    <row r="429" spans="1:35" customFormat="1" ht="14.25" x14ac:dyDescent="0.45">
      <c r="B429" s="14" t="s">
        <v>1744</v>
      </c>
      <c r="C429" s="14" t="s">
        <v>2675</v>
      </c>
      <c r="D429" s="15" t="s">
        <v>3672</v>
      </c>
      <c r="E429" s="16" t="s">
        <v>1854</v>
      </c>
      <c r="F429" s="14"/>
      <c r="G429" s="17"/>
      <c r="H429" s="128"/>
      <c r="K429" s="139"/>
      <c r="L429" s="166">
        <v>0</v>
      </c>
      <c r="M429" s="166">
        <v>0</v>
      </c>
      <c r="N429" s="166">
        <v>0</v>
      </c>
      <c r="O429" s="166">
        <v>0</v>
      </c>
      <c r="P429" s="166">
        <v>0</v>
      </c>
      <c r="Q429" s="166">
        <v>0</v>
      </c>
      <c r="R429" s="166">
        <v>504.02954432644299</v>
      </c>
      <c r="S429" s="166">
        <v>520.59186271947965</v>
      </c>
      <c r="T429" s="166">
        <v>537.71770413942943</v>
      </c>
      <c r="U429" s="166">
        <v>555.42686035444433</v>
      </c>
      <c r="V429" s="166">
        <v>573.73983914371013</v>
      </c>
      <c r="W429" s="166">
        <v>592.67789094096656</v>
      </c>
      <c r="X429" s="166">
        <v>612.26303649661156</v>
      </c>
      <c r="Y429" s="166">
        <v>632.51809559834771</v>
      </c>
      <c r="Z429" s="166">
        <v>653.46671689193511</v>
      </c>
      <c r="AA429" s="166">
        <v>675.13340884529282</v>
      </c>
      <c r="AB429" s="166">
        <v>697.54357190091923</v>
      </c>
      <c r="AC429" s="166">
        <v>720.72353186342718</v>
      </c>
      <c r="AD429" s="166">
        <v>744.70057457087296</v>
      </c>
      <c r="AE429" s="166">
        <v>769.50298190052069</v>
      </c>
      <c r="AF429" s="141"/>
      <c r="AG429" s="141"/>
      <c r="AH429" s="141"/>
      <c r="AI429" s="141"/>
    </row>
    <row r="430" spans="1:35" customFormat="1" ht="14.25" x14ac:dyDescent="0.45">
      <c r="B430" s="14" t="s">
        <v>1746</v>
      </c>
      <c r="C430" s="14" t="s">
        <v>2675</v>
      </c>
      <c r="D430" s="15" t="s">
        <v>3672</v>
      </c>
      <c r="E430" s="16" t="s">
        <v>1854</v>
      </c>
      <c r="F430" s="14"/>
      <c r="G430" s="17"/>
      <c r="H430" s="128"/>
      <c r="K430" s="139"/>
      <c r="L430" s="166">
        <v>0</v>
      </c>
      <c r="M430" s="166">
        <v>0</v>
      </c>
      <c r="N430" s="166">
        <v>0</v>
      </c>
      <c r="O430" s="166">
        <v>0</v>
      </c>
      <c r="P430" s="166">
        <v>0</v>
      </c>
      <c r="Q430" s="166">
        <v>0</v>
      </c>
      <c r="R430" s="166">
        <v>504.02954432644299</v>
      </c>
      <c r="S430" s="166">
        <v>520.59186271947965</v>
      </c>
      <c r="T430" s="166">
        <v>537.71770413942943</v>
      </c>
      <c r="U430" s="166">
        <v>555.42686035444433</v>
      </c>
      <c r="V430" s="166">
        <v>573.73983914371013</v>
      </c>
      <c r="W430" s="166">
        <v>592.67789094096656</v>
      </c>
      <c r="X430" s="166">
        <v>612.26303649661156</v>
      </c>
      <c r="Y430" s="166">
        <v>632.51809559834771</v>
      </c>
      <c r="Z430" s="166">
        <v>653.46671689193511</v>
      </c>
      <c r="AA430" s="166">
        <v>675.13340884529282</v>
      </c>
      <c r="AB430" s="166">
        <v>697.54357190091923</v>
      </c>
      <c r="AC430" s="166">
        <v>720.72353186342718</v>
      </c>
      <c r="AD430" s="166">
        <v>744.70057457087296</v>
      </c>
      <c r="AE430" s="166">
        <v>769.50298190052069</v>
      </c>
      <c r="AF430" s="141"/>
      <c r="AG430" s="141"/>
      <c r="AH430" s="141"/>
      <c r="AI430" s="141"/>
    </row>
    <row r="431" spans="1:35" customFormat="1" ht="14.25" x14ac:dyDescent="0.45">
      <c r="B431" s="14" t="s">
        <v>1749</v>
      </c>
      <c r="C431" s="14" t="s">
        <v>2675</v>
      </c>
      <c r="D431" s="15" t="s">
        <v>3672</v>
      </c>
      <c r="E431" s="16" t="s">
        <v>1854</v>
      </c>
      <c r="F431" s="14"/>
      <c r="G431" s="17"/>
      <c r="H431" s="128"/>
      <c r="K431" s="139"/>
      <c r="L431" s="166">
        <v>0</v>
      </c>
      <c r="M431" s="166">
        <v>0</v>
      </c>
      <c r="N431" s="166">
        <v>0</v>
      </c>
      <c r="O431" s="166">
        <v>0</v>
      </c>
      <c r="P431" s="166">
        <v>0</v>
      </c>
      <c r="Q431" s="166">
        <v>0</v>
      </c>
      <c r="R431" s="166">
        <v>284.83707043323085</v>
      </c>
      <c r="S431" s="166">
        <v>708.4833424775004</v>
      </c>
      <c r="T431" s="166">
        <v>1129.5594607976172</v>
      </c>
      <c r="U431" s="166">
        <v>1549.8255604732622</v>
      </c>
      <c r="V431" s="166">
        <v>1970.8501189293936</v>
      </c>
      <c r="W431" s="166">
        <v>2394.0512219885131</v>
      </c>
      <c r="X431" s="166">
        <v>2820.7286212640565</v>
      </c>
      <c r="Y431" s="166">
        <v>3252.0889937031375</v>
      </c>
      <c r="Z431" s="166">
        <v>3689.2661154735397</v>
      </c>
      <c r="AA431" s="166">
        <v>4133.3371852990622</v>
      </c>
      <c r="AB431" s="166">
        <v>4585.3362010107467</v>
      </c>
      <c r="AC431" s="166">
        <v>5046.2650594036386</v>
      </c>
      <c r="AD431" s="166">
        <v>5517.1028823420893</v>
      </c>
      <c r="AE431" s="166">
        <v>5998.813950934873</v>
      </c>
      <c r="AF431" s="141"/>
      <c r="AG431" s="141"/>
      <c r="AH431" s="141"/>
      <c r="AI431" s="141"/>
    </row>
    <row r="432" spans="1:35" customFormat="1" ht="14.25" x14ac:dyDescent="0.45">
      <c r="B432" s="14" t="s">
        <v>1752</v>
      </c>
      <c r="C432" s="14" t="s">
        <v>2675</v>
      </c>
      <c r="D432" s="15" t="s">
        <v>3672</v>
      </c>
      <c r="E432" s="16" t="s">
        <v>1854</v>
      </c>
      <c r="F432" s="14"/>
      <c r="G432" s="17"/>
      <c r="H432" s="128"/>
      <c r="K432" s="139"/>
      <c r="L432" s="166">
        <v>0</v>
      </c>
      <c r="M432" s="166">
        <v>0</v>
      </c>
      <c r="N432" s="166">
        <v>0</v>
      </c>
      <c r="O432" s="166">
        <v>0</v>
      </c>
      <c r="P432" s="166">
        <v>0</v>
      </c>
      <c r="Q432" s="166">
        <v>0</v>
      </c>
      <c r="R432" s="166">
        <v>289.62772594427662</v>
      </c>
      <c r="S432" s="166">
        <v>737.75273903408788</v>
      </c>
      <c r="T432" s="166">
        <v>1202.9577954449232</v>
      </c>
      <c r="U432" s="166">
        <v>1686.0143243059147</v>
      </c>
      <c r="V432" s="166">
        <v>2187.7267979966064</v>
      </c>
      <c r="W432" s="166">
        <v>2708.9342957422778</v>
      </c>
      <c r="X432" s="166">
        <v>3250.5121333185052</v>
      </c>
      <c r="Y432" s="166">
        <v>3813.373561967609</v>
      </c>
      <c r="Z432" s="166">
        <v>4398.4715397617456</v>
      </c>
      <c r="AA432" s="166">
        <v>5006.8005787858556</v>
      </c>
      <c r="AB432" s="166">
        <v>5639.3986716585496</v>
      </c>
      <c r="AC432" s="166">
        <v>6297.3493010607763</v>
      </c>
      <c r="AD432" s="166">
        <v>6981.7835361008492</v>
      </c>
      <c r="AE432" s="166">
        <v>7693.8822195106932</v>
      </c>
      <c r="AF432" s="141"/>
      <c r="AG432" s="141"/>
      <c r="AH432" s="141"/>
      <c r="AI432" s="141"/>
    </row>
    <row r="433" spans="2:35" customFormat="1" ht="14.25" x14ac:dyDescent="0.45">
      <c r="B433" s="14" t="s">
        <v>1755</v>
      </c>
      <c r="C433" s="14" t="s">
        <v>2675</v>
      </c>
      <c r="D433" s="15" t="s">
        <v>3672</v>
      </c>
      <c r="E433" s="16" t="s">
        <v>1854</v>
      </c>
      <c r="F433" s="14"/>
      <c r="G433" s="17"/>
      <c r="H433" s="128"/>
      <c r="K433" s="139"/>
      <c r="L433" s="166">
        <v>0</v>
      </c>
      <c r="M433" s="166">
        <v>0</v>
      </c>
      <c r="N433" s="166">
        <v>0</v>
      </c>
      <c r="O433" s="166">
        <v>0</v>
      </c>
      <c r="P433" s="166">
        <v>0</v>
      </c>
      <c r="Q433" s="166">
        <v>0</v>
      </c>
      <c r="R433" s="166">
        <v>256.59970852637645</v>
      </c>
      <c r="S433" s="166">
        <v>603.01651494915359</v>
      </c>
      <c r="T433" s="166">
        <v>924.58405672931167</v>
      </c>
      <c r="U433" s="166">
        <v>1229.8939684901975</v>
      </c>
      <c r="V433" s="166">
        <v>1523.7820184995367</v>
      </c>
      <c r="W433" s="166">
        <v>1809.5338075890486</v>
      </c>
      <c r="X433" s="166">
        <v>2089.5969662499333</v>
      </c>
      <c r="Y433" s="166">
        <v>2365.9014322891198</v>
      </c>
      <c r="Z433" s="166">
        <v>2640.0308088773613</v>
      </c>
      <c r="AA433" s="166">
        <v>2913.3246699521969</v>
      </c>
      <c r="AB433" s="166">
        <v>3186.9444471251309</v>
      </c>
      <c r="AC433" s="166">
        <v>3461.9182857945693</v>
      </c>
      <c r="AD433" s="166">
        <v>3739.1729114652398</v>
      </c>
      <c r="AE433" s="166">
        <v>4019.5570475058698</v>
      </c>
      <c r="AF433" s="141"/>
      <c r="AG433" s="141"/>
      <c r="AH433" s="141"/>
      <c r="AI433" s="14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3E0A-D97F-4310-9A01-1E2CDC6C4E9C}">
  <dimension ref="A1:AI93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33.7304687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31.2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3127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3128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1488</v>
      </c>
      <c r="C5" s="7" t="s">
        <v>33</v>
      </c>
      <c r="D5" s="6" t="s">
        <v>34</v>
      </c>
      <c r="E5" s="7" t="s">
        <v>35</v>
      </c>
      <c r="F5" s="7" t="s">
        <v>36</v>
      </c>
      <c r="G5" s="7" t="s">
        <v>37</v>
      </c>
      <c r="H5" s="12" t="s">
        <v>38</v>
      </c>
      <c r="I5" s="6" t="s">
        <v>39</v>
      </c>
      <c r="J5" s="48"/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35">
      <c r="B6" s="115" t="s">
        <v>3129</v>
      </c>
      <c r="C6" s="115" t="s">
        <v>3130</v>
      </c>
      <c r="D6" s="115" t="s">
        <v>3131</v>
      </c>
      <c r="E6" s="115" t="s">
        <v>1852</v>
      </c>
      <c r="F6" s="115" t="s">
        <v>3132</v>
      </c>
      <c r="H6" s="119" t="str">
        <f>Settings!$B$3&amp;".mit.ghg.ipr.co2.1"</f>
        <v>egy.mit.ghg.ipr.co2.1</v>
      </c>
      <c r="I6" s="115" t="s">
        <v>3133</v>
      </c>
      <c r="L6" s="122">
        <v>39.407980795454698</v>
      </c>
      <c r="M6" s="122">
        <v>43.585000918797398</v>
      </c>
      <c r="N6" s="122">
        <v>50.912804098383539</v>
      </c>
      <c r="O6" s="122">
        <v>56.757414027053628</v>
      </c>
      <c r="P6" s="122">
        <v>55.1773166677362</v>
      </c>
      <c r="Q6" s="122">
        <v>60.177140336361155</v>
      </c>
      <c r="R6" s="122">
        <v>62.592850889257889</v>
      </c>
      <c r="S6" s="122">
        <v>64.932582697226763</v>
      </c>
      <c r="T6" s="122">
        <v>67.146957884204539</v>
      </c>
      <c r="U6" s="122">
        <v>69.397003093875313</v>
      </c>
      <c r="V6" s="122">
        <v>71.660468477644955</v>
      </c>
      <c r="W6" s="122">
        <v>73.966810189848204</v>
      </c>
      <c r="X6" s="122">
        <v>76.315807722191707</v>
      </c>
      <c r="Y6" s="122">
        <v>78.707211855040825</v>
      </c>
      <c r="Z6" s="122">
        <v>81.140744118134904</v>
      </c>
      <c r="AA6" s="122">
        <v>83.616096165537925</v>
      </c>
      <c r="AB6" s="122">
        <v>86.13292906095532</v>
      </c>
      <c r="AC6" s="122">
        <v>88.690872469710754</v>
      </c>
      <c r="AD6" s="122">
        <v>91.289523753836292</v>
      </c>
      <c r="AE6" s="122">
        <v>93.928446966871803</v>
      </c>
    </row>
    <row r="7" spans="1:35" x14ac:dyDescent="0.35">
      <c r="B7" s="115" t="s">
        <v>3134</v>
      </c>
      <c r="C7" s="115" t="s">
        <v>3130</v>
      </c>
      <c r="D7" s="115" t="s">
        <v>3135</v>
      </c>
      <c r="E7" s="115" t="s">
        <v>1852</v>
      </c>
      <c r="F7" s="115" t="s">
        <v>3136</v>
      </c>
      <c r="H7" s="119" t="str">
        <f>Settings!$B$3&amp;".mit.ghg.ipr.ch4.1"</f>
        <v>egy.mit.ghg.ipr.ch4.1</v>
      </c>
      <c r="I7" s="115" t="s">
        <v>3133</v>
      </c>
      <c r="L7" s="122">
        <v>0.1657182072</v>
      </c>
      <c r="M7" s="122">
        <v>0.16588942488057401</v>
      </c>
      <c r="N7" s="122">
        <v>0.19377986951689197</v>
      </c>
      <c r="O7" s="122">
        <v>0.21602511350632642</v>
      </c>
      <c r="P7" s="122">
        <v>0.21001108490321049</v>
      </c>
      <c r="Q7" s="122">
        <v>0.22904097719202224</v>
      </c>
      <c r="R7" s="122">
        <v>0.23823544377112332</v>
      </c>
      <c r="S7" s="122">
        <v>0.24714072668535048</v>
      </c>
      <c r="T7" s="122">
        <v>0.25556888817425227</v>
      </c>
      <c r="U7" s="122">
        <v>0.26413281378900649</v>
      </c>
      <c r="V7" s="122">
        <v>0.27274781809863574</v>
      </c>
      <c r="W7" s="122">
        <v>0.28152601454581</v>
      </c>
      <c r="X7" s="122">
        <v>0.29046656385111685</v>
      </c>
      <c r="Y7" s="122">
        <v>0.29956851745654345</v>
      </c>
      <c r="Z7" s="122">
        <v>0.30883081547289826</v>
      </c>
      <c r="AA7" s="122">
        <v>0.31825228430080271</v>
      </c>
      <c r="AB7" s="122">
        <v>0.32783163391052672</v>
      </c>
      <c r="AC7" s="122">
        <v>0.33756745476656086</v>
      </c>
      <c r="AD7" s="122">
        <v>0.34745821438342783</v>
      </c>
      <c r="AE7" s="122">
        <v>0.35750225349977566</v>
      </c>
    </row>
    <row r="8" spans="1:35" x14ac:dyDescent="0.35">
      <c r="B8" s="115" t="s">
        <v>3137</v>
      </c>
      <c r="C8" s="115" t="s">
        <v>3130</v>
      </c>
      <c r="D8" s="115" t="s">
        <v>3138</v>
      </c>
      <c r="E8" s="115" t="s">
        <v>1852</v>
      </c>
      <c r="F8" s="115" t="s">
        <v>3139</v>
      </c>
      <c r="H8" s="119" t="str">
        <f>Settings!$B$3&amp;".mit.ghg.ipr.n2o.1"</f>
        <v>egy.mit.ghg.ipr.n2o.1</v>
      </c>
      <c r="I8" s="115" t="s">
        <v>3133</v>
      </c>
      <c r="L8" s="122">
        <v>0.92749999999999999</v>
      </c>
      <c r="M8" s="122">
        <v>0.92749999999999999</v>
      </c>
      <c r="N8" s="122">
        <v>1.0834375313936251</v>
      </c>
      <c r="O8" s="122">
        <v>1.2078123299382222</v>
      </c>
      <c r="P8" s="122">
        <v>1.1741874528045189</v>
      </c>
      <c r="Q8" s="122">
        <v>1.2805849830303275</v>
      </c>
      <c r="R8" s="122">
        <v>1.3319919232753465</v>
      </c>
      <c r="S8" s="122">
        <v>1.381782016338192</v>
      </c>
      <c r="T8" s="122">
        <v>1.428904488349799</v>
      </c>
      <c r="U8" s="122">
        <v>1.4767860275944065</v>
      </c>
      <c r="V8" s="122">
        <v>1.5249531515863879</v>
      </c>
      <c r="W8" s="122">
        <v>1.5740326948460954</v>
      </c>
      <c r="X8" s="122">
        <v>1.6240199649004818</v>
      </c>
      <c r="Y8" s="122">
        <v>1.6749096582917917</v>
      </c>
      <c r="Z8" s="122">
        <v>1.7266958491014452</v>
      </c>
      <c r="AA8" s="122">
        <v>1.7793719756488264</v>
      </c>
      <c r="AB8" s="122">
        <v>1.8329308252826433</v>
      </c>
      <c r="AC8" s="122">
        <v>1.8873645171859845</v>
      </c>
      <c r="AD8" s="122">
        <v>1.9426644831196078</v>
      </c>
      <c r="AE8" s="122">
        <v>1.9988214460310123</v>
      </c>
    </row>
    <row r="9" spans="1:35" x14ac:dyDescent="0.35">
      <c r="B9" s="115" t="s">
        <v>3140</v>
      </c>
      <c r="C9" s="115" t="s">
        <v>3130</v>
      </c>
      <c r="D9" s="115" t="s">
        <v>3141</v>
      </c>
      <c r="E9" s="115" t="s">
        <v>1852</v>
      </c>
      <c r="F9" s="115" t="s">
        <v>3142</v>
      </c>
      <c r="H9" s="119" t="str">
        <f>Settings!$B$3&amp;".mit.ghg.ipr.fga.1"</f>
        <v>egy.mit.ghg.ipr.fga.1</v>
      </c>
      <c r="I9" s="115" t="s">
        <v>3133</v>
      </c>
      <c r="L9" s="122">
        <v>11.699150757821901</v>
      </c>
      <c r="M9" s="122">
        <v>12.2250407871263</v>
      </c>
      <c r="N9" s="122">
        <v>14.280396777995145</v>
      </c>
      <c r="O9" s="122">
        <v>15.919735845486592</v>
      </c>
      <c r="P9" s="122">
        <v>15.476538546918793</v>
      </c>
      <c r="Q9" s="122">
        <v>16.878925767037405</v>
      </c>
      <c r="R9" s="122">
        <v>17.556501984004221</v>
      </c>
      <c r="S9" s="122">
        <v>18.212767125231281</v>
      </c>
      <c r="T9" s="122">
        <v>18.833871321815767</v>
      </c>
      <c r="U9" s="122">
        <v>19.46498050803217</v>
      </c>
      <c r="V9" s="122">
        <v>20.099853883127096</v>
      </c>
      <c r="W9" s="122">
        <v>20.746753525351846</v>
      </c>
      <c r="X9" s="122">
        <v>21.405617584922702</v>
      </c>
      <c r="Y9" s="122">
        <v>22.076376158888326</v>
      </c>
      <c r="Z9" s="122">
        <v>22.758951139867214</v>
      </c>
      <c r="AA9" s="122">
        <v>23.453256040729276</v>
      </c>
      <c r="AB9" s="122">
        <v>24.159195794136256</v>
      </c>
      <c r="AC9" s="122">
        <v>24.876666525901445</v>
      </c>
      <c r="AD9" s="122">
        <v>25.60555530117394</v>
      </c>
      <c r="AE9" s="122">
        <v>26.345739842492602</v>
      </c>
    </row>
    <row r="10" spans="1:35" x14ac:dyDescent="0.35">
      <c r="B10" s="115" t="s">
        <v>110</v>
      </c>
      <c r="C10" s="115" t="s">
        <v>3130</v>
      </c>
      <c r="D10" s="115" t="s">
        <v>3143</v>
      </c>
      <c r="E10" s="115" t="s">
        <v>1852</v>
      </c>
      <c r="F10" s="115" t="s">
        <v>3144</v>
      </c>
      <c r="H10" s="119" t="str">
        <f>Settings!$B$3&amp;".mit.ghg.ipr.tot.1"</f>
        <v>egy.mit.ghg.ipr.tot.1</v>
      </c>
      <c r="I10" s="115" t="s">
        <v>3145</v>
      </c>
      <c r="L10" s="121">
        <f t="shared" ref="L10:AE10" si="0">SUM(L6:L9)</f>
        <v>52.200349760476598</v>
      </c>
      <c r="M10" s="121">
        <f t="shared" si="0"/>
        <v>56.903431130804279</v>
      </c>
      <c r="N10" s="121">
        <f t="shared" si="0"/>
        <v>66.470418277289212</v>
      </c>
      <c r="O10" s="121">
        <f t="shared" si="0"/>
        <v>74.100987315984767</v>
      </c>
      <c r="P10" s="121">
        <f t="shared" si="0"/>
        <v>72.038053752362714</v>
      </c>
      <c r="Q10" s="121">
        <f t="shared" si="0"/>
        <v>78.565692063620915</v>
      </c>
      <c r="R10" s="121">
        <f t="shared" si="0"/>
        <v>81.719580240308574</v>
      </c>
      <c r="S10" s="121">
        <f t="shared" si="0"/>
        <v>84.774272565481581</v>
      </c>
      <c r="T10" s="121">
        <f t="shared" si="0"/>
        <v>87.665302582544356</v>
      </c>
      <c r="U10" s="121">
        <f t="shared" si="0"/>
        <v>90.602902443290887</v>
      </c>
      <c r="V10" s="121">
        <f t="shared" si="0"/>
        <v>93.558023330457075</v>
      </c>
      <c r="W10" s="121">
        <f t="shared" si="0"/>
        <v>96.569122424591953</v>
      </c>
      <c r="X10" s="121">
        <f t="shared" si="0"/>
        <v>99.635911835866011</v>
      </c>
      <c r="Y10" s="121">
        <f t="shared" si="0"/>
        <v>102.75806618967749</v>
      </c>
      <c r="Z10" s="121">
        <f t="shared" si="0"/>
        <v>105.93522192257646</v>
      </c>
      <c r="AA10" s="121">
        <f t="shared" si="0"/>
        <v>109.16697646621682</v>
      </c>
      <c r="AB10" s="121">
        <f t="shared" si="0"/>
        <v>112.45288731428474</v>
      </c>
      <c r="AC10" s="121">
        <f t="shared" si="0"/>
        <v>115.79247096756474</v>
      </c>
      <c r="AD10" s="121">
        <f t="shared" si="0"/>
        <v>119.18520175251327</v>
      </c>
      <c r="AE10" s="121">
        <f t="shared" si="0"/>
        <v>122.6305105088952</v>
      </c>
    </row>
    <row r="11" spans="1:35" x14ac:dyDescent="0.35">
      <c r="B11" s="115" t="s">
        <v>110</v>
      </c>
      <c r="C11" s="115" t="s">
        <v>4</v>
      </c>
      <c r="D11" s="115" t="s">
        <v>3146</v>
      </c>
      <c r="E11" s="115" t="s">
        <v>2068</v>
      </c>
      <c r="F11" s="115" t="s">
        <v>3147</v>
      </c>
      <c r="H11" s="119" t="str">
        <f>Settings!$B$3&amp;".mit.co2.ind.1"</f>
        <v>egy.mit.co2.ind.1</v>
      </c>
      <c r="I11" s="115" t="s">
        <v>3148</v>
      </c>
      <c r="L11" s="122">
        <v>59.804205879849356</v>
      </c>
      <c r="M11" s="122">
        <v>48.931828957170424</v>
      </c>
      <c r="N11" s="122">
        <v>57.158576789144817</v>
      </c>
      <c r="O11" s="122">
        <v>63.720179343286866</v>
      </c>
      <c r="P11" s="122">
        <v>61.946242160955606</v>
      </c>
      <c r="Q11" s="122">
        <v>67.559423563084593</v>
      </c>
      <c r="R11" s="122">
        <v>70.271483517026113</v>
      </c>
      <c r="S11" s="122">
        <v>72.898243967174636</v>
      </c>
      <c r="T11" s="122">
        <v>75.384269563412914</v>
      </c>
      <c r="U11" s="122">
        <v>77.910341033518762</v>
      </c>
      <c r="V11" s="122">
        <v>80.451479009297159</v>
      </c>
      <c r="W11" s="122">
        <v>83.040753204531725</v>
      </c>
      <c r="X11" s="122">
        <v>85.677916059881724</v>
      </c>
      <c r="Y11" s="122">
        <v>88.362687782476257</v>
      </c>
      <c r="Z11" s="122">
        <v>91.094755740472323</v>
      </c>
      <c r="AA11" s="122">
        <v>93.873773761327016</v>
      </c>
      <c r="AB11" s="122">
        <v>96.699361329439938</v>
      </c>
      <c r="AC11" s="122">
        <v>99.571102679005023</v>
      </c>
      <c r="AD11" s="122">
        <v>102.4885457780901</v>
      </c>
      <c r="AE11" s="122">
        <v>105.45120120012244</v>
      </c>
    </row>
    <row r="14" spans="1:35" customFormat="1" ht="18" customHeight="1" x14ac:dyDescent="0.45">
      <c r="A14" s="8"/>
      <c r="B14" s="9" t="s">
        <v>3149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6" spans="1:35" customFormat="1" ht="14.25" x14ac:dyDescent="0.45">
      <c r="A16" s="11"/>
      <c r="B16" s="6" t="s">
        <v>1488</v>
      </c>
      <c r="C16" s="7" t="s">
        <v>33</v>
      </c>
      <c r="D16" s="6" t="s">
        <v>34</v>
      </c>
      <c r="E16" s="7" t="s">
        <v>35</v>
      </c>
      <c r="F16" s="7" t="s">
        <v>36</v>
      </c>
      <c r="G16" s="7" t="s">
        <v>37</v>
      </c>
      <c r="H16" s="12" t="s">
        <v>38</v>
      </c>
      <c r="I16" s="6" t="s">
        <v>39</v>
      </c>
      <c r="J16" s="48">
        <v>1</v>
      </c>
      <c r="K16" s="6">
        <v>2021</v>
      </c>
      <c r="L16" s="46">
        <v>2022</v>
      </c>
      <c r="M16" s="6">
        <v>2023</v>
      </c>
      <c r="N16" s="6">
        <v>2024</v>
      </c>
      <c r="O16" s="6">
        <v>2025</v>
      </c>
      <c r="P16" s="6">
        <v>2026</v>
      </c>
      <c r="Q16" s="6">
        <v>2027</v>
      </c>
      <c r="R16" s="6">
        <v>2028</v>
      </c>
      <c r="S16" s="6">
        <v>2029</v>
      </c>
      <c r="T16" s="6">
        <v>2030</v>
      </c>
      <c r="U16" s="6">
        <v>2031</v>
      </c>
      <c r="V16" s="6">
        <v>2032</v>
      </c>
      <c r="W16" s="6">
        <v>2033</v>
      </c>
      <c r="X16" s="6">
        <v>2034</v>
      </c>
      <c r="Y16" s="6">
        <v>2035</v>
      </c>
      <c r="Z16" s="6">
        <v>2036</v>
      </c>
      <c r="AA16" s="6">
        <v>2037</v>
      </c>
      <c r="AB16" s="6">
        <v>2038</v>
      </c>
      <c r="AC16" s="6">
        <v>2039</v>
      </c>
      <c r="AD16" s="6">
        <v>2040</v>
      </c>
      <c r="AE16" s="6">
        <v>2041</v>
      </c>
      <c r="AF16" s="6">
        <v>2042</v>
      </c>
      <c r="AG16" s="6">
        <v>2043</v>
      </c>
      <c r="AH16" s="6">
        <v>2044</v>
      </c>
      <c r="AI16" s="6">
        <v>2045</v>
      </c>
    </row>
    <row r="17" spans="1:35" x14ac:dyDescent="0.35">
      <c r="B17" s="115" t="s">
        <v>110</v>
      </c>
      <c r="C17" s="115" t="s">
        <v>3150</v>
      </c>
      <c r="D17" s="115" t="s">
        <v>3151</v>
      </c>
      <c r="E17" s="115" t="s">
        <v>2068</v>
      </c>
      <c r="F17" s="115" t="s">
        <v>3152</v>
      </c>
      <c r="H17" s="119" t="str">
        <f>Settings!$B$3&amp;".mit.eco2.kern.tot.e.1"</f>
        <v>egy.mit.eco2.kern.tot.e.1</v>
      </c>
      <c r="I17" s="115" t="s">
        <v>3153</v>
      </c>
      <c r="L17" s="121">
        <f>Emissions_Industry!L15+Emissions_Industry!L27+Emissions_Industry!L39+Emissions_Industry!L51</f>
        <v>14.019740964534272</v>
      </c>
      <c r="M17" s="121">
        <f>Emissions_Industry!M15+Emissions_Industry!M27+Emissions_Industry!M39+Emissions_Industry!M51</f>
        <v>11.739301230035998</v>
      </c>
      <c r="N17" s="121">
        <f>Emissions_Industry!N15+Emissions_Industry!N27+Emissions_Industry!N39+Emissions_Industry!N51</f>
        <v>13.303124518863104</v>
      </c>
      <c r="O17" s="121">
        <f>Emissions_Industry!O15+Emissions_Industry!O27+Emissions_Industry!O39+Emissions_Industry!O51</f>
        <v>14.156899598427017</v>
      </c>
      <c r="P17" s="121">
        <f>Emissions_Industry!P15+Emissions_Industry!P27+Emissions_Industry!P39+Emissions_Industry!P51</f>
        <v>14.286244741983563</v>
      </c>
      <c r="Q17" s="121">
        <f>Emissions_Industry!Q15+Emissions_Industry!Q27+Emissions_Industry!Q39+Emissions_Industry!Q51</f>
        <v>14.694127249831887</v>
      </c>
      <c r="R17" s="121">
        <f>Emissions_Industry!R15+Emissions_Industry!R27+Emissions_Industry!R39+Emissions_Industry!R51</f>
        <v>15.27697183467752</v>
      </c>
      <c r="S17" s="121">
        <f>Emissions_Industry!S15+Emissions_Industry!S27+Emissions_Industry!S39+Emissions_Industry!S51</f>
        <v>15.844069878250156</v>
      </c>
      <c r="T17" s="121">
        <f>Emissions_Industry!T15+Emissions_Industry!T27+Emissions_Industry!T39+Emissions_Industry!T51</f>
        <v>16.383896414290213</v>
      </c>
      <c r="U17" s="121">
        <f>Emissions_Industry!U15+Emissions_Industry!U27+Emissions_Industry!U39+Emissions_Industry!U51</f>
        <v>16.932091247027692</v>
      </c>
      <c r="V17" s="121">
        <f>Emissions_Industry!V15+Emissions_Industry!V27+Emissions_Industry!V39+Emissions_Industry!V51</f>
        <v>17.456721897287899</v>
      </c>
      <c r="W17" s="121">
        <f>Emissions_Industry!W15+Emissions_Industry!W27+Emissions_Industry!W39+Emissions_Industry!W51</f>
        <v>17.991034633776298</v>
      </c>
      <c r="X17" s="121">
        <f>Emissions_Industry!X15+Emissions_Industry!X27+Emissions_Industry!X39+Emissions_Industry!X51</f>
        <v>18.534983575594026</v>
      </c>
      <c r="Y17" s="121">
        <f>Emissions_Industry!Y15+Emissions_Industry!Y27+Emissions_Industry!Y39+Emissions_Industry!Y51</f>
        <v>19.08851611045521</v>
      </c>
      <c r="Z17" s="121">
        <f>Emissions_Industry!Z15+Emissions_Industry!Z27+Emissions_Industry!Z39+Emissions_Industry!Z51</f>
        <v>19.651572741430424</v>
      </c>
      <c r="AA17" s="121">
        <f>Emissions_Industry!AA15+Emissions_Industry!AA27+Emissions_Industry!AA39+Emissions_Industry!AA51</f>
        <v>20.224086914529249</v>
      </c>
      <c r="AB17" s="121">
        <f>Emissions_Industry!AB15+Emissions_Industry!AB27+Emissions_Industry!AB39+Emissions_Industry!AB51</f>
        <v>20.80598482616989</v>
      </c>
      <c r="AC17" s="121">
        <f>Emissions_Industry!AC15+Emissions_Industry!AC27+Emissions_Industry!AC39+Emissions_Industry!AC51</f>
        <v>21.397185209616836</v>
      </c>
      <c r="AD17" s="121">
        <f>Emissions_Industry!AD15+Emissions_Industry!AD27+Emissions_Industry!AD39+Emissions_Industry!AD51</f>
        <v>21.997599099500416</v>
      </c>
      <c r="AE17" s="121">
        <f>Emissions_Industry!AE15+Emissions_Industry!AE27+Emissions_Industry!AE39+Emissions_Industry!AE51</f>
        <v>22.607129573562297</v>
      </c>
    </row>
    <row r="18" spans="1:35" x14ac:dyDescent="0.35">
      <c r="B18" s="115" t="s">
        <v>110</v>
      </c>
      <c r="C18" s="115" t="s">
        <v>4</v>
      </c>
      <c r="D18" s="115" t="s">
        <v>3154</v>
      </c>
      <c r="E18" s="115" t="s">
        <v>2068</v>
      </c>
      <c r="F18" s="115" t="s">
        <v>3155</v>
      </c>
      <c r="H18" s="119" t="str">
        <f>Settings!$B$3&amp;".mit.co2.ind.k.1"</f>
        <v>egy.mit.co2.ind.k.1</v>
      </c>
      <c r="I18" s="115" t="s">
        <v>3156</v>
      </c>
      <c r="L18" s="121">
        <f t="shared" ref="L18:AE18" si="1">L11+L17-L17</f>
        <v>59.804205879849356</v>
      </c>
      <c r="M18" s="121">
        <f t="shared" si="1"/>
        <v>48.931828957170424</v>
      </c>
      <c r="N18" s="121">
        <f t="shared" si="1"/>
        <v>57.158576789144817</v>
      </c>
      <c r="O18" s="121">
        <f t="shared" si="1"/>
        <v>63.720179343286858</v>
      </c>
      <c r="P18" s="121">
        <f t="shared" si="1"/>
        <v>61.946242160955606</v>
      </c>
      <c r="Q18" s="121">
        <f t="shared" si="1"/>
        <v>67.559423563084579</v>
      </c>
      <c r="R18" s="121">
        <f t="shared" si="1"/>
        <v>70.271483517026113</v>
      </c>
      <c r="S18" s="121">
        <f t="shared" si="1"/>
        <v>72.898243967174636</v>
      </c>
      <c r="T18" s="121">
        <f t="shared" si="1"/>
        <v>75.384269563412914</v>
      </c>
      <c r="U18" s="121">
        <f t="shared" si="1"/>
        <v>77.910341033518762</v>
      </c>
      <c r="V18" s="121">
        <f t="shared" si="1"/>
        <v>80.451479009297145</v>
      </c>
      <c r="W18" s="121">
        <f t="shared" si="1"/>
        <v>83.040753204531725</v>
      </c>
      <c r="X18" s="121">
        <f t="shared" si="1"/>
        <v>85.677916059881724</v>
      </c>
      <c r="Y18" s="121">
        <f t="shared" si="1"/>
        <v>88.362687782476257</v>
      </c>
      <c r="Z18" s="121">
        <f t="shared" si="1"/>
        <v>91.094755740472323</v>
      </c>
      <c r="AA18" s="121">
        <f t="shared" si="1"/>
        <v>93.873773761327016</v>
      </c>
      <c r="AB18" s="121">
        <f t="shared" si="1"/>
        <v>96.699361329439938</v>
      </c>
      <c r="AC18" s="121">
        <f t="shared" si="1"/>
        <v>99.571102679005023</v>
      </c>
      <c r="AD18" s="121">
        <f t="shared" si="1"/>
        <v>102.4885457780901</v>
      </c>
      <c r="AE18" s="121">
        <f t="shared" si="1"/>
        <v>105.45120120012243</v>
      </c>
    </row>
    <row r="19" spans="1:35" x14ac:dyDescent="0.35">
      <c r="B19" s="115" t="s">
        <v>110</v>
      </c>
      <c r="C19" s="115" t="s">
        <v>3130</v>
      </c>
      <c r="D19" s="115" t="s">
        <v>3157</v>
      </c>
      <c r="E19" s="115" t="s">
        <v>1852</v>
      </c>
      <c r="F19" s="115" t="s">
        <v>3158</v>
      </c>
      <c r="H19" s="119" t="str">
        <f>Settings!$B$3&amp;".mit.ghg.iprc.tot.1"</f>
        <v>egy.mit.ghg.iprc.tot.1</v>
      </c>
      <c r="I19" s="115" t="s">
        <v>3159</v>
      </c>
      <c r="L19" s="121">
        <f>L10</f>
        <v>52.200349760476598</v>
      </c>
      <c r="M19" s="121">
        <f>M10</f>
        <v>56.903431130804279</v>
      </c>
      <c r="N19" s="121">
        <f t="shared" ref="N19:AE19" si="2">IF(M18=0,0,M19*N18/M18)</f>
        <v>66.470418277289212</v>
      </c>
      <c r="O19" s="121">
        <f t="shared" si="2"/>
        <v>74.100987315984753</v>
      </c>
      <c r="P19" s="121">
        <f t="shared" si="2"/>
        <v>72.038053752362728</v>
      </c>
      <c r="Q19" s="121">
        <f t="shared" si="2"/>
        <v>78.565692063620887</v>
      </c>
      <c r="R19" s="121">
        <f t="shared" si="2"/>
        <v>81.719580240308588</v>
      </c>
      <c r="S19" s="121">
        <f t="shared" si="2"/>
        <v>84.774272565481596</v>
      </c>
      <c r="T19" s="121">
        <f t="shared" si="2"/>
        <v>87.665302582544385</v>
      </c>
      <c r="U19" s="121">
        <f t="shared" si="2"/>
        <v>90.60290244329093</v>
      </c>
      <c r="V19" s="121">
        <f t="shared" si="2"/>
        <v>93.558023330457104</v>
      </c>
      <c r="W19" s="121">
        <f t="shared" si="2"/>
        <v>96.569122424591995</v>
      </c>
      <c r="X19" s="121">
        <f t="shared" si="2"/>
        <v>99.635911835866054</v>
      </c>
      <c r="Y19" s="121">
        <f t="shared" si="2"/>
        <v>102.75806618967755</v>
      </c>
      <c r="Z19" s="121">
        <f t="shared" si="2"/>
        <v>105.93522192257653</v>
      </c>
      <c r="AA19" s="121">
        <f t="shared" si="2"/>
        <v>109.16697646621689</v>
      </c>
      <c r="AB19" s="121">
        <f t="shared" si="2"/>
        <v>112.45288731428481</v>
      </c>
      <c r="AC19" s="121">
        <f t="shared" si="2"/>
        <v>115.79247096756482</v>
      </c>
      <c r="AD19" s="121">
        <f t="shared" si="2"/>
        <v>119.18520175251335</v>
      </c>
      <c r="AE19" s="121">
        <f t="shared" si="2"/>
        <v>122.63051050889524</v>
      </c>
    </row>
    <row r="20" spans="1:35" x14ac:dyDescent="0.35">
      <c r="B20" s="115" t="s">
        <v>2675</v>
      </c>
      <c r="C20" s="115" t="s">
        <v>3130</v>
      </c>
      <c r="D20" s="115" t="s">
        <v>3160</v>
      </c>
      <c r="E20" s="115" t="s">
        <v>1852</v>
      </c>
      <c r="F20" s="115" t="s">
        <v>3161</v>
      </c>
      <c r="H20" s="119" t="str">
        <f>Settings!$B$3&amp;".mit.ghg.ipr.blknp.1"</f>
        <v>egy.mit.ghg.ipr.blknp.1</v>
      </c>
      <c r="I20" s="115" t="s">
        <v>3162</v>
      </c>
      <c r="L20" s="121">
        <f>Mitigation_Industry!L260</f>
        <v>25.971762885046314</v>
      </c>
      <c r="M20" s="121">
        <f>Mitigation_Industry!M260</f>
        <v>26.842539414672931</v>
      </c>
      <c r="N20" s="121">
        <f>Mitigation_Industry!N260</f>
        <v>27.742760634</v>
      </c>
      <c r="O20" s="121">
        <f>Mitigation_Industry!O260</f>
        <v>28.673435240928001</v>
      </c>
      <c r="P20" s="121">
        <f>Mitigation_Industry!P260</f>
        <v>29.635607169743587</v>
      </c>
      <c r="Q20" s="121">
        <f>Mitigation_Industry!Q260</f>
        <v>30.630356857310563</v>
      </c>
      <c r="R20" s="121">
        <f>Mitigation_Industry!R260</f>
        <v>31.658802556563273</v>
      </c>
      <c r="S20" s="121">
        <f>Mitigation_Industry!S260</f>
        <v>32.722101699159616</v>
      </c>
      <c r="T20" s="121">
        <f>Mitigation_Industry!T260</f>
        <v>33.821452309227929</v>
      </c>
      <c r="U20" s="121">
        <f>Mitigation_Industry!U260</f>
        <v>34.958094470222733</v>
      </c>
      <c r="V20" s="121">
        <f>Mitigation_Industry!V260</f>
        <v>36.133311846988548</v>
      </c>
      <c r="W20" s="121">
        <f>Mitigation_Industry!W260</f>
        <v>37.348433265219015</v>
      </c>
      <c r="X20" s="121">
        <f>Mitigation_Industry!X260</f>
        <v>38.60483435059016</v>
      </c>
      <c r="Y20" s="121">
        <f>Mitigation_Industry!Y260</f>
        <v>39.903939229943205</v>
      </c>
      <c r="Z20" s="121">
        <f>Mitigation_Industry!Z260</f>
        <v>41.247222296991801</v>
      </c>
      <c r="AA20" s="121">
        <f>Mitigation_Industry!AA260</f>
        <v>42.636210045134121</v>
      </c>
      <c r="AB20" s="121">
        <f>Mitigation_Industry!AB260</f>
        <v>44.072482970059113</v>
      </c>
      <c r="AC20" s="121">
        <f>Mitigation_Industry!AC260</f>
        <v>45.557677544951083</v>
      </c>
      <c r="AD20" s="121">
        <f>Mitigation_Industry!AD260</f>
        <v>47.09348827121579</v>
      </c>
      <c r="AE20" s="121">
        <f>Mitigation_Industry!AE260</f>
        <v>48.681669807777041</v>
      </c>
    </row>
    <row r="21" spans="1:35" x14ac:dyDescent="0.35">
      <c r="B21" s="115" t="s">
        <v>2675</v>
      </c>
      <c r="C21" s="115" t="s">
        <v>3130</v>
      </c>
      <c r="D21" s="115" t="s">
        <v>3163</v>
      </c>
      <c r="E21" s="115" t="s">
        <v>1852</v>
      </c>
      <c r="F21" s="115" t="s">
        <v>3164</v>
      </c>
      <c r="H21" s="119" t="str">
        <f>Settings!$B$3&amp;".mit.ghg.ipr.blkno.1"</f>
        <v>egy.mit.ghg.ipr.blkno.1</v>
      </c>
      <c r="I21" s="115" t="s">
        <v>3165</v>
      </c>
      <c r="L21" s="121">
        <f>Mitigation_Industry!L261</f>
        <v>0.77985726154224555</v>
      </c>
      <c r="M21" s="121">
        <f>Mitigation_Industry!M261</f>
        <v>0.80389860277682457</v>
      </c>
      <c r="N21" s="121">
        <f>Mitigation_Industry!N261</f>
        <v>0.82884750000000007</v>
      </c>
      <c r="O21" s="121">
        <f>Mitigation_Industry!O261</f>
        <v>0.85474474500000008</v>
      </c>
      <c r="P21" s="121">
        <f>Mitigation_Industry!P261</f>
        <v>0.88163317238999994</v>
      </c>
      <c r="Q21" s="121">
        <f>Mitigation_Industry!Q261</f>
        <v>0.90955776754758011</v>
      </c>
      <c r="R21" s="121">
        <f>Mitigation_Industry!R261</f>
        <v>0.93856578039370175</v>
      </c>
      <c r="S21" s="121">
        <f>Mitigation_Industry!S261</f>
        <v>0.96870684533024232</v>
      </c>
      <c r="T21" s="121">
        <f>Mitigation_Industry!T261</f>
        <v>1.0000331076726199</v>
      </c>
      <c r="U21" s="121">
        <f>Mitigation_Industry!U261</f>
        <v>1.0325993569325114</v>
      </c>
      <c r="V21" s="121">
        <f>Mitigation_Industry!V261</f>
        <v>1.0664631673251306</v>
      </c>
      <c r="W21" s="121">
        <f>Mitigation_Industry!W261</f>
        <v>1.1016850458960927</v>
      </c>
      <c r="X21" s="121">
        <f>Mitigation_Industry!X261</f>
        <v>1.138328588684556</v>
      </c>
      <c r="Y21" s="121">
        <f>Mitigation_Industry!Y261</f>
        <v>1.1764606453621964</v>
      </c>
      <c r="Z21" s="121">
        <f>Mitigation_Industry!Z261</f>
        <v>1.216151492811707</v>
      </c>
      <c r="AA21" s="121">
        <f>Mitigation_Industry!AA261</f>
        <v>1.2574750181339414</v>
      </c>
      <c r="AB21" s="121">
        <f>Mitigation_Industry!AB261</f>
        <v>1.3005089115996857</v>
      </c>
      <c r="AC21" s="121">
        <f>Mitigation_Industry!AC261</f>
        <v>1.3453348700903502</v>
      </c>
      <c r="AD21" s="121">
        <f>Mitigation_Industry!AD261</f>
        <v>1.3920388116017608</v>
      </c>
      <c r="AE21" s="121">
        <f>Mitigation_Industry!AE261</f>
        <v>1.4407111014167402</v>
      </c>
    </row>
    <row r="22" spans="1:35" x14ac:dyDescent="0.35">
      <c r="B22" s="115" t="s">
        <v>2675</v>
      </c>
      <c r="C22" s="115" t="s">
        <v>3130</v>
      </c>
      <c r="D22" s="115" t="s">
        <v>3166</v>
      </c>
      <c r="E22" s="115" t="s">
        <v>1852</v>
      </c>
      <c r="F22" s="115" t="s">
        <v>3167</v>
      </c>
      <c r="H22" s="119" t="str">
        <f>Settings!$B$3&amp;".mit.ghg.ipr.blkproc.1"</f>
        <v>egy.mit.ghg.ipr.blkproc.1</v>
      </c>
      <c r="I22" s="115" t="s">
        <v>3168</v>
      </c>
      <c r="L22" s="121">
        <f>Mitigation_Industry!L390</f>
        <v>26.751620146588561</v>
      </c>
      <c r="M22" s="121">
        <f>Mitigation_Industry!M390</f>
        <v>27.646438017449757</v>
      </c>
      <c r="N22" s="121">
        <f>Mitigation_Industry!N390</f>
        <v>28.571608133999998</v>
      </c>
      <c r="O22" s="121">
        <f>Mitigation_Industry!O390</f>
        <v>29.528179985927999</v>
      </c>
      <c r="P22" s="121">
        <f>Mitigation_Industry!P390</f>
        <v>30.517240342133586</v>
      </c>
      <c r="Q22" s="121">
        <f>Mitigation_Industry!Q390</f>
        <v>31.539914624858142</v>
      </c>
      <c r="R22" s="121">
        <f>Mitigation_Industry!R390</f>
        <v>32.597368336956976</v>
      </c>
      <c r="S22" s="121">
        <f>Mitigation_Industry!S390</f>
        <v>33.690808544489862</v>
      </c>
      <c r="T22" s="121">
        <f>Mitigation_Industry!T390</f>
        <v>34.821485416900551</v>
      </c>
      <c r="U22" s="121">
        <f>Mitigation_Industry!U390</f>
        <v>35.990693827155248</v>
      </c>
      <c r="V22" s="121">
        <f>Mitigation_Industry!V390</f>
        <v>37.19977501431368</v>
      </c>
      <c r="W22" s="121">
        <f>Mitigation_Industry!W390</f>
        <v>38.450118311115105</v>
      </c>
      <c r="X22" s="121">
        <f>Mitigation_Industry!X390</f>
        <v>39.743162939274711</v>
      </c>
      <c r="Y22" s="121">
        <f>Mitigation_Industry!Y390</f>
        <v>41.08039987530541</v>
      </c>
      <c r="Z22" s="121">
        <f>Mitigation_Industry!Z390</f>
        <v>42.463373789803512</v>
      </c>
      <c r="AA22" s="121">
        <f>Mitigation_Industry!AA390</f>
        <v>43.893685063268059</v>
      </c>
      <c r="AB22" s="121">
        <f>Mitigation_Industry!AB390</f>
        <v>45.372991881658805</v>
      </c>
      <c r="AC22" s="121">
        <f>Mitigation_Industry!AC390</f>
        <v>46.903012415041424</v>
      </c>
      <c r="AD22" s="121">
        <f>Mitigation_Industry!AD390</f>
        <v>48.485527082817555</v>
      </c>
      <c r="AE22" s="121">
        <f>Mitigation_Industry!AE390</f>
        <v>50.122380909193787</v>
      </c>
    </row>
    <row r="23" spans="1:35" x14ac:dyDescent="0.35">
      <c r="B23" s="115" t="s">
        <v>2675</v>
      </c>
      <c r="C23" s="115" t="s">
        <v>3130</v>
      </c>
      <c r="D23" s="115" t="s">
        <v>3169</v>
      </c>
      <c r="E23" s="115" t="s">
        <v>1852</v>
      </c>
      <c r="F23" s="115" t="s">
        <v>3170</v>
      </c>
      <c r="H23" s="119" t="str">
        <f>Settings!$B$3&amp;".mit.ghg.ipr.blkfp.1"</f>
        <v>egy.mit.ghg.ipr.blkfp.1</v>
      </c>
      <c r="I23" s="115" t="s">
        <v>3171</v>
      </c>
      <c r="L23" s="121">
        <f>SUMPRODUCT((Mitigation_Industry!L330:L337+Mitigation_Industry!L352:L359)*Mitigation_Industry!$I$264:$I$271/(Mitigation_Industry!$F$330:$F$337+(Mitigation_Industry!$F$330:$F$337=0))*'Manual inputs'!$E$88:$E$95)</f>
        <v>2.1571572661716218</v>
      </c>
      <c r="M23" s="121">
        <f>SUMPRODUCT((Mitigation_Industry!M330:M337+Mitigation_Industry!M352:M359)*Mitigation_Industry!$I$264:$I$271/(Mitigation_Industry!$F$330:$F$337+(Mitigation_Industry!$F$330:$F$337=0))*'Manual inputs'!$E$88:$E$95)</f>
        <v>2.2046147260273972</v>
      </c>
      <c r="N23" s="121">
        <f>SUMPRODUCT((Mitigation_Industry!N330:N337+Mitigation_Industry!N352:N359)*Mitigation_Industry!$I$264:$I$271/(Mitigation_Industry!$F$330:$F$337+(Mitigation_Industry!$F$330:$F$337=0))*'Manual inputs'!$E$88:$E$95)</f>
        <v>2.2531162500000002</v>
      </c>
      <c r="O23" s="121">
        <f>SUMPRODUCT((Mitigation_Industry!O330:O337+Mitigation_Industry!O352:O359)*Mitigation_Industry!$I$264:$I$271/(Mitigation_Industry!$F$330:$F$337+(Mitigation_Industry!$F$330:$F$337=0))*'Manual inputs'!$E$88:$E$95)</f>
        <v>2.3026848075000004</v>
      </c>
      <c r="P23" s="121">
        <f>SUMPRODUCT((Mitigation_Industry!P330:P337+Mitigation_Industry!P352:P359)*Mitigation_Industry!$I$264:$I$271/(Mitigation_Industry!$F$330:$F$337+(Mitigation_Industry!$F$330:$F$337=0))*'Manual inputs'!$E$88:$E$95)</f>
        <v>2.3533438732650001</v>
      </c>
      <c r="Q23" s="121">
        <f>SUMPRODUCT((Mitigation_Industry!Q330:Q337+Mitigation_Industry!Q352:Q359)*Mitigation_Industry!$I$264:$I$271/(Mitigation_Industry!$F$330:$F$337+(Mitigation_Industry!$F$330:$F$337=0))*'Manual inputs'!$E$88:$E$95)</f>
        <v>2.4051174384768301</v>
      </c>
      <c r="R23" s="121">
        <f>SUMPRODUCT((Mitigation_Industry!R330:R337+Mitigation_Industry!R352:R359)*Mitigation_Industry!$I$264:$I$271/(Mitigation_Industry!$F$330:$F$337+(Mitigation_Industry!$F$330:$F$337=0))*'Manual inputs'!$E$88:$E$95)</f>
        <v>2.45803002212332</v>
      </c>
      <c r="S23" s="121">
        <f>SUMPRODUCT((Mitigation_Industry!S330:S337+Mitigation_Industry!S352:S359)*Mitigation_Industry!$I$264:$I$271/(Mitigation_Industry!$F$330:$F$337+(Mitigation_Industry!$F$330:$F$337=0))*'Manual inputs'!$E$88:$E$95)</f>
        <v>2.5121066826100331</v>
      </c>
      <c r="T23" s="121">
        <f>SUMPRODUCT((Mitigation_Industry!T330:T337+Mitigation_Industry!T352:T359)*Mitigation_Industry!$I$264:$I$271/(Mitigation_Industry!$F$330:$F$337+(Mitigation_Industry!$F$330:$F$337=0))*'Manual inputs'!$E$88:$E$95)</f>
        <v>2.5673730296274542</v>
      </c>
      <c r="U23" s="121">
        <f>SUMPRODUCT((Mitigation_Industry!U330:U337+Mitigation_Industry!U352:U359)*Mitigation_Industry!$I$264:$I$271/(Mitigation_Industry!$F$330:$F$337+(Mitigation_Industry!$F$330:$F$337=0))*'Manual inputs'!$E$88:$E$95)</f>
        <v>2.6238552362792582</v>
      </c>
      <c r="V23" s="121">
        <f>SUMPRODUCT((Mitigation_Industry!V330:V337+Mitigation_Industry!V352:V359)*Mitigation_Industry!$I$264:$I$271/(Mitigation_Industry!$F$330:$F$337+(Mitigation_Industry!$F$330:$F$337=0))*'Manual inputs'!$E$88:$E$95)</f>
        <v>2.6815800514774026</v>
      </c>
      <c r="W23" s="121">
        <f>SUMPRODUCT((Mitigation_Industry!W330:W337+Mitigation_Industry!W352:W359)*Mitigation_Industry!$I$264:$I$271/(Mitigation_Industry!$F$330:$F$337+(Mitigation_Industry!$F$330:$F$337=0))*'Manual inputs'!$E$88:$E$95)</f>
        <v>2.7405748126099048</v>
      </c>
      <c r="X23" s="121">
        <f>SUMPRODUCT((Mitigation_Industry!X330:X337+Mitigation_Industry!X352:X359)*Mitigation_Industry!$I$264:$I$271/(Mitigation_Industry!$F$330:$F$337+(Mitigation_Industry!$F$330:$F$337=0))*'Manual inputs'!$E$88:$E$95)</f>
        <v>2.800867458487323</v>
      </c>
      <c r="Y23" s="121">
        <f>SUMPRODUCT((Mitigation_Industry!Y330:Y337+Mitigation_Industry!Y352:Y359)*Mitigation_Industry!$I$264:$I$271/(Mitigation_Industry!$F$330:$F$337+(Mitigation_Industry!$F$330:$F$337=0))*'Manual inputs'!$E$88:$E$95)</f>
        <v>2.862486542574044</v>
      </c>
      <c r="Z23" s="121">
        <f>SUMPRODUCT((Mitigation_Industry!Z330:Z337+Mitigation_Industry!Z352:Z359)*Mitigation_Industry!$I$264:$I$271/(Mitigation_Industry!$F$330:$F$337+(Mitigation_Industry!$F$330:$F$337=0))*'Manual inputs'!$E$88:$E$95)</f>
        <v>2.9254612465106731</v>
      </c>
      <c r="AA23" s="121">
        <f>SUMPRODUCT((Mitigation_Industry!AA330:AA337+Mitigation_Industry!AA352:AA359)*Mitigation_Industry!$I$264:$I$271/(Mitigation_Industry!$F$330:$F$337+(Mitigation_Industry!$F$330:$F$337=0))*'Manual inputs'!$E$88:$E$95)</f>
        <v>2.9898213939339078</v>
      </c>
      <c r="AB23" s="121">
        <f>SUMPRODUCT((Mitigation_Industry!AB330:AB337+Mitigation_Industry!AB352:AB359)*Mitigation_Industry!$I$264:$I$271/(Mitigation_Industry!$F$330:$F$337+(Mitigation_Industry!$F$330:$F$337=0))*'Manual inputs'!$E$88:$E$95)</f>
        <v>3.0555974646004533</v>
      </c>
      <c r="AC23" s="121">
        <f>SUMPRODUCT((Mitigation_Industry!AC330:AC337+Mitigation_Industry!AC352:AC359)*Mitigation_Industry!$I$264:$I$271/(Mitigation_Industry!$F$330:$F$337+(Mitigation_Industry!$F$330:$F$337=0))*'Manual inputs'!$E$88:$E$95)</f>
        <v>3.1228206088216641</v>
      </c>
      <c r="AD23" s="121">
        <f>SUMPRODUCT((Mitigation_Industry!AD330:AD337+Mitigation_Industry!AD352:AD359)*Mitigation_Industry!$I$264:$I$271/(Mitigation_Industry!$F$330:$F$337+(Mitigation_Industry!$F$330:$F$337=0))*'Manual inputs'!$E$88:$E$95)</f>
        <v>3.1915226622157404</v>
      </c>
      <c r="AE23" s="121">
        <f>SUMPRODUCT((Mitigation_Industry!AE330:AE337+Mitigation_Industry!AE352:AE359)*Mitigation_Industry!$I$264:$I$271/(Mitigation_Industry!$F$330:$F$337+(Mitigation_Industry!$F$330:$F$337=0))*'Manual inputs'!$E$88:$E$95)</f>
        <v>3.2617361607844866</v>
      </c>
    </row>
    <row r="24" spans="1:35" x14ac:dyDescent="0.35">
      <c r="B24" s="115" t="s">
        <v>2675</v>
      </c>
      <c r="C24" s="115" t="s">
        <v>3130</v>
      </c>
      <c r="D24" s="115" t="s">
        <v>3172</v>
      </c>
      <c r="E24" s="115" t="s">
        <v>1852</v>
      </c>
      <c r="H24" s="119" t="str">
        <f>Settings!$B$3&amp;".mit.ghg.ipr.blk.1"</f>
        <v>egy.mit.ghg.ipr.blk.1</v>
      </c>
      <c r="L24" s="121">
        <f t="shared" ref="L24:AE24" si="3">L22+L23</f>
        <v>28.908777412760184</v>
      </c>
      <c r="M24" s="121">
        <f t="shared" si="3"/>
        <v>29.851052743477155</v>
      </c>
      <c r="N24" s="121">
        <f t="shared" si="3"/>
        <v>30.824724384</v>
      </c>
      <c r="O24" s="121">
        <f t="shared" si="3"/>
        <v>31.830864793427999</v>
      </c>
      <c r="P24" s="121">
        <f t="shared" si="3"/>
        <v>32.870584215398587</v>
      </c>
      <c r="Q24" s="121">
        <f t="shared" si="3"/>
        <v>33.94503206333497</v>
      </c>
      <c r="R24" s="121">
        <f t="shared" si="3"/>
        <v>35.055398359080293</v>
      </c>
      <c r="S24" s="121">
        <f t="shared" si="3"/>
        <v>36.202915227099894</v>
      </c>
      <c r="T24" s="121">
        <f t="shared" si="3"/>
        <v>37.388858446528005</v>
      </c>
      <c r="U24" s="121">
        <f t="shared" si="3"/>
        <v>38.614549063434509</v>
      </c>
      <c r="V24" s="121">
        <f t="shared" si="3"/>
        <v>39.881355065791084</v>
      </c>
      <c r="W24" s="121">
        <f t="shared" si="3"/>
        <v>41.190693123725012</v>
      </c>
      <c r="X24" s="121">
        <f t="shared" si="3"/>
        <v>42.544030397762036</v>
      </c>
      <c r="Y24" s="121">
        <f t="shared" si="3"/>
        <v>43.942886417879457</v>
      </c>
      <c r="Z24" s="121">
        <f t="shared" si="3"/>
        <v>45.388835036314184</v>
      </c>
      <c r="AA24" s="121">
        <f t="shared" si="3"/>
        <v>46.883506457201968</v>
      </c>
      <c r="AB24" s="121">
        <f t="shared" si="3"/>
        <v>48.428589346259258</v>
      </c>
      <c r="AC24" s="121">
        <f t="shared" si="3"/>
        <v>50.025833023863086</v>
      </c>
      <c r="AD24" s="121">
        <f t="shared" si="3"/>
        <v>51.677049745033294</v>
      </c>
      <c r="AE24" s="121">
        <f t="shared" si="3"/>
        <v>53.384117069978274</v>
      </c>
    </row>
    <row r="25" spans="1:35" x14ac:dyDescent="0.35">
      <c r="B25" s="115" t="s">
        <v>3173</v>
      </c>
      <c r="C25" s="115" t="s">
        <v>3130</v>
      </c>
      <c r="D25" s="115" t="s">
        <v>3174</v>
      </c>
      <c r="E25" s="115" t="s">
        <v>1852</v>
      </c>
      <c r="H25" s="119" t="str">
        <f>Settings!$B$3&amp;".mit.ghg.ipr.oth.1"</f>
        <v>egy.mit.ghg.ipr.oth.1</v>
      </c>
      <c r="I25" s="115" t="s">
        <v>3175</v>
      </c>
      <c r="L25" s="121">
        <f t="shared" ref="L25:AE25" si="4">L19-L24</f>
        <v>23.291572347716414</v>
      </c>
      <c r="M25" s="121">
        <f t="shared" si="4"/>
        <v>27.052378387327124</v>
      </c>
      <c r="N25" s="121">
        <f t="shared" si="4"/>
        <v>35.645693893289213</v>
      </c>
      <c r="O25" s="121">
        <f t="shared" si="4"/>
        <v>42.270122522556754</v>
      </c>
      <c r="P25" s="121">
        <f t="shared" si="4"/>
        <v>39.167469536964141</v>
      </c>
      <c r="Q25" s="121">
        <f t="shared" si="4"/>
        <v>44.620660000285916</v>
      </c>
      <c r="R25" s="121">
        <f t="shared" si="4"/>
        <v>46.664181881228295</v>
      </c>
      <c r="S25" s="121">
        <f t="shared" si="4"/>
        <v>48.571357338381702</v>
      </c>
      <c r="T25" s="121">
        <f t="shared" si="4"/>
        <v>50.27644413601638</v>
      </c>
      <c r="U25" s="121">
        <f t="shared" si="4"/>
        <v>51.98835337985642</v>
      </c>
      <c r="V25" s="121">
        <f t="shared" si="4"/>
        <v>53.67666826466602</v>
      </c>
      <c r="W25" s="121">
        <f t="shared" si="4"/>
        <v>55.378429300866983</v>
      </c>
      <c r="X25" s="121">
        <f t="shared" si="4"/>
        <v>57.091881438104018</v>
      </c>
      <c r="Y25" s="121">
        <f t="shared" si="4"/>
        <v>58.815179771798093</v>
      </c>
      <c r="Z25" s="121">
        <f t="shared" si="4"/>
        <v>60.546386886262347</v>
      </c>
      <c r="AA25" s="121">
        <f t="shared" si="4"/>
        <v>62.283470009014927</v>
      </c>
      <c r="AB25" s="121">
        <f t="shared" si="4"/>
        <v>64.02429796802555</v>
      </c>
      <c r="AC25" s="121">
        <f t="shared" si="4"/>
        <v>65.766637943701738</v>
      </c>
      <c r="AD25" s="121">
        <f t="shared" si="4"/>
        <v>67.508152007480049</v>
      </c>
      <c r="AE25" s="121">
        <f t="shared" si="4"/>
        <v>69.246393438916968</v>
      </c>
    </row>
    <row r="26" spans="1:35" ht="13.9" x14ac:dyDescent="0.4">
      <c r="B26" s="124" t="s">
        <v>110</v>
      </c>
      <c r="C26" s="124" t="s">
        <v>3130</v>
      </c>
      <c r="D26" s="124" t="s">
        <v>3176</v>
      </c>
      <c r="E26" s="124" t="s">
        <v>1852</v>
      </c>
      <c r="F26" s="124"/>
      <c r="G26" s="124"/>
      <c r="H26" s="145" t="str">
        <f>Settings!$B$3&amp;".mit.ghg.iprk.tot.1"</f>
        <v>egy.mit.ghg.iprk.tot.1</v>
      </c>
      <c r="I26" s="124" t="s">
        <v>3177</v>
      </c>
      <c r="J26" s="124"/>
      <c r="K26" s="124"/>
      <c r="L26" s="146">
        <f t="shared" ref="L26:AE26" si="5">L24+L25</f>
        <v>52.200349760476598</v>
      </c>
      <c r="M26" s="146">
        <f t="shared" si="5"/>
        <v>56.903431130804279</v>
      </c>
      <c r="N26" s="146">
        <f t="shared" si="5"/>
        <v>66.470418277289212</v>
      </c>
      <c r="O26" s="146">
        <f t="shared" si="5"/>
        <v>74.100987315984753</v>
      </c>
      <c r="P26" s="146">
        <f t="shared" si="5"/>
        <v>72.038053752362728</v>
      </c>
      <c r="Q26" s="146">
        <f t="shared" si="5"/>
        <v>78.565692063620887</v>
      </c>
      <c r="R26" s="146">
        <f t="shared" si="5"/>
        <v>81.719580240308588</v>
      </c>
      <c r="S26" s="146">
        <f t="shared" si="5"/>
        <v>84.774272565481596</v>
      </c>
      <c r="T26" s="146">
        <f t="shared" si="5"/>
        <v>87.665302582544385</v>
      </c>
      <c r="U26" s="146">
        <f t="shared" si="5"/>
        <v>90.60290244329093</v>
      </c>
      <c r="V26" s="146">
        <f t="shared" si="5"/>
        <v>93.558023330457104</v>
      </c>
      <c r="W26" s="146">
        <f t="shared" si="5"/>
        <v>96.569122424591995</v>
      </c>
      <c r="X26" s="146">
        <f t="shared" si="5"/>
        <v>99.635911835866054</v>
      </c>
      <c r="Y26" s="146">
        <f t="shared" si="5"/>
        <v>102.75806618967755</v>
      </c>
      <c r="Z26" s="146">
        <f t="shared" si="5"/>
        <v>105.93522192257653</v>
      </c>
      <c r="AA26" s="146">
        <f t="shared" si="5"/>
        <v>109.16697646621689</v>
      </c>
      <c r="AB26" s="146">
        <f t="shared" si="5"/>
        <v>112.45288731428481</v>
      </c>
      <c r="AC26" s="146">
        <f t="shared" si="5"/>
        <v>115.79247096756482</v>
      </c>
      <c r="AD26" s="146">
        <f t="shared" si="5"/>
        <v>119.18520175251334</v>
      </c>
      <c r="AE26" s="146">
        <f t="shared" si="5"/>
        <v>122.63051050889524</v>
      </c>
      <c r="AF26" s="124"/>
      <c r="AG26" s="124"/>
      <c r="AH26" s="124"/>
      <c r="AI26" s="124"/>
    </row>
    <row r="27" spans="1:35" x14ac:dyDescent="0.35">
      <c r="B27" s="115" t="s">
        <v>110</v>
      </c>
      <c r="C27" s="115" t="s">
        <v>3130</v>
      </c>
      <c r="D27" s="115" t="s">
        <v>3178</v>
      </c>
      <c r="E27" s="115" t="s">
        <v>1852</v>
      </c>
      <c r="H27" s="119" t="str">
        <f>Settings!$B$3&amp;".mit.ghg.iprdc.tot.1"</f>
        <v>egy.mit.ghg.iprdc.tot.1</v>
      </c>
      <c r="I27" s="115" t="s">
        <v>3179</v>
      </c>
      <c r="L27" s="121">
        <f t="shared" ref="L27:AE27" si="6">L26-L19</f>
        <v>0</v>
      </c>
      <c r="M27" s="121">
        <f t="shared" si="6"/>
        <v>0</v>
      </c>
      <c r="N27" s="121">
        <f t="shared" si="6"/>
        <v>0</v>
      </c>
      <c r="O27" s="121">
        <f t="shared" si="6"/>
        <v>0</v>
      </c>
      <c r="P27" s="121">
        <f t="shared" si="6"/>
        <v>0</v>
      </c>
      <c r="Q27" s="121">
        <f t="shared" si="6"/>
        <v>0</v>
      </c>
      <c r="R27" s="121">
        <f t="shared" si="6"/>
        <v>0</v>
      </c>
      <c r="S27" s="121">
        <f t="shared" si="6"/>
        <v>0</v>
      </c>
      <c r="T27" s="121">
        <f t="shared" si="6"/>
        <v>0</v>
      </c>
      <c r="U27" s="121">
        <f t="shared" si="6"/>
        <v>0</v>
      </c>
      <c r="V27" s="121">
        <f t="shared" si="6"/>
        <v>0</v>
      </c>
      <c r="W27" s="121">
        <f t="shared" si="6"/>
        <v>0</v>
      </c>
      <c r="X27" s="121">
        <f t="shared" si="6"/>
        <v>0</v>
      </c>
      <c r="Y27" s="121">
        <f t="shared" si="6"/>
        <v>0</v>
      </c>
      <c r="Z27" s="121">
        <f t="shared" si="6"/>
        <v>0</v>
      </c>
      <c r="AA27" s="121">
        <f t="shared" si="6"/>
        <v>0</v>
      </c>
      <c r="AB27" s="121">
        <f t="shared" si="6"/>
        <v>0</v>
      </c>
      <c r="AC27" s="121">
        <f t="shared" si="6"/>
        <v>0</v>
      </c>
      <c r="AD27" s="121">
        <f t="shared" si="6"/>
        <v>0</v>
      </c>
      <c r="AE27" s="121">
        <f t="shared" si="6"/>
        <v>0</v>
      </c>
    </row>
    <row r="28" spans="1:35" x14ac:dyDescent="0.35">
      <c r="B28" s="115" t="s">
        <v>3180</v>
      </c>
      <c r="C28" s="115" t="s">
        <v>3130</v>
      </c>
      <c r="D28" s="115" t="s">
        <v>3181</v>
      </c>
      <c r="E28" s="115" t="s">
        <v>79</v>
      </c>
      <c r="H28" s="119" t="str">
        <f>Settings!$B$3&amp;".mit.ghg.iprshb.tot.1"</f>
        <v>egy.mit.ghg.iprshb.tot.1</v>
      </c>
      <c r="L28" s="147">
        <f t="shared" ref="L28:AE28" si="7">IF(L19=0,0,L24/L19)</f>
        <v>0.55380428570707418</v>
      </c>
      <c r="M28" s="147">
        <f t="shared" si="7"/>
        <v>0.52459143763859073</v>
      </c>
      <c r="N28" s="147">
        <f t="shared" si="7"/>
        <v>0.46373597733973954</v>
      </c>
      <c r="O28" s="147">
        <f t="shared" si="7"/>
        <v>0.42956060298756071</v>
      </c>
      <c r="P28" s="147">
        <f t="shared" si="7"/>
        <v>0.45629472901078322</v>
      </c>
      <c r="Q28" s="147">
        <f t="shared" si="7"/>
        <v>0.43205922549306863</v>
      </c>
      <c r="R28" s="147">
        <f t="shared" si="7"/>
        <v>0.42897183583169024</v>
      </c>
      <c r="S28" s="147">
        <f t="shared" si="7"/>
        <v>0.42705073286398215</v>
      </c>
      <c r="T28" s="147">
        <f t="shared" si="7"/>
        <v>0.42649551584360523</v>
      </c>
      <c r="U28" s="147">
        <f t="shared" si="7"/>
        <v>0.4261954972977125</v>
      </c>
      <c r="V28" s="147">
        <f t="shared" si="7"/>
        <v>0.42627402382076635</v>
      </c>
      <c r="W28" s="147">
        <f t="shared" si="7"/>
        <v>0.42654103184886683</v>
      </c>
      <c r="X28" s="147">
        <f t="shared" si="7"/>
        <v>0.42699494202297661</v>
      </c>
      <c r="Y28" s="147">
        <f t="shared" si="7"/>
        <v>0.42763442372267696</v>
      </c>
      <c r="Z28" s="147">
        <f t="shared" si="7"/>
        <v>0.42845839384267226</v>
      </c>
      <c r="AA28" s="147">
        <f t="shared" si="7"/>
        <v>0.4294660159586875</v>
      </c>
      <c r="AB28" s="147">
        <f t="shared" si="7"/>
        <v>0.43065669991122951</v>
      </c>
      <c r="AC28" s="147">
        <f t="shared" si="7"/>
        <v>0.43203010183517077</v>
      </c>
      <c r="AD28" s="147">
        <f t="shared" si="7"/>
        <v>0.43358612466285934</v>
      </c>
      <c r="AE28" s="147">
        <f t="shared" si="7"/>
        <v>0.43532491912855531</v>
      </c>
    </row>
    <row r="31" spans="1:35" customFormat="1" ht="18" customHeight="1" x14ac:dyDescent="0.45">
      <c r="A31" s="8"/>
      <c r="B31" s="9" t="s">
        <v>3182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3" spans="1:35" customFormat="1" ht="14.25" x14ac:dyDescent="0.45">
      <c r="A33" s="11"/>
      <c r="B33" s="6" t="s">
        <v>1488</v>
      </c>
      <c r="C33" s="7" t="s">
        <v>33</v>
      </c>
      <c r="D33" s="6" t="s">
        <v>34</v>
      </c>
      <c r="E33" s="7" t="s">
        <v>35</v>
      </c>
      <c r="F33" s="7" t="s">
        <v>36</v>
      </c>
      <c r="G33" s="7" t="s">
        <v>37</v>
      </c>
      <c r="H33" s="12" t="s">
        <v>38</v>
      </c>
      <c r="I33" s="6" t="s">
        <v>39</v>
      </c>
      <c r="J33" s="48">
        <v>2</v>
      </c>
      <c r="K33" s="6">
        <v>2021</v>
      </c>
      <c r="L33" s="46">
        <v>2022</v>
      </c>
      <c r="M33" s="6">
        <v>2023</v>
      </c>
      <c r="N33" s="6">
        <v>2024</v>
      </c>
      <c r="O33" s="6">
        <v>2025</v>
      </c>
      <c r="P33" s="6">
        <v>2026</v>
      </c>
      <c r="Q33" s="6">
        <v>2027</v>
      </c>
      <c r="R33" s="6">
        <v>2028</v>
      </c>
      <c r="S33" s="6">
        <v>2029</v>
      </c>
      <c r="T33" s="6">
        <v>2030</v>
      </c>
      <c r="U33" s="6">
        <v>2031</v>
      </c>
      <c r="V33" s="6">
        <v>2032</v>
      </c>
      <c r="W33" s="6">
        <v>2033</v>
      </c>
      <c r="X33" s="6">
        <v>2034</v>
      </c>
      <c r="Y33" s="6">
        <v>2035</v>
      </c>
      <c r="Z33" s="6">
        <v>2036</v>
      </c>
      <c r="AA33" s="6">
        <v>2037</v>
      </c>
      <c r="AB33" s="6">
        <v>2038</v>
      </c>
      <c r="AC33" s="6">
        <v>2039</v>
      </c>
      <c r="AD33" s="6">
        <v>2040</v>
      </c>
      <c r="AE33" s="6">
        <v>2041</v>
      </c>
      <c r="AF33" s="6">
        <v>2042</v>
      </c>
      <c r="AG33" s="6">
        <v>2043</v>
      </c>
      <c r="AH33" s="6">
        <v>2044</v>
      </c>
      <c r="AI33" s="6">
        <v>2045</v>
      </c>
    </row>
    <row r="34" spans="1:35" x14ac:dyDescent="0.35">
      <c r="B34" s="115" t="s">
        <v>110</v>
      </c>
      <c r="C34" s="115" t="s">
        <v>3150</v>
      </c>
      <c r="D34" s="115" t="s">
        <v>3151</v>
      </c>
      <c r="E34" s="115" t="s">
        <v>2068</v>
      </c>
      <c r="F34" s="115" t="s">
        <v>3152</v>
      </c>
      <c r="H34" s="119" t="str">
        <f>Settings!$B$3&amp;".mit.eco2.kern.tot.e.2"</f>
        <v>egy.mit.eco2.kern.tot.e.2</v>
      </c>
      <c r="I34" s="115" t="s">
        <v>3153</v>
      </c>
      <c r="L34" s="121">
        <f>Emissions_Industry!L66+Emissions_Industry!L78+Emissions_Industry!L90+Emissions_Industry!L102</f>
        <v>14.019740964534272</v>
      </c>
      <c r="M34" s="121">
        <f>Emissions_Industry!M66+Emissions_Industry!M78+Emissions_Industry!M90+Emissions_Industry!M102</f>
        <v>11.739301230035998</v>
      </c>
      <c r="N34" s="121">
        <f>Emissions_Industry!N66+Emissions_Industry!N78+Emissions_Industry!N90+Emissions_Industry!N102</f>
        <v>13.303124518863104</v>
      </c>
      <c r="O34" s="121">
        <f>Emissions_Industry!O66+Emissions_Industry!O78+Emissions_Industry!O90+Emissions_Industry!O102</f>
        <v>14.156899598427017</v>
      </c>
      <c r="P34" s="121">
        <f>Emissions_Industry!P66+Emissions_Industry!P78+Emissions_Industry!P90+Emissions_Industry!P102</f>
        <v>14.286244741983563</v>
      </c>
      <c r="Q34" s="121">
        <f>Emissions_Industry!Q66+Emissions_Industry!Q78+Emissions_Industry!Q90+Emissions_Industry!Q102</f>
        <v>13.482479789369556</v>
      </c>
      <c r="R34" s="121">
        <f>Emissions_Industry!R66+Emissions_Industry!R78+Emissions_Industry!R90+Emissions_Industry!R102</f>
        <v>12.983250913859607</v>
      </c>
      <c r="S34" s="121">
        <f>Emissions_Industry!S66+Emissions_Industry!S78+Emissions_Industry!S90+Emissions_Industry!S102</f>
        <v>12.560793362152866</v>
      </c>
      <c r="T34" s="121">
        <f>Emissions_Industry!T66+Emissions_Industry!T78+Emissions_Industry!T90+Emissions_Industry!T102</f>
        <v>12.187957412625254</v>
      </c>
      <c r="U34" s="121">
        <f>Emissions_Industry!U66+Emissions_Industry!U78+Emissions_Industry!U90+Emissions_Industry!U102</f>
        <v>11.875632686552137</v>
      </c>
      <c r="V34" s="121">
        <f>Emissions_Industry!V66+Emissions_Industry!V78+Emissions_Industry!V90+Emissions_Industry!V102</f>
        <v>11.602689599741135</v>
      </c>
      <c r="W34" s="121">
        <f>Emissions_Industry!W66+Emissions_Industry!W78+Emissions_Industry!W90+Emissions_Industry!W102</f>
        <v>11.378519970656047</v>
      </c>
      <c r="X34" s="121">
        <f>Emissions_Industry!X66+Emissions_Industry!X78+Emissions_Industry!X90+Emissions_Industry!X102</f>
        <v>11.19706469003696</v>
      </c>
      <c r="Y34" s="121">
        <f>Emissions_Industry!Y66+Emissions_Industry!Y78+Emissions_Industry!Y90+Emissions_Industry!Y102</f>
        <v>11.054589877296367</v>
      </c>
      <c r="Z34" s="121">
        <f>Emissions_Industry!Z66+Emissions_Industry!Z78+Emissions_Industry!Z90+Emissions_Industry!Z102</f>
        <v>10.949977353134972</v>
      </c>
      <c r="AA34" s="121">
        <f>Emissions_Industry!AA66+Emissions_Industry!AA78+Emissions_Industry!AA90+Emissions_Industry!AA102</f>
        <v>10.880837147763879</v>
      </c>
      <c r="AB34" s="121">
        <f>Emissions_Industry!AB66+Emissions_Industry!AB78+Emissions_Industry!AB90+Emissions_Industry!AB102</f>
        <v>10.844737007963213</v>
      </c>
      <c r="AC34" s="121">
        <f>Emissions_Industry!AC66+Emissions_Industry!AC78+Emissions_Industry!AC90+Emissions_Industry!AC102</f>
        <v>10.837962619219041</v>
      </c>
      <c r="AD34" s="121">
        <f>Emissions_Industry!AD66+Emissions_Industry!AD78+Emissions_Industry!AD90+Emissions_Industry!AD102</f>
        <v>10.857412419871189</v>
      </c>
      <c r="AE34" s="121">
        <f>Emissions_Industry!AE66+Emissions_Industry!AE78+Emissions_Industry!AE90+Emissions_Industry!AE102</f>
        <v>10.900735380545399</v>
      </c>
    </row>
    <row r="35" spans="1:35" x14ac:dyDescent="0.35">
      <c r="B35" s="115" t="s">
        <v>110</v>
      </c>
      <c r="C35" s="115" t="s">
        <v>4</v>
      </c>
      <c r="D35" s="115" t="s">
        <v>3154</v>
      </c>
      <c r="E35" s="115" t="s">
        <v>2068</v>
      </c>
      <c r="F35" s="115" t="s">
        <v>3155</v>
      </c>
      <c r="H35" s="119" t="str">
        <f>Settings!$B$3&amp;".mit.co2.ind.k.2"</f>
        <v>egy.mit.co2.ind.k.2</v>
      </c>
      <c r="I35" s="115" t="s">
        <v>3156</v>
      </c>
      <c r="L35" s="121">
        <f t="shared" ref="L35:AE35" si="8">L11+L34-L17</f>
        <v>59.804205879849356</v>
      </c>
      <c r="M35" s="121">
        <f t="shared" si="8"/>
        <v>48.931828957170424</v>
      </c>
      <c r="N35" s="121">
        <f t="shared" si="8"/>
        <v>57.158576789144817</v>
      </c>
      <c r="O35" s="121">
        <f t="shared" si="8"/>
        <v>63.720179343286858</v>
      </c>
      <c r="P35" s="121">
        <f t="shared" si="8"/>
        <v>61.946242160955606</v>
      </c>
      <c r="Q35" s="121">
        <f t="shared" si="8"/>
        <v>66.347776102622248</v>
      </c>
      <c r="R35" s="121">
        <f t="shared" si="8"/>
        <v>67.977762596208194</v>
      </c>
      <c r="S35" s="121">
        <f t="shared" si="8"/>
        <v>69.614967451077348</v>
      </c>
      <c r="T35" s="121">
        <f t="shared" si="8"/>
        <v>71.188330561747961</v>
      </c>
      <c r="U35" s="121">
        <f t="shared" si="8"/>
        <v>72.8538824730432</v>
      </c>
      <c r="V35" s="121">
        <f t="shared" si="8"/>
        <v>74.597446711750393</v>
      </c>
      <c r="W35" s="121">
        <f t="shared" si="8"/>
        <v>76.428238541411474</v>
      </c>
      <c r="X35" s="121">
        <f t="shared" si="8"/>
        <v>78.339997174324651</v>
      </c>
      <c r="Y35" s="121">
        <f t="shared" si="8"/>
        <v>80.32876154931742</v>
      </c>
      <c r="Z35" s="121">
        <f t="shared" si="8"/>
        <v>82.393160352176864</v>
      </c>
      <c r="AA35" s="121">
        <f t="shared" si="8"/>
        <v>84.530523994561648</v>
      </c>
      <c r="AB35" s="121">
        <f t="shared" si="8"/>
        <v>86.738113511233266</v>
      </c>
      <c r="AC35" s="121">
        <f t="shared" si="8"/>
        <v>89.011880088607228</v>
      </c>
      <c r="AD35" s="121">
        <f t="shared" si="8"/>
        <v>91.348359098460875</v>
      </c>
      <c r="AE35" s="121">
        <f t="shared" si="8"/>
        <v>93.74480700710555</v>
      </c>
    </row>
    <row r="36" spans="1:35" x14ac:dyDescent="0.35">
      <c r="B36" s="115" t="s">
        <v>110</v>
      </c>
      <c r="C36" s="115" t="s">
        <v>3130</v>
      </c>
      <c r="D36" s="115" t="s">
        <v>3157</v>
      </c>
      <c r="E36" s="115" t="s">
        <v>1852</v>
      </c>
      <c r="F36" s="115" t="s">
        <v>3158</v>
      </c>
      <c r="H36" s="119" t="str">
        <f>Settings!$B$3&amp;".mit.ghg.iprc.tot.2"</f>
        <v>egy.mit.ghg.iprc.tot.2</v>
      </c>
      <c r="I36" s="115" t="s">
        <v>3159</v>
      </c>
      <c r="L36" s="121">
        <f>L10</f>
        <v>52.200349760476598</v>
      </c>
      <c r="M36" s="121">
        <f>M10</f>
        <v>56.903431130804279</v>
      </c>
      <c r="N36" s="121">
        <f t="shared" ref="N36:AE36" si="9">IF(M35=0,0,M36*N35/M35)</f>
        <v>66.470418277289212</v>
      </c>
      <c r="O36" s="121">
        <f t="shared" si="9"/>
        <v>74.100987315984753</v>
      </c>
      <c r="P36" s="121">
        <f t="shared" si="9"/>
        <v>72.038053752362728</v>
      </c>
      <c r="Q36" s="121">
        <f t="shared" si="9"/>
        <v>77.156652195489656</v>
      </c>
      <c r="R36" s="121">
        <f t="shared" si="9"/>
        <v>79.05218371676375</v>
      </c>
      <c r="S36" s="121">
        <f t="shared" si="9"/>
        <v>80.956109559952836</v>
      </c>
      <c r="T36" s="121">
        <f t="shared" si="9"/>
        <v>82.78579304654717</v>
      </c>
      <c r="U36" s="121">
        <f t="shared" si="9"/>
        <v>84.722684033436792</v>
      </c>
      <c r="V36" s="121">
        <f t="shared" si="9"/>
        <v>86.750296523994834</v>
      </c>
      <c r="W36" s="121">
        <f t="shared" si="9"/>
        <v>88.879347062554189</v>
      </c>
      <c r="X36" s="121">
        <f t="shared" si="9"/>
        <v>91.102554901401064</v>
      </c>
      <c r="Y36" s="121">
        <f t="shared" si="9"/>
        <v>93.415313673341771</v>
      </c>
      <c r="Z36" s="121">
        <f t="shared" si="9"/>
        <v>95.816028660060311</v>
      </c>
      <c r="AA36" s="121">
        <f t="shared" si="9"/>
        <v>98.301595364145371</v>
      </c>
      <c r="AB36" s="121">
        <f t="shared" si="9"/>
        <v>100.86882860893093</v>
      </c>
      <c r="AC36" s="121">
        <f t="shared" si="9"/>
        <v>103.51301997885444</v>
      </c>
      <c r="AD36" s="121">
        <f t="shared" si="9"/>
        <v>106.23014041476027</v>
      </c>
      <c r="AE36" s="121">
        <f t="shared" si="9"/>
        <v>109.01699942727505</v>
      </c>
    </row>
    <row r="37" spans="1:35" x14ac:dyDescent="0.35">
      <c r="B37" s="115" t="s">
        <v>2675</v>
      </c>
      <c r="C37" s="115" t="s">
        <v>3130</v>
      </c>
      <c r="D37" s="115" t="s">
        <v>3160</v>
      </c>
      <c r="E37" s="115" t="s">
        <v>1852</v>
      </c>
      <c r="F37" s="115" t="s">
        <v>3183</v>
      </c>
      <c r="H37" s="119" t="str">
        <f>Settings!$B$3&amp;".mit.ghg.ipr.blknp.2"</f>
        <v>egy.mit.ghg.ipr.blknp.2</v>
      </c>
      <c r="I37" s="115" t="s">
        <v>3184</v>
      </c>
      <c r="L37" s="121">
        <f>Mitigation_Industry!L659</f>
        <v>25.971762885046314</v>
      </c>
      <c r="M37" s="121">
        <f>Mitigation_Industry!M659</f>
        <v>26.842539414672931</v>
      </c>
      <c r="N37" s="121">
        <f>Mitigation_Industry!N659</f>
        <v>27.742760634</v>
      </c>
      <c r="O37" s="121">
        <f>Mitigation_Industry!O659</f>
        <v>28.673435240928001</v>
      </c>
      <c r="P37" s="121">
        <f>Mitigation_Industry!P659</f>
        <v>29.635607169743587</v>
      </c>
      <c r="Q37" s="121">
        <f>Mitigation_Industry!Q659</f>
        <v>30.630356857310563</v>
      </c>
      <c r="R37" s="121">
        <f>Mitigation_Industry!R659</f>
        <v>31.658802556563273</v>
      </c>
      <c r="S37" s="121">
        <f>Mitigation_Industry!S659</f>
        <v>32.722101699159616</v>
      </c>
      <c r="T37" s="121">
        <f>Mitigation_Industry!T659</f>
        <v>33.821452309227929</v>
      </c>
      <c r="U37" s="121">
        <f>Mitigation_Industry!U659</f>
        <v>34.958094470222733</v>
      </c>
      <c r="V37" s="121">
        <f>Mitigation_Industry!V659</f>
        <v>36.133311846988548</v>
      </c>
      <c r="W37" s="121">
        <f>Mitigation_Industry!W659</f>
        <v>37.348433265219015</v>
      </c>
      <c r="X37" s="121">
        <f>Mitigation_Industry!X659</f>
        <v>38.60483435059016</v>
      </c>
      <c r="Y37" s="121">
        <f>Mitigation_Industry!Y659</f>
        <v>39.903939229943205</v>
      </c>
      <c r="Z37" s="121">
        <f>Mitigation_Industry!Z659</f>
        <v>41.247222296991801</v>
      </c>
      <c r="AA37" s="121">
        <f>Mitigation_Industry!AA659</f>
        <v>42.636210045134121</v>
      </c>
      <c r="AB37" s="121">
        <f>Mitigation_Industry!AB659</f>
        <v>44.072482970059113</v>
      </c>
      <c r="AC37" s="121">
        <f>Mitigation_Industry!AC659</f>
        <v>45.557677544951083</v>
      </c>
      <c r="AD37" s="121">
        <f>Mitigation_Industry!AD659</f>
        <v>47.09348827121579</v>
      </c>
      <c r="AE37" s="121">
        <f>Mitigation_Industry!AE659</f>
        <v>48.681669807777041</v>
      </c>
    </row>
    <row r="38" spans="1:35" x14ac:dyDescent="0.35">
      <c r="B38" s="115" t="s">
        <v>2675</v>
      </c>
      <c r="C38" s="115" t="s">
        <v>3130</v>
      </c>
      <c r="D38" s="115" t="s">
        <v>3163</v>
      </c>
      <c r="E38" s="115" t="s">
        <v>1852</v>
      </c>
      <c r="F38" s="115" t="s">
        <v>3185</v>
      </c>
      <c r="H38" s="119" t="str">
        <f>Settings!$B$3&amp;".mit.ghg.ipr.blkno.2"</f>
        <v>egy.mit.ghg.ipr.blkno.2</v>
      </c>
      <c r="I38" s="115" t="s">
        <v>3186</v>
      </c>
      <c r="L38" s="121">
        <f>Mitigation_Industry!L660</f>
        <v>0.77985726154224555</v>
      </c>
      <c r="M38" s="121">
        <f>Mitigation_Industry!M660</f>
        <v>0.80389860277682457</v>
      </c>
      <c r="N38" s="121">
        <f>Mitigation_Industry!N660</f>
        <v>0.82884750000000007</v>
      </c>
      <c r="O38" s="121">
        <f>Mitigation_Industry!O660</f>
        <v>0.85474474500000008</v>
      </c>
      <c r="P38" s="121">
        <f>Mitigation_Industry!P660</f>
        <v>0.88163317238999994</v>
      </c>
      <c r="Q38" s="121">
        <f>Mitigation_Industry!Q660</f>
        <v>0.90955776754758011</v>
      </c>
      <c r="R38" s="121">
        <f>Mitigation_Industry!R660</f>
        <v>0.93856578039370175</v>
      </c>
      <c r="S38" s="121">
        <f>Mitigation_Industry!S660</f>
        <v>0.96870684533024232</v>
      </c>
      <c r="T38" s="121">
        <f>Mitigation_Industry!T660</f>
        <v>1.0000331076726199</v>
      </c>
      <c r="U38" s="121">
        <f>Mitigation_Industry!U660</f>
        <v>1.0325993569325114</v>
      </c>
      <c r="V38" s="121">
        <f>Mitigation_Industry!V660</f>
        <v>1.0664631673251306</v>
      </c>
      <c r="W38" s="121">
        <f>Mitigation_Industry!W660</f>
        <v>1.1016850458960927</v>
      </c>
      <c r="X38" s="121">
        <f>Mitigation_Industry!X660</f>
        <v>1.138328588684556</v>
      </c>
      <c r="Y38" s="121">
        <f>Mitigation_Industry!Y660</f>
        <v>1.1764606453621964</v>
      </c>
      <c r="Z38" s="121">
        <f>Mitigation_Industry!Z660</f>
        <v>1.216151492811707</v>
      </c>
      <c r="AA38" s="121">
        <f>Mitigation_Industry!AA660</f>
        <v>1.2574750181339414</v>
      </c>
      <c r="AB38" s="121">
        <f>Mitigation_Industry!AB660</f>
        <v>1.3005089115996857</v>
      </c>
      <c r="AC38" s="121">
        <f>Mitigation_Industry!AC660</f>
        <v>1.3453348700903502</v>
      </c>
      <c r="AD38" s="121">
        <f>Mitigation_Industry!AD660</f>
        <v>1.3920388116017608</v>
      </c>
      <c r="AE38" s="121">
        <f>Mitigation_Industry!AE660</f>
        <v>1.4407111014167402</v>
      </c>
    </row>
    <row r="39" spans="1:35" x14ac:dyDescent="0.35">
      <c r="B39" s="115" t="s">
        <v>2675</v>
      </c>
      <c r="C39" s="115" t="s">
        <v>3130</v>
      </c>
      <c r="D39" s="115" t="s">
        <v>3166</v>
      </c>
      <c r="E39" s="115" t="s">
        <v>1852</v>
      </c>
      <c r="F39" s="115" t="s">
        <v>3187</v>
      </c>
      <c r="H39" s="119" t="str">
        <f>Settings!$B$3&amp;".mit.ghg.ipr.blkproc.2"</f>
        <v>egy.mit.ghg.ipr.blkproc.2</v>
      </c>
      <c r="I39" s="115" t="s">
        <v>3188</v>
      </c>
      <c r="L39" s="121">
        <f>Mitigation_Industry!L789</f>
        <v>26.751620146588561</v>
      </c>
      <c r="M39" s="121">
        <f>Mitigation_Industry!M789</f>
        <v>27.646438017449757</v>
      </c>
      <c r="N39" s="121">
        <f>Mitigation_Industry!N789</f>
        <v>28.571608133999998</v>
      </c>
      <c r="O39" s="121">
        <f>Mitigation_Industry!O789</f>
        <v>29.528179985927999</v>
      </c>
      <c r="P39" s="121">
        <f>Mitigation_Industry!P789</f>
        <v>30.517240342133586</v>
      </c>
      <c r="Q39" s="121">
        <f>Mitigation_Industry!Q789</f>
        <v>31.539914624858142</v>
      </c>
      <c r="R39" s="121">
        <f>Mitigation_Industry!R789</f>
        <v>32.597368336956976</v>
      </c>
      <c r="S39" s="121">
        <f>Mitigation_Industry!S789</f>
        <v>33.690808544489862</v>
      </c>
      <c r="T39" s="121">
        <f>Mitigation_Industry!T789</f>
        <v>34.821485416900551</v>
      </c>
      <c r="U39" s="121">
        <f>Mitigation_Industry!U789</f>
        <v>35.990693827155248</v>
      </c>
      <c r="V39" s="121">
        <f>Mitigation_Industry!V789</f>
        <v>37.19977501431368</v>
      </c>
      <c r="W39" s="121">
        <f>Mitigation_Industry!W789</f>
        <v>38.450118311115105</v>
      </c>
      <c r="X39" s="121">
        <f>Mitigation_Industry!X789</f>
        <v>39.743162939274711</v>
      </c>
      <c r="Y39" s="121">
        <f>Mitigation_Industry!Y789</f>
        <v>41.08039987530541</v>
      </c>
      <c r="Z39" s="121">
        <f>Mitigation_Industry!Z789</f>
        <v>42.463373789803512</v>
      </c>
      <c r="AA39" s="121">
        <f>Mitigation_Industry!AA789</f>
        <v>43.893685063268059</v>
      </c>
      <c r="AB39" s="121">
        <f>Mitigation_Industry!AB789</f>
        <v>45.372991881658805</v>
      </c>
      <c r="AC39" s="121">
        <f>Mitigation_Industry!AC789</f>
        <v>46.903012415041424</v>
      </c>
      <c r="AD39" s="121">
        <f>Mitigation_Industry!AD789</f>
        <v>48.485527082817555</v>
      </c>
      <c r="AE39" s="121">
        <f>Mitigation_Industry!AE789</f>
        <v>50.122380909193787</v>
      </c>
    </row>
    <row r="40" spans="1:35" x14ac:dyDescent="0.35">
      <c r="B40" s="115" t="s">
        <v>2675</v>
      </c>
      <c r="C40" s="115" t="s">
        <v>3130</v>
      </c>
      <c r="D40" s="115" t="s">
        <v>3169</v>
      </c>
      <c r="E40" s="115" t="s">
        <v>1852</v>
      </c>
      <c r="F40" s="115" t="s">
        <v>3170</v>
      </c>
      <c r="H40" s="119" t="str">
        <f>Settings!$B$3&amp;".mit.ghg.ipr.blkfp.2"</f>
        <v>egy.mit.ghg.ipr.blkfp.2</v>
      </c>
      <c r="I40" s="115" t="s">
        <v>3171</v>
      </c>
      <c r="L40" s="121">
        <f>SUMPRODUCT((Mitigation_Industry!L729:L736+Mitigation_Industry!L751:L758)*Mitigation_Industry!$I$663:$I$670/(Mitigation_Industry!$F$729:$F$736+(Mitigation_Industry!$F$729:$F$736=0))*'Manual inputs'!$E$88:$E$95)</f>
        <v>2.1571572661716218</v>
      </c>
      <c r="M40" s="121">
        <f>SUMPRODUCT((Mitigation_Industry!M729:M736+Mitigation_Industry!M751:M758)*Mitigation_Industry!$I$663:$I$670/(Mitigation_Industry!$F$729:$F$736+(Mitigation_Industry!$F$729:$F$736=0))*'Manual inputs'!$E$88:$E$95)</f>
        <v>2.2046147260273972</v>
      </c>
      <c r="N40" s="121">
        <f>SUMPRODUCT((Mitigation_Industry!N729:N736+Mitigation_Industry!N751:N758)*Mitigation_Industry!$I$663:$I$670/(Mitigation_Industry!$F$729:$F$736+(Mitigation_Industry!$F$729:$F$736=0))*'Manual inputs'!$E$88:$E$95)</f>
        <v>2.2531162500000002</v>
      </c>
      <c r="O40" s="121">
        <f>SUMPRODUCT((Mitigation_Industry!O729:O736+Mitigation_Industry!O751:O758)*Mitigation_Industry!$I$663:$I$670/(Mitigation_Industry!$F$729:$F$736+(Mitigation_Industry!$F$729:$F$736=0))*'Manual inputs'!$E$88:$E$95)</f>
        <v>2.3026848075000004</v>
      </c>
      <c r="P40" s="121">
        <f>SUMPRODUCT((Mitigation_Industry!P729:P736+Mitigation_Industry!P751:P758)*Mitigation_Industry!$I$663:$I$670/(Mitigation_Industry!$F$729:$F$736+(Mitigation_Industry!$F$729:$F$736=0))*'Manual inputs'!$E$88:$E$95)</f>
        <v>2.3533438732650001</v>
      </c>
      <c r="Q40" s="121">
        <f>SUMPRODUCT((Mitigation_Industry!Q729:Q736+Mitigation_Industry!Q751:Q758)*Mitigation_Industry!$I$663:$I$670/(Mitigation_Industry!$F$729:$F$736+(Mitigation_Industry!$F$729:$F$736=0))*'Manual inputs'!$E$88:$E$95)</f>
        <v>2.4051174384768301</v>
      </c>
      <c r="R40" s="121">
        <f>SUMPRODUCT((Mitigation_Industry!R729:R736+Mitigation_Industry!R751:R758)*Mitigation_Industry!$I$663:$I$670/(Mitigation_Industry!$F$729:$F$736+(Mitigation_Industry!$F$729:$F$736=0))*'Manual inputs'!$E$88:$E$95)</f>
        <v>2.45803002212332</v>
      </c>
      <c r="S40" s="121">
        <f>SUMPRODUCT((Mitigation_Industry!S729:S736+Mitigation_Industry!S751:S758)*Mitigation_Industry!$I$663:$I$670/(Mitigation_Industry!$F$729:$F$736+(Mitigation_Industry!$F$729:$F$736=0))*'Manual inputs'!$E$88:$E$95)</f>
        <v>2.5121066826100331</v>
      </c>
      <c r="T40" s="121">
        <f>SUMPRODUCT((Mitigation_Industry!T729:T736+Mitigation_Industry!T751:T758)*Mitigation_Industry!$I$663:$I$670/(Mitigation_Industry!$F$729:$F$736+(Mitigation_Industry!$F$729:$F$736=0))*'Manual inputs'!$E$88:$E$95)</f>
        <v>2.5673730296274542</v>
      </c>
      <c r="U40" s="121">
        <f>SUMPRODUCT((Mitigation_Industry!U729:U736+Mitigation_Industry!U751:U758)*Mitigation_Industry!$I$663:$I$670/(Mitigation_Industry!$F$729:$F$736+(Mitigation_Industry!$F$729:$F$736=0))*'Manual inputs'!$E$88:$E$95)</f>
        <v>2.6238552362792582</v>
      </c>
      <c r="V40" s="121">
        <f>SUMPRODUCT((Mitigation_Industry!V729:V736+Mitigation_Industry!V751:V758)*Mitigation_Industry!$I$663:$I$670/(Mitigation_Industry!$F$729:$F$736+(Mitigation_Industry!$F$729:$F$736=0))*'Manual inputs'!$E$88:$E$95)</f>
        <v>2.6815800514774026</v>
      </c>
      <c r="W40" s="121">
        <f>SUMPRODUCT((Mitigation_Industry!W729:W736+Mitigation_Industry!W751:W758)*Mitigation_Industry!$I$663:$I$670/(Mitigation_Industry!$F$729:$F$736+(Mitigation_Industry!$F$729:$F$736=0))*'Manual inputs'!$E$88:$E$95)</f>
        <v>2.7405748126099048</v>
      </c>
      <c r="X40" s="121">
        <f>SUMPRODUCT((Mitigation_Industry!X729:X736+Mitigation_Industry!X751:X758)*Mitigation_Industry!$I$663:$I$670/(Mitigation_Industry!$F$729:$F$736+(Mitigation_Industry!$F$729:$F$736=0))*'Manual inputs'!$E$88:$E$95)</f>
        <v>2.800867458487323</v>
      </c>
      <c r="Y40" s="121">
        <f>SUMPRODUCT((Mitigation_Industry!Y729:Y736+Mitigation_Industry!Y751:Y758)*Mitigation_Industry!$I$663:$I$670/(Mitigation_Industry!$F$729:$F$736+(Mitigation_Industry!$F$729:$F$736=0))*'Manual inputs'!$E$88:$E$95)</f>
        <v>2.862486542574044</v>
      </c>
      <c r="Z40" s="121">
        <f>SUMPRODUCT((Mitigation_Industry!Z729:Z736+Mitigation_Industry!Z751:Z758)*Mitigation_Industry!$I$663:$I$670/(Mitigation_Industry!$F$729:$F$736+(Mitigation_Industry!$F$729:$F$736=0))*'Manual inputs'!$E$88:$E$95)</f>
        <v>2.9254612465106731</v>
      </c>
      <c r="AA40" s="121">
        <f>SUMPRODUCT((Mitigation_Industry!AA729:AA736+Mitigation_Industry!AA751:AA758)*Mitigation_Industry!$I$663:$I$670/(Mitigation_Industry!$F$729:$F$736+(Mitigation_Industry!$F$729:$F$736=0))*'Manual inputs'!$E$88:$E$95)</f>
        <v>2.9898213939339078</v>
      </c>
      <c r="AB40" s="121">
        <f>SUMPRODUCT((Mitigation_Industry!AB729:AB736+Mitigation_Industry!AB751:AB758)*Mitigation_Industry!$I$663:$I$670/(Mitigation_Industry!$F$729:$F$736+(Mitigation_Industry!$F$729:$F$736=0))*'Manual inputs'!$E$88:$E$95)</f>
        <v>3.0555974646004533</v>
      </c>
      <c r="AC40" s="121">
        <f>SUMPRODUCT((Mitigation_Industry!AC729:AC736+Mitigation_Industry!AC751:AC758)*Mitigation_Industry!$I$663:$I$670/(Mitigation_Industry!$F$729:$F$736+(Mitigation_Industry!$F$729:$F$736=0))*'Manual inputs'!$E$88:$E$95)</f>
        <v>3.1228206088216641</v>
      </c>
      <c r="AD40" s="121">
        <f>SUMPRODUCT((Mitigation_Industry!AD729:AD736+Mitigation_Industry!AD751:AD758)*Mitigation_Industry!$I$663:$I$670/(Mitigation_Industry!$F$729:$F$736+(Mitigation_Industry!$F$729:$F$736=0))*'Manual inputs'!$E$88:$E$95)</f>
        <v>3.1915226622157404</v>
      </c>
      <c r="AE40" s="121">
        <f>SUMPRODUCT((Mitigation_Industry!AE729:AE736+Mitigation_Industry!AE751:AE758)*Mitigation_Industry!$I$663:$I$670/(Mitigation_Industry!$F$729:$F$736+(Mitigation_Industry!$F$729:$F$736=0))*'Manual inputs'!$E$88:$E$95)</f>
        <v>3.2617361607844866</v>
      </c>
    </row>
    <row r="41" spans="1:35" x14ac:dyDescent="0.35">
      <c r="B41" s="115" t="s">
        <v>2675</v>
      </c>
      <c r="C41" s="115" t="s">
        <v>3130</v>
      </c>
      <c r="D41" s="115" t="s">
        <v>3172</v>
      </c>
      <c r="E41" s="115" t="s">
        <v>1852</v>
      </c>
      <c r="H41" s="119" t="str">
        <f>Settings!$B$3&amp;".mit.ghg.ipr.blk.2"</f>
        <v>egy.mit.ghg.ipr.blk.2</v>
      </c>
      <c r="L41" s="121">
        <f t="shared" ref="L41:AE41" si="10">L39+L40</f>
        <v>28.908777412760184</v>
      </c>
      <c r="M41" s="121">
        <f t="shared" si="10"/>
        <v>29.851052743477155</v>
      </c>
      <c r="N41" s="121">
        <f t="shared" si="10"/>
        <v>30.824724384</v>
      </c>
      <c r="O41" s="121">
        <f t="shared" si="10"/>
        <v>31.830864793427999</v>
      </c>
      <c r="P41" s="121">
        <f t="shared" si="10"/>
        <v>32.870584215398587</v>
      </c>
      <c r="Q41" s="121">
        <f t="shared" si="10"/>
        <v>33.94503206333497</v>
      </c>
      <c r="R41" s="121">
        <f t="shared" si="10"/>
        <v>35.055398359080293</v>
      </c>
      <c r="S41" s="121">
        <f t="shared" si="10"/>
        <v>36.202915227099894</v>
      </c>
      <c r="T41" s="121">
        <f t="shared" si="10"/>
        <v>37.388858446528005</v>
      </c>
      <c r="U41" s="121">
        <f t="shared" si="10"/>
        <v>38.614549063434509</v>
      </c>
      <c r="V41" s="121">
        <f t="shared" si="10"/>
        <v>39.881355065791084</v>
      </c>
      <c r="W41" s="121">
        <f t="shared" si="10"/>
        <v>41.190693123725012</v>
      </c>
      <c r="X41" s="121">
        <f t="shared" si="10"/>
        <v>42.544030397762036</v>
      </c>
      <c r="Y41" s="121">
        <f t="shared" si="10"/>
        <v>43.942886417879457</v>
      </c>
      <c r="Z41" s="121">
        <f t="shared" si="10"/>
        <v>45.388835036314184</v>
      </c>
      <c r="AA41" s="121">
        <f t="shared" si="10"/>
        <v>46.883506457201968</v>
      </c>
      <c r="AB41" s="121">
        <f t="shared" si="10"/>
        <v>48.428589346259258</v>
      </c>
      <c r="AC41" s="121">
        <f t="shared" si="10"/>
        <v>50.025833023863086</v>
      </c>
      <c r="AD41" s="121">
        <f t="shared" si="10"/>
        <v>51.677049745033294</v>
      </c>
      <c r="AE41" s="121">
        <f t="shared" si="10"/>
        <v>53.384117069978274</v>
      </c>
    </row>
    <row r="42" spans="1:35" x14ac:dyDescent="0.35">
      <c r="B42" s="115" t="s">
        <v>3173</v>
      </c>
      <c r="C42" s="115" t="s">
        <v>3130</v>
      </c>
      <c r="D42" s="115" t="s">
        <v>3174</v>
      </c>
      <c r="E42" s="115" t="s">
        <v>1852</v>
      </c>
      <c r="H42" s="119" t="str">
        <f>Settings!$B$3&amp;".mit.ghg.ipr.oth.2"</f>
        <v>egy.mit.ghg.ipr.oth.2</v>
      </c>
      <c r="I42" s="115" t="s">
        <v>3189</v>
      </c>
      <c r="L42" s="121">
        <f>IF('Manual inputs'!$E$85="CPAT",IF(L19=0,0,L25*L36/L19),L25)</f>
        <v>23.291572347716414</v>
      </c>
      <c r="M42" s="121">
        <f>IF('Manual inputs'!$E$85="CPAT",IF(M19=0,0,M25*M36/M19),M25)</f>
        <v>27.052378387327124</v>
      </c>
      <c r="N42" s="121">
        <f>IF('Manual inputs'!$E$85="CPAT",IF(N19=0,0,N25*N36/N19),N25)</f>
        <v>35.645693893289213</v>
      </c>
      <c r="O42" s="121">
        <f>IF('Manual inputs'!$E$85="CPAT",IF(O19=0,0,O25*O36/O19),O25)</f>
        <v>42.270122522556754</v>
      </c>
      <c r="P42" s="121">
        <f>IF('Manual inputs'!$E$85="CPAT",IF(P19=0,0,P25*P36/P19),P25)</f>
        <v>39.167469536964141</v>
      </c>
      <c r="Q42" s="121">
        <f>IF('Manual inputs'!$E$85="CPAT",IF(Q19=0,0,Q25*Q36/Q19),Q25)</f>
        <v>44.620660000285916</v>
      </c>
      <c r="R42" s="121">
        <f>IF('Manual inputs'!$E$85="CPAT",IF(R19=0,0,R25*R36/R19),R25)</f>
        <v>46.664181881228295</v>
      </c>
      <c r="S42" s="121">
        <f>IF('Manual inputs'!$E$85="CPAT",IF(S19=0,0,S25*S36/S19),S25)</f>
        <v>48.571357338381702</v>
      </c>
      <c r="T42" s="121">
        <f>IF('Manual inputs'!$E$85="CPAT",IF(T19=0,0,T25*T36/T19),T25)</f>
        <v>50.27644413601638</v>
      </c>
      <c r="U42" s="121">
        <f>IF('Manual inputs'!$E$85="CPAT",IF(U19=0,0,U25*U36/U19),U25)</f>
        <v>51.98835337985642</v>
      </c>
      <c r="V42" s="121">
        <f>IF('Manual inputs'!$E$85="CPAT",IF(V19=0,0,V25*V36/V19),V25)</f>
        <v>53.67666826466602</v>
      </c>
      <c r="W42" s="121">
        <f>IF('Manual inputs'!$E$85="CPAT",IF(W19=0,0,W25*W36/W19),W25)</f>
        <v>55.378429300866983</v>
      </c>
      <c r="X42" s="121">
        <f>IF('Manual inputs'!$E$85="CPAT",IF(X19=0,0,X25*X36/X19),X25)</f>
        <v>57.091881438104018</v>
      </c>
      <c r="Y42" s="121">
        <f>IF('Manual inputs'!$E$85="CPAT",IF(Y19=0,0,Y25*Y36/Y19),Y25)</f>
        <v>58.815179771798093</v>
      </c>
      <c r="Z42" s="121">
        <f>IF('Manual inputs'!$E$85="CPAT",IF(Z19=0,0,Z25*Z36/Z19),Z25)</f>
        <v>60.546386886262347</v>
      </c>
      <c r="AA42" s="121">
        <f>IF('Manual inputs'!$E$85="CPAT",IF(AA19=0,0,AA25*AA36/AA19),AA25)</f>
        <v>62.283470009014927</v>
      </c>
      <c r="AB42" s="121">
        <f>IF('Manual inputs'!$E$85="CPAT",IF(AB19=0,0,AB25*AB36/AB19),AB25)</f>
        <v>64.02429796802555</v>
      </c>
      <c r="AC42" s="121">
        <f>IF('Manual inputs'!$E$85="CPAT",IF(AC19=0,0,AC25*AC36/AC19),AC25)</f>
        <v>65.766637943701738</v>
      </c>
      <c r="AD42" s="121">
        <f>IF('Manual inputs'!$E$85="CPAT",IF(AD19=0,0,AD25*AD36/AD19),AD25)</f>
        <v>67.508152007480049</v>
      </c>
      <c r="AE42" s="121">
        <f>IF('Manual inputs'!$E$85="CPAT",IF(AE19=0,0,AE25*AE36/AE19),AE25)</f>
        <v>69.246393438916968</v>
      </c>
    </row>
    <row r="43" spans="1:35" ht="13.9" x14ac:dyDescent="0.4">
      <c r="B43" s="124" t="s">
        <v>110</v>
      </c>
      <c r="C43" s="124" t="s">
        <v>3130</v>
      </c>
      <c r="D43" s="124" t="s">
        <v>3176</v>
      </c>
      <c r="E43" s="124" t="s">
        <v>1852</v>
      </c>
      <c r="F43" s="124"/>
      <c r="G43" s="124"/>
      <c r="H43" s="145" t="str">
        <f>Settings!$B$3&amp;".mit.ghg.iprk.tot.2"</f>
        <v>egy.mit.ghg.iprk.tot.2</v>
      </c>
      <c r="I43" s="124" t="s">
        <v>3190</v>
      </c>
      <c r="J43" s="124"/>
      <c r="K43" s="124"/>
      <c r="L43" s="146">
        <f t="shared" ref="L43:AE43" si="11">L41+L42</f>
        <v>52.200349760476598</v>
      </c>
      <c r="M43" s="146">
        <f t="shared" si="11"/>
        <v>56.903431130804279</v>
      </c>
      <c r="N43" s="146">
        <f t="shared" si="11"/>
        <v>66.470418277289212</v>
      </c>
      <c r="O43" s="146">
        <f t="shared" si="11"/>
        <v>74.100987315984753</v>
      </c>
      <c r="P43" s="146">
        <f t="shared" si="11"/>
        <v>72.038053752362728</v>
      </c>
      <c r="Q43" s="146">
        <f t="shared" si="11"/>
        <v>78.565692063620887</v>
      </c>
      <c r="R43" s="146">
        <f t="shared" si="11"/>
        <v>81.719580240308588</v>
      </c>
      <c r="S43" s="146">
        <f t="shared" si="11"/>
        <v>84.774272565481596</v>
      </c>
      <c r="T43" s="146">
        <f t="shared" si="11"/>
        <v>87.665302582544385</v>
      </c>
      <c r="U43" s="146">
        <f t="shared" si="11"/>
        <v>90.60290244329093</v>
      </c>
      <c r="V43" s="146">
        <f t="shared" si="11"/>
        <v>93.558023330457104</v>
      </c>
      <c r="W43" s="146">
        <f t="shared" si="11"/>
        <v>96.569122424591995</v>
      </c>
      <c r="X43" s="146">
        <f t="shared" si="11"/>
        <v>99.635911835866054</v>
      </c>
      <c r="Y43" s="146">
        <f t="shared" si="11"/>
        <v>102.75806618967755</v>
      </c>
      <c r="Z43" s="146">
        <f t="shared" si="11"/>
        <v>105.93522192257653</v>
      </c>
      <c r="AA43" s="146">
        <f t="shared" si="11"/>
        <v>109.16697646621689</v>
      </c>
      <c r="AB43" s="146">
        <f t="shared" si="11"/>
        <v>112.45288731428481</v>
      </c>
      <c r="AC43" s="146">
        <f t="shared" si="11"/>
        <v>115.79247096756482</v>
      </c>
      <c r="AD43" s="146">
        <f t="shared" si="11"/>
        <v>119.18520175251334</v>
      </c>
      <c r="AE43" s="146">
        <f t="shared" si="11"/>
        <v>122.63051050889524</v>
      </c>
      <c r="AF43" s="124"/>
      <c r="AG43" s="124"/>
      <c r="AH43" s="124"/>
      <c r="AI43" s="124"/>
    </row>
    <row r="44" spans="1:35" x14ac:dyDescent="0.35">
      <c r="B44" s="115" t="s">
        <v>110</v>
      </c>
      <c r="C44" s="115" t="s">
        <v>3130</v>
      </c>
      <c r="D44" s="115" t="s">
        <v>3178</v>
      </c>
      <c r="E44" s="115" t="s">
        <v>1852</v>
      </c>
      <c r="H44" s="119" t="str">
        <f>Settings!$B$3&amp;".mit.ghg.iprdc.tot.2"</f>
        <v>egy.mit.ghg.iprdc.tot.2</v>
      </c>
      <c r="I44" s="115" t="s">
        <v>3179</v>
      </c>
      <c r="L44" s="121">
        <f t="shared" ref="L44:AE44" si="12">L43-L36</f>
        <v>0</v>
      </c>
      <c r="M44" s="121">
        <f t="shared" si="12"/>
        <v>0</v>
      </c>
      <c r="N44" s="121">
        <f t="shared" si="12"/>
        <v>0</v>
      </c>
      <c r="O44" s="121">
        <f t="shared" si="12"/>
        <v>0</v>
      </c>
      <c r="P44" s="121">
        <f t="shared" si="12"/>
        <v>0</v>
      </c>
      <c r="Q44" s="121">
        <f t="shared" si="12"/>
        <v>1.4090398681312308</v>
      </c>
      <c r="R44" s="121">
        <f t="shared" si="12"/>
        <v>2.6673965235448378</v>
      </c>
      <c r="S44" s="121">
        <f t="shared" si="12"/>
        <v>3.8181630055287599</v>
      </c>
      <c r="T44" s="121">
        <f t="shared" si="12"/>
        <v>4.8795095359972152</v>
      </c>
      <c r="U44" s="121">
        <f t="shared" si="12"/>
        <v>5.8802184098541375</v>
      </c>
      <c r="V44" s="121">
        <f t="shared" si="12"/>
        <v>6.80772680646227</v>
      </c>
      <c r="W44" s="121">
        <f t="shared" si="12"/>
        <v>7.6897753620378069</v>
      </c>
      <c r="X44" s="121">
        <f t="shared" si="12"/>
        <v>8.5333569344649902</v>
      </c>
      <c r="Y44" s="121">
        <f t="shared" si="12"/>
        <v>9.3427525163357785</v>
      </c>
      <c r="Z44" s="121">
        <f t="shared" si="12"/>
        <v>10.11919326251622</v>
      </c>
      <c r="AA44" s="121">
        <f t="shared" si="12"/>
        <v>10.865381102071524</v>
      </c>
      <c r="AB44" s="121">
        <f t="shared" si="12"/>
        <v>11.584058705353883</v>
      </c>
      <c r="AC44" s="121">
        <f t="shared" si="12"/>
        <v>12.27945098871038</v>
      </c>
      <c r="AD44" s="121">
        <f t="shared" si="12"/>
        <v>12.955061337753065</v>
      </c>
      <c r="AE44" s="121">
        <f t="shared" si="12"/>
        <v>13.613511081620189</v>
      </c>
    </row>
    <row r="45" spans="1:35" x14ac:dyDescent="0.35">
      <c r="B45" s="115" t="s">
        <v>3180</v>
      </c>
      <c r="C45" s="115" t="s">
        <v>3130</v>
      </c>
      <c r="D45" s="115" t="s">
        <v>3181</v>
      </c>
      <c r="E45" s="115" t="s">
        <v>79</v>
      </c>
      <c r="H45" s="119" t="str">
        <f>Settings!$B$3&amp;".mit.ghg.iprshb.tot.2"</f>
        <v>egy.mit.ghg.iprshb.tot.2</v>
      </c>
      <c r="L45" s="147">
        <f t="shared" ref="L45:AE45" si="13">IF(L36=0,0,L41/L36)</f>
        <v>0.55380428570707418</v>
      </c>
      <c r="M45" s="147">
        <f t="shared" si="13"/>
        <v>0.52459143763859073</v>
      </c>
      <c r="N45" s="147">
        <f t="shared" si="13"/>
        <v>0.46373597733973954</v>
      </c>
      <c r="O45" s="147">
        <f t="shared" si="13"/>
        <v>0.42956060298756071</v>
      </c>
      <c r="P45" s="147">
        <f t="shared" si="13"/>
        <v>0.45629472901078322</v>
      </c>
      <c r="Q45" s="147">
        <f t="shared" si="13"/>
        <v>0.43994951954796313</v>
      </c>
      <c r="R45" s="147">
        <f t="shared" si="13"/>
        <v>0.44344629978446087</v>
      </c>
      <c r="S45" s="147">
        <f t="shared" si="13"/>
        <v>0.44719188488534606</v>
      </c>
      <c r="T45" s="147">
        <f t="shared" si="13"/>
        <v>0.45163375345701806</v>
      </c>
      <c r="U45" s="147">
        <f t="shared" si="13"/>
        <v>0.45577579964528542</v>
      </c>
      <c r="V45" s="147">
        <f t="shared" si="13"/>
        <v>0.45972586450767966</v>
      </c>
      <c r="W45" s="147">
        <f t="shared" si="13"/>
        <v>0.46344504640357659</v>
      </c>
      <c r="X45" s="147">
        <f t="shared" si="13"/>
        <v>0.46699053000002916</v>
      </c>
      <c r="Y45" s="147">
        <f t="shared" si="13"/>
        <v>0.47040345624209556</v>
      </c>
      <c r="Z45" s="147">
        <f t="shared" si="13"/>
        <v>0.47370816418771006</v>
      </c>
      <c r="AA45" s="147">
        <f t="shared" si="13"/>
        <v>0.47693535678162868</v>
      </c>
      <c r="AB45" s="147">
        <f t="shared" si="13"/>
        <v>0.48011452114723369</v>
      </c>
      <c r="AC45" s="147">
        <f t="shared" si="13"/>
        <v>0.48328058667481949</v>
      </c>
      <c r="AD45" s="147">
        <f t="shared" si="13"/>
        <v>0.4864631595446236</v>
      </c>
      <c r="AE45" s="147">
        <f t="shared" si="13"/>
        <v>0.48968617142678444</v>
      </c>
    </row>
    <row r="48" spans="1:35" customFormat="1" ht="18" customHeight="1" x14ac:dyDescent="0.45">
      <c r="A48" s="8"/>
      <c r="B48" s="9" t="s">
        <v>3191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50" spans="1:35" customFormat="1" ht="14.25" x14ac:dyDescent="0.45">
      <c r="A50" s="11"/>
      <c r="B50" s="6" t="s">
        <v>1488</v>
      </c>
      <c r="C50" s="7" t="s">
        <v>33</v>
      </c>
      <c r="D50" s="6" t="s">
        <v>34</v>
      </c>
      <c r="E50" s="7" t="s">
        <v>35</v>
      </c>
      <c r="F50" s="7" t="s">
        <v>36</v>
      </c>
      <c r="G50" s="7" t="s">
        <v>37</v>
      </c>
      <c r="H50" s="12" t="s">
        <v>38</v>
      </c>
      <c r="I50" s="6" t="s">
        <v>39</v>
      </c>
      <c r="J50" s="48">
        <v>1</v>
      </c>
      <c r="K50" s="6">
        <v>2021</v>
      </c>
      <c r="L50" s="46">
        <v>2022</v>
      </c>
      <c r="M50" s="6">
        <v>2023</v>
      </c>
      <c r="N50" s="6">
        <v>2024</v>
      </c>
      <c r="O50" s="6">
        <v>2025</v>
      </c>
      <c r="P50" s="6">
        <v>2026</v>
      </c>
      <c r="Q50" s="6">
        <v>2027</v>
      </c>
      <c r="R50" s="6">
        <v>2028</v>
      </c>
      <c r="S50" s="6">
        <v>2029</v>
      </c>
      <c r="T50" s="6">
        <v>2030</v>
      </c>
      <c r="U50" s="6">
        <v>2031</v>
      </c>
      <c r="V50" s="6">
        <v>2032</v>
      </c>
      <c r="W50" s="6">
        <v>2033</v>
      </c>
      <c r="X50" s="6">
        <v>2034</v>
      </c>
      <c r="Y50" s="6">
        <v>2035</v>
      </c>
      <c r="Z50" s="6">
        <v>2036</v>
      </c>
      <c r="AA50" s="6">
        <v>2037</v>
      </c>
      <c r="AB50" s="6">
        <v>2038</v>
      </c>
      <c r="AC50" s="6">
        <v>2039</v>
      </c>
      <c r="AD50" s="6">
        <v>2040</v>
      </c>
      <c r="AE50" s="6">
        <v>2041</v>
      </c>
      <c r="AF50" s="6">
        <v>2042</v>
      </c>
      <c r="AG50" s="6">
        <v>2043</v>
      </c>
      <c r="AH50" s="6">
        <v>2044</v>
      </c>
      <c r="AI50" s="6">
        <v>2045</v>
      </c>
    </row>
    <row r="51" spans="1:35" x14ac:dyDescent="0.35">
      <c r="B51" s="115" t="s">
        <v>3192</v>
      </c>
      <c r="C51" s="115" t="s">
        <v>43</v>
      </c>
      <c r="D51" s="115" t="s">
        <v>3193</v>
      </c>
      <c r="E51" s="115" t="s">
        <v>2068</v>
      </c>
      <c r="F51" s="115" t="s">
        <v>3194</v>
      </c>
      <c r="H51" s="119" t="str">
        <f>Settings!$B$3&amp;".mit.eco2.blk.irn.1"</f>
        <v>egy.mit.eco2.blk.irn.1</v>
      </c>
      <c r="I51" s="115" t="s">
        <v>2254</v>
      </c>
      <c r="L51" s="121">
        <f>Mitigation_Industry!L375-SUMPRODUCT((Mitigation_Industry!L330:L332+Mitigation_Industry!L352:L354)*Mitigation_Industry!$I$264:$I$266/(Mitigation_Industry!$F$330:$F$332+(Mitigation_Industry!$F$330:$F$332=0))*'Manual inputs'!$E$88:$E$90)</f>
        <v>2.8694133664728936</v>
      </c>
      <c r="M51" s="121">
        <f>Mitigation_Industry!M375-SUMPRODUCT((Mitigation_Industry!M330:M332+Mitigation_Industry!M352:M354)*Mitigation_Industry!$I$264:$I$266/(Mitigation_Industry!$F$330:$F$332+(Mitigation_Industry!$F$330:$F$332=0))*'Manual inputs'!$E$88:$E$90)</f>
        <v>2.9956675545977007</v>
      </c>
      <c r="N51" s="121">
        <f>Mitigation_Industry!N375-SUMPRODUCT((Mitigation_Industry!N330:N332+Mitigation_Industry!N352:N354)*Mitigation_Industry!$I$264:$I$266/(Mitigation_Industry!$F$330:$F$332+(Mitigation_Industry!$F$330:$F$332=0))*'Manual inputs'!$E$88:$E$90)</f>
        <v>3.1274769269999996</v>
      </c>
      <c r="O51" s="121">
        <f>Mitigation_Industry!O375-SUMPRODUCT((Mitigation_Industry!O330:O332+Mitigation_Industry!O352:O354)*Mitigation_Industry!$I$264:$I$266/(Mitigation_Industry!$F$330:$F$332+(Mitigation_Industry!$F$330:$F$332=0))*'Manual inputs'!$E$88:$E$90)</f>
        <v>3.2650859117880002</v>
      </c>
      <c r="P51" s="121">
        <f>Mitigation_Industry!P375-SUMPRODUCT((Mitigation_Industry!P330:P332+Mitigation_Industry!P352:P354)*Mitigation_Industry!$I$264:$I$266/(Mitigation_Industry!$F$330:$F$332+(Mitigation_Industry!$F$330:$F$332=0))*'Manual inputs'!$E$88:$E$90)</f>
        <v>3.4087496919066722</v>
      </c>
      <c r="Q51" s="121">
        <f>Mitigation_Industry!Q375-SUMPRODUCT((Mitigation_Industry!Q330:Q332+Mitigation_Industry!Q352:Q354)*Mitigation_Industry!$I$264:$I$266/(Mitigation_Industry!$F$330:$F$332+(Mitigation_Industry!$F$330:$F$332=0))*'Manual inputs'!$E$88:$E$90)</f>
        <v>3.5587346783505662</v>
      </c>
      <c r="R51" s="121">
        <f>Mitigation_Industry!R375-SUMPRODUCT((Mitigation_Industry!R330:R332+Mitigation_Industry!R352:R354)*Mitigation_Industry!$I$264:$I$266/(Mitigation_Industry!$F$330:$F$332+(Mitigation_Industry!$F$330:$F$332=0))*'Manual inputs'!$E$88:$E$90)</f>
        <v>3.7153190041979904</v>
      </c>
      <c r="S51" s="121">
        <f>Mitigation_Industry!S375-SUMPRODUCT((Mitigation_Industry!S330:S332+Mitigation_Industry!S352:S354)*Mitigation_Industry!$I$264:$I$266/(Mitigation_Industry!$F$330:$F$332+(Mitigation_Industry!$F$330:$F$332=0))*'Manual inputs'!$E$88:$E$90)</f>
        <v>3.8787930403827025</v>
      </c>
      <c r="T51" s="121">
        <f>Mitigation_Industry!T375-SUMPRODUCT((Mitigation_Industry!T330:T332+Mitigation_Industry!T352:T354)*Mitigation_Industry!$I$264:$I$266/(Mitigation_Industry!$F$330:$F$332+(Mitigation_Industry!$F$330:$F$332=0))*'Manual inputs'!$E$88:$E$90)</f>
        <v>4.0494599341595423</v>
      </c>
      <c r="U51" s="121">
        <f>Mitigation_Industry!U375-SUMPRODUCT((Mitigation_Industry!U330:U332+Mitigation_Industry!U352:U354)*Mitigation_Industry!$I$264:$I$266/(Mitigation_Industry!$F$330:$F$332+(Mitigation_Industry!$F$330:$F$332=0))*'Manual inputs'!$E$88:$E$90)</f>
        <v>4.2276361712625619</v>
      </c>
      <c r="V51" s="121">
        <f>Mitigation_Industry!V375-SUMPRODUCT((Mitigation_Industry!V330:V332+Mitigation_Industry!V352:V354)*Mitigation_Industry!$I$264:$I$266/(Mitigation_Industry!$F$330:$F$332+(Mitigation_Industry!$F$330:$F$332=0))*'Manual inputs'!$E$88:$E$90)</f>
        <v>4.4136521627981145</v>
      </c>
      <c r="W51" s="121">
        <f>Mitigation_Industry!W375-SUMPRODUCT((Mitigation_Industry!W330:W332+Mitigation_Industry!W352:W354)*Mitigation_Industry!$I$264:$I$266/(Mitigation_Industry!$F$330:$F$332+(Mitigation_Industry!$F$330:$F$332=0))*'Manual inputs'!$E$88:$E$90)</f>
        <v>4.6078528579612303</v>
      </c>
      <c r="X51" s="121">
        <f>Mitigation_Industry!X375-SUMPRODUCT((Mitigation_Industry!X330:X332+Mitigation_Industry!X352:X354)*Mitigation_Industry!$I$264:$I$266/(Mitigation_Industry!$F$330:$F$332+(Mitigation_Industry!$F$330:$F$332=0))*'Manual inputs'!$E$88:$E$90)</f>
        <v>4.8105983837115254</v>
      </c>
      <c r="Y51" s="121">
        <f>Mitigation_Industry!Y375-SUMPRODUCT((Mitigation_Industry!Y330:Y332+Mitigation_Industry!Y352:Y354)*Mitigation_Industry!$I$264:$I$266/(Mitigation_Industry!$F$330:$F$332+(Mitigation_Industry!$F$330:$F$332=0))*'Manual inputs'!$E$88:$E$90)</f>
        <v>5.0222647125948336</v>
      </c>
      <c r="Z51" s="121">
        <f>Mitigation_Industry!Z375-SUMPRODUCT((Mitigation_Industry!Z330:Z332+Mitigation_Industry!Z352:Z354)*Mitigation_Industry!$I$264:$I$266/(Mitigation_Industry!$F$330:$F$332+(Mitigation_Industry!$F$330:$F$332=0))*'Manual inputs'!$E$88:$E$90)</f>
        <v>5.2432443599490046</v>
      </c>
      <c r="AA51" s="121">
        <f>Mitigation_Industry!AA375-SUMPRODUCT((Mitigation_Industry!AA330:AA332+Mitigation_Industry!AA352:AA354)*Mitigation_Industry!$I$264:$I$266/(Mitigation_Industry!$F$330:$F$332+(Mitigation_Industry!$F$330:$F$332=0))*'Manual inputs'!$E$88:$E$90)</f>
        <v>5.4739471117867611</v>
      </c>
      <c r="AB51" s="121">
        <f>Mitigation_Industry!AB375-SUMPRODUCT((Mitigation_Industry!AB330:AB332+Mitigation_Industry!AB352:AB354)*Mitigation_Industry!$I$264:$I$266/(Mitigation_Industry!$F$330:$F$332+(Mitigation_Industry!$F$330:$F$332=0))*'Manual inputs'!$E$88:$E$90)</f>
        <v>5.714800784705381</v>
      </c>
      <c r="AC51" s="121">
        <f>Mitigation_Industry!AC375-SUMPRODUCT((Mitigation_Industry!AC330:AC332+Mitigation_Industry!AC352:AC354)*Mitigation_Industry!$I$264:$I$266/(Mitigation_Industry!$F$330:$F$332+(Mitigation_Industry!$F$330:$F$332=0))*'Manual inputs'!$E$88:$E$90)</f>
        <v>5.9662520192324164</v>
      </c>
      <c r="AD51" s="121">
        <f>Mitigation_Industry!AD375-SUMPRODUCT((Mitigation_Industry!AD330:AD332+Mitigation_Industry!AD352:AD354)*Mitigation_Industry!$I$264:$I$266/(Mitigation_Industry!$F$330:$F$332+(Mitigation_Industry!$F$330:$F$332=0))*'Manual inputs'!$E$88:$E$90)</f>
        <v>6.2287671080786424</v>
      </c>
      <c r="AE51" s="121">
        <f>Mitigation_Industry!AE375-SUMPRODUCT((Mitigation_Industry!AE330:AE332+Mitigation_Industry!AE352:AE354)*Mitigation_Industry!$I$264:$I$266/(Mitigation_Industry!$F$330:$F$332+(Mitigation_Industry!$F$330:$F$332=0))*'Manual inputs'!$E$88:$E$90)</f>
        <v>6.5028328608341015</v>
      </c>
    </row>
    <row r="52" spans="1:35" x14ac:dyDescent="0.35">
      <c r="B52" s="115" t="s">
        <v>110</v>
      </c>
      <c r="C52" s="115" t="s">
        <v>43</v>
      </c>
      <c r="D52" s="115" t="s">
        <v>3195</v>
      </c>
      <c r="E52" s="115" t="s">
        <v>2068</v>
      </c>
      <c r="F52" s="115" t="s">
        <v>3196</v>
      </c>
      <c r="I52" s="115" t="s">
        <v>2157</v>
      </c>
      <c r="L52" s="121">
        <f>Emissions_Industry!L15</f>
        <v>4.5303835184019645</v>
      </c>
      <c r="M52" s="121">
        <f>Emissions_Industry!M15</f>
        <v>3.8469033618625206</v>
      </c>
      <c r="N52" s="121">
        <f>Emissions_Industry!N15</f>
        <v>4.3290746208215198</v>
      </c>
      <c r="O52" s="121">
        <f>Emissions_Industry!O15</f>
        <v>4.5451606543512009</v>
      </c>
      <c r="P52" s="121">
        <f>Emissions_Industry!P15</f>
        <v>4.6606527233890995</v>
      </c>
      <c r="Q52" s="121">
        <f>Emissions_Industry!Q15</f>
        <v>4.8330795942744347</v>
      </c>
      <c r="R52" s="121">
        <f>Emissions_Industry!R15</f>
        <v>5.0529306123252606</v>
      </c>
      <c r="S52" s="121">
        <f>Emissions_Industry!S15</f>
        <v>5.2667916999615381</v>
      </c>
      <c r="T52" s="121">
        <f>Emissions_Industry!T15</f>
        <v>5.4699790897750464</v>
      </c>
      <c r="U52" s="121">
        <f>Emissions_Industry!U15</f>
        <v>5.6771103604276671</v>
      </c>
      <c r="V52" s="121">
        <f>Emissions_Industry!V15</f>
        <v>5.8842858461533165</v>
      </c>
      <c r="W52" s="121">
        <f>Emissions_Industry!W15</f>
        <v>6.0960674143926461</v>
      </c>
      <c r="X52" s="121">
        <f>Emissions_Industry!X15</f>
        <v>6.3124466882788575</v>
      </c>
      <c r="Y52" s="121">
        <f>Emissions_Industry!Y15</f>
        <v>6.5334118787127196</v>
      </c>
      <c r="Z52" s="121">
        <f>Emissions_Industry!Z15</f>
        <v>6.7589477212745512</v>
      </c>
      <c r="AA52" s="121">
        <f>Emissions_Industry!AA15</f>
        <v>6.9890354050403589</v>
      </c>
      <c r="AB52" s="121">
        <f>Emissions_Industry!AB15</f>
        <v>7.2236524927720804</v>
      </c>
      <c r="AC52" s="121">
        <f>Emissions_Industry!AC15</f>
        <v>7.4627728319721847</v>
      </c>
      <c r="AD52" s="121">
        <f>Emissions_Industry!AD15</f>
        <v>7.7063664563130869</v>
      </c>
      <c r="AE52" s="121">
        <f>Emissions_Industry!AE15</f>
        <v>7.9543994769708668</v>
      </c>
    </row>
    <row r="53" spans="1:35" x14ac:dyDescent="0.35">
      <c r="B53" s="115" t="s">
        <v>3197</v>
      </c>
      <c r="C53" s="115" t="s">
        <v>43</v>
      </c>
      <c r="D53" s="115" t="s">
        <v>3198</v>
      </c>
      <c r="E53" s="115" t="s">
        <v>2068</v>
      </c>
      <c r="H53" s="119" t="str">
        <f>Settings!$B$3&amp;".mit.eco2.gap.irn.1"</f>
        <v>egy.mit.eco2.gap.irn.1</v>
      </c>
      <c r="I53" s="115" t="s">
        <v>3199</v>
      </c>
      <c r="L53" s="121">
        <f t="shared" ref="L53:AE53" si="14">L52-L51</f>
        <v>1.6609701519290709</v>
      </c>
      <c r="M53" s="121">
        <f t="shared" si="14"/>
        <v>0.85123580726481984</v>
      </c>
      <c r="N53" s="121">
        <f t="shared" si="14"/>
        <v>1.2015976938215203</v>
      </c>
      <c r="O53" s="121">
        <f t="shared" si="14"/>
        <v>1.2800747425632006</v>
      </c>
      <c r="P53" s="121">
        <f t="shared" si="14"/>
        <v>1.2519030314824273</v>
      </c>
      <c r="Q53" s="121">
        <f t="shared" si="14"/>
        <v>1.2743449159238684</v>
      </c>
      <c r="R53" s="121">
        <f t="shared" si="14"/>
        <v>1.3376116081272702</v>
      </c>
      <c r="S53" s="121">
        <f t="shared" si="14"/>
        <v>1.3879986595788356</v>
      </c>
      <c r="T53" s="121">
        <f t="shared" si="14"/>
        <v>1.4205191556155041</v>
      </c>
      <c r="U53" s="121">
        <f t="shared" si="14"/>
        <v>1.4494741891651053</v>
      </c>
      <c r="V53" s="121">
        <f t="shared" si="14"/>
        <v>1.4706336833552021</v>
      </c>
      <c r="W53" s="121">
        <f t="shared" si="14"/>
        <v>1.4882145564314158</v>
      </c>
      <c r="X53" s="121">
        <f t="shared" si="14"/>
        <v>1.5018483045673321</v>
      </c>
      <c r="Y53" s="121">
        <f t="shared" si="14"/>
        <v>1.5111471661178859</v>
      </c>
      <c r="Z53" s="121">
        <f t="shared" si="14"/>
        <v>1.5157033613255466</v>
      </c>
      <c r="AA53" s="121">
        <f t="shared" si="14"/>
        <v>1.5150882932535978</v>
      </c>
      <c r="AB53" s="121">
        <f t="shared" si="14"/>
        <v>1.5088517080666994</v>
      </c>
      <c r="AC53" s="121">
        <f t="shared" si="14"/>
        <v>1.4965208127397682</v>
      </c>
      <c r="AD53" s="121">
        <f t="shared" si="14"/>
        <v>1.4775993482344445</v>
      </c>
      <c r="AE53" s="121">
        <f t="shared" si="14"/>
        <v>1.4515666161367653</v>
      </c>
    </row>
    <row r="54" spans="1:35" x14ac:dyDescent="0.35">
      <c r="B54" s="115" t="s">
        <v>3200</v>
      </c>
      <c r="C54" s="115" t="s">
        <v>43</v>
      </c>
      <c r="D54" s="115" t="s">
        <v>3201</v>
      </c>
      <c r="E54" s="115" t="s">
        <v>87</v>
      </c>
      <c r="H54" s="119" t="str">
        <f>Settings!$B$3&amp;".mit.eco2.rblk.irn.1"</f>
        <v>egy.mit.eco2.rblk.irn.1</v>
      </c>
      <c r="I54" s="115" t="s">
        <v>3202</v>
      </c>
      <c r="L54" s="147">
        <f t="shared" ref="L54:AE54" si="15">IF(L52=0,0,L51/L52)</f>
        <v>0.63337096182202313</v>
      </c>
      <c r="M54" s="147">
        <f t="shared" si="15"/>
        <v>0.77872181149549735</v>
      </c>
      <c r="N54" s="147">
        <f t="shared" si="15"/>
        <v>0.72243543965673307</v>
      </c>
      <c r="O54" s="147">
        <f t="shared" si="15"/>
        <v>0.71836534725395207</v>
      </c>
      <c r="P54" s="147">
        <f t="shared" si="15"/>
        <v>0.73138890499181464</v>
      </c>
      <c r="Q54" s="147">
        <f t="shared" si="15"/>
        <v>0.73632858903595622</v>
      </c>
      <c r="R54" s="147">
        <f t="shared" si="15"/>
        <v>0.73528003632891226</v>
      </c>
      <c r="S54" s="147">
        <f t="shared" si="15"/>
        <v>0.73646220723159195</v>
      </c>
      <c r="T54" s="147">
        <f t="shared" si="15"/>
        <v>0.74030629143155957</v>
      </c>
      <c r="U54" s="147">
        <f t="shared" si="15"/>
        <v>0.744680991359852</v>
      </c>
      <c r="V54" s="147">
        <f t="shared" si="15"/>
        <v>0.75007439784445773</v>
      </c>
      <c r="W54" s="147">
        <f t="shared" si="15"/>
        <v>0.75587301529543749</v>
      </c>
      <c r="X54" s="147">
        <f t="shared" si="15"/>
        <v>0.76208142757767605</v>
      </c>
      <c r="Y54" s="147">
        <f t="shared" si="15"/>
        <v>0.76870474505954034</v>
      </c>
      <c r="Z54" s="147">
        <f t="shared" si="15"/>
        <v>0.7757486188930417</v>
      </c>
      <c r="AA54" s="147">
        <f t="shared" si="15"/>
        <v>0.78321925624229272</v>
      </c>
      <c r="AB54" s="147">
        <f t="shared" si="15"/>
        <v>0.79112343657499551</v>
      </c>
      <c r="AC54" s="147">
        <f t="shared" si="15"/>
        <v>0.79946852913325472</v>
      </c>
      <c r="AD54" s="147">
        <f t="shared" si="15"/>
        <v>0.80826251170238739</v>
      </c>
      <c r="AE54" s="147">
        <f t="shared" si="15"/>
        <v>0.8175139907997756</v>
      </c>
    </row>
    <row r="56" spans="1:35" x14ac:dyDescent="0.35">
      <c r="B56" s="115" t="s">
        <v>3192</v>
      </c>
      <c r="C56" s="115" t="s">
        <v>113</v>
      </c>
      <c r="D56" s="115" t="s">
        <v>3203</v>
      </c>
      <c r="E56" s="115" t="s">
        <v>2068</v>
      </c>
      <c r="F56" s="115" t="s">
        <v>3204</v>
      </c>
      <c r="H56" s="119" t="str">
        <f>Settings!$B$3&amp;".mit.eco2.blk.cem.1"</f>
        <v>egy.mit.eco2.blk.cem.1</v>
      </c>
      <c r="I56" s="115" t="s">
        <v>2279</v>
      </c>
      <c r="L56" s="121">
        <f>Mitigation_Industry!L378-SUMPRODUCT((Mitigation_Industry!L333:L333+Mitigation_Industry!L355:L355)*Mitigation_Industry!$I$267:$I$267/(Mitigation_Industry!$F$333:$F$333+(Mitigation_Industry!$F$333:$F$333=0))*'Manual inputs'!$E$91:$E$91)</f>
        <v>14.692706044200628</v>
      </c>
      <c r="M56" s="121">
        <f>Mitigation_Industry!M378-SUMPRODUCT((Mitigation_Industry!M333:M333+Mitigation_Industry!M355:M355)*Mitigation_Industry!$I$267:$I$267/(Mitigation_Industry!$F$333:$F$333+(Mitigation_Industry!$F$333:$F$333=0))*'Manual inputs'!$E$91:$E$91)</f>
        <v>15.177565343659246</v>
      </c>
      <c r="N56" s="121">
        <f>Mitigation_Industry!N378-SUMPRODUCT((Mitigation_Industry!N333:N333+Mitigation_Industry!N355:N355)*Mitigation_Industry!$I$267:$I$267/(Mitigation_Industry!$F$333:$F$333+(Mitigation_Industry!$F$333:$F$333=0))*'Manual inputs'!$E$91:$E$91)</f>
        <v>15.678424999999999</v>
      </c>
      <c r="O56" s="121">
        <f>Mitigation_Industry!O378-SUMPRODUCT((Mitigation_Industry!O333:O333+Mitigation_Industry!O355:O355)*Mitigation_Industry!$I$267:$I$267/(Mitigation_Industry!$F$333:$F$333+(Mitigation_Industry!$F$333:$F$333=0))*'Manual inputs'!$E$91:$E$91)</f>
        <v>16.195813024999996</v>
      </c>
      <c r="P56" s="121">
        <f>Mitigation_Industry!P378-SUMPRODUCT((Mitigation_Industry!P333:P333+Mitigation_Industry!P355:P355)*Mitigation_Industry!$I$267:$I$267/(Mitigation_Industry!$F$333:$F$333+(Mitigation_Industry!$F$333:$F$333=0))*'Manual inputs'!$E$91:$E$91)</f>
        <v>16.730274854824994</v>
      </c>
      <c r="Q56" s="121">
        <f>Mitigation_Industry!Q378-SUMPRODUCT((Mitigation_Industry!Q333:Q333+Mitigation_Industry!Q355:Q355)*Mitigation_Industry!$I$267:$I$267/(Mitigation_Industry!$F$333:$F$333+(Mitigation_Industry!$F$333:$F$333=0))*'Manual inputs'!$E$91:$E$91)</f>
        <v>17.282373925034218</v>
      </c>
      <c r="R56" s="121">
        <f>Mitigation_Industry!R378-SUMPRODUCT((Mitigation_Industry!R333:R333+Mitigation_Industry!R355:R355)*Mitigation_Industry!$I$267:$I$267/(Mitigation_Industry!$F$333:$F$333+(Mitigation_Industry!$F$333:$F$333=0))*'Manual inputs'!$E$91:$E$91)</f>
        <v>17.852692264560343</v>
      </c>
      <c r="S56" s="121">
        <f>Mitigation_Industry!S378-SUMPRODUCT((Mitigation_Industry!S333:S333+Mitigation_Industry!S355:S355)*Mitigation_Industry!$I$267:$I$267/(Mitigation_Industry!$F$333:$F$333+(Mitigation_Industry!$F$333:$F$333=0))*'Manual inputs'!$E$91:$E$91)</f>
        <v>18.441831109290838</v>
      </c>
      <c r="T56" s="121">
        <f>Mitigation_Industry!T378-SUMPRODUCT((Mitigation_Industry!T333:T333+Mitigation_Industry!T355:T355)*Mitigation_Industry!$I$267:$I$267/(Mitigation_Industry!$F$333:$F$333+(Mitigation_Industry!$F$333:$F$333=0))*'Manual inputs'!$E$91:$E$91)</f>
        <v>19.050411535897432</v>
      </c>
      <c r="U56" s="121">
        <f>Mitigation_Industry!U378-SUMPRODUCT((Mitigation_Industry!U333:U333+Mitigation_Industry!U355:U355)*Mitigation_Industry!$I$267:$I$267/(Mitigation_Industry!$F$333:$F$333+(Mitigation_Industry!$F$333:$F$333=0))*'Manual inputs'!$E$91:$E$91)</f>
        <v>19.679075116582045</v>
      </c>
      <c r="V56" s="121">
        <f>Mitigation_Industry!V378-SUMPRODUCT((Mitigation_Industry!V333:V333+Mitigation_Industry!V355:V355)*Mitigation_Industry!$I$267:$I$267/(Mitigation_Industry!$F$333:$F$333+(Mitigation_Industry!$F$333:$F$333=0))*'Manual inputs'!$E$91:$E$91)</f>
        <v>20.328484595429249</v>
      </c>
      <c r="W56" s="121">
        <f>Mitigation_Industry!W378-SUMPRODUCT((Mitigation_Industry!W333:W333+Mitigation_Industry!W355:W355)*Mitigation_Industry!$I$267:$I$267/(Mitigation_Industry!$F$333:$F$333+(Mitigation_Industry!$F$333:$F$333=0))*'Manual inputs'!$E$91:$E$91)</f>
        <v>20.999324587078412</v>
      </c>
      <c r="X56" s="121">
        <f>Mitigation_Industry!X378-SUMPRODUCT((Mitigation_Industry!X333:X333+Mitigation_Industry!X355:X355)*Mitigation_Industry!$I$267:$I$267/(Mitigation_Industry!$F$333:$F$333+(Mitigation_Industry!$F$333:$F$333=0))*'Manual inputs'!$E$91:$E$91)</f>
        <v>21.692302298451992</v>
      </c>
      <c r="Y56" s="121">
        <f>Mitigation_Industry!Y378-SUMPRODUCT((Mitigation_Industry!Y333:Y333+Mitigation_Industry!Y355:Y355)*Mitigation_Industry!$I$267:$I$267/(Mitigation_Industry!$F$333:$F$333+(Mitigation_Industry!$F$333:$F$333=0))*'Manual inputs'!$E$91:$E$91)</f>
        <v>22.40814827430091</v>
      </c>
      <c r="Z56" s="121">
        <f>Mitigation_Industry!Z378-SUMPRODUCT((Mitigation_Industry!Z333:Z333+Mitigation_Industry!Z355:Z355)*Mitigation_Industry!$I$267:$I$267/(Mitigation_Industry!$F$333:$F$333+(Mitigation_Industry!$F$333:$F$333=0))*'Manual inputs'!$E$91:$E$91)</f>
        <v>23.147617167352838</v>
      </c>
      <c r="AA56" s="121">
        <f>Mitigation_Industry!AA378-SUMPRODUCT((Mitigation_Industry!AA333:AA333+Mitigation_Industry!AA355:AA355)*Mitigation_Industry!$I$267:$I$267/(Mitigation_Industry!$F$333:$F$333+(Mitigation_Industry!$F$333:$F$333=0))*'Manual inputs'!$E$91:$E$91)</f>
        <v>23.911488533875481</v>
      </c>
      <c r="AB56" s="121">
        <f>Mitigation_Industry!AB378-SUMPRODUCT((Mitigation_Industry!AB333:AB333+Mitigation_Industry!AB355:AB355)*Mitigation_Industry!$I$267:$I$267/(Mitigation_Industry!$F$333:$F$333+(Mitigation_Industry!$F$333:$F$333=0))*'Manual inputs'!$E$91:$E$91)</f>
        <v>24.700567655493362</v>
      </c>
      <c r="AC56" s="121">
        <f>Mitigation_Industry!AC378-SUMPRODUCT((Mitigation_Industry!AC333:AC333+Mitigation_Industry!AC355:AC355)*Mitigation_Industry!$I$267:$I$267/(Mitigation_Industry!$F$333:$F$333+(Mitigation_Industry!$F$333:$F$333=0))*'Manual inputs'!$E$91:$E$91)</f>
        <v>25.515686388124642</v>
      </c>
      <c r="AD56" s="121">
        <f>Mitigation_Industry!AD378-SUMPRODUCT((Mitigation_Industry!AD333:AD333+Mitigation_Industry!AD355:AD355)*Mitigation_Industry!$I$267:$I$267/(Mitigation_Industry!$F$333:$F$333+(Mitigation_Industry!$F$333:$F$333=0))*'Manual inputs'!$E$91:$E$91)</f>
        <v>26.357704038932756</v>
      </c>
      <c r="AE56" s="121">
        <f>Mitigation_Industry!AE378-SUMPRODUCT((Mitigation_Industry!AE333:AE333+Mitigation_Industry!AE355:AE355)*Mitigation_Industry!$I$267:$I$267/(Mitigation_Industry!$F$333:$F$333+(Mitigation_Industry!$F$333:$F$333=0))*'Manual inputs'!$E$91:$E$91)</f>
        <v>27.227508272217527</v>
      </c>
    </row>
    <row r="57" spans="1:35" x14ac:dyDescent="0.35">
      <c r="B57" s="115" t="s">
        <v>110</v>
      </c>
      <c r="C57" s="115" t="s">
        <v>113</v>
      </c>
      <c r="D57" s="115" t="s">
        <v>3205</v>
      </c>
      <c r="E57" s="115" t="s">
        <v>2068</v>
      </c>
      <c r="F57" s="115" t="s">
        <v>3206</v>
      </c>
      <c r="I57" s="115" t="s">
        <v>2160</v>
      </c>
      <c r="L57" s="121">
        <f>Emissions_Industry!L27</f>
        <v>9.4893574461323063</v>
      </c>
      <c r="M57" s="121">
        <f>Emissions_Industry!M27</f>
        <v>7.892397868173477</v>
      </c>
      <c r="N57" s="121">
        <f>Emissions_Industry!N27</f>
        <v>8.974049898041585</v>
      </c>
      <c r="O57" s="121">
        <f>Emissions_Industry!O27</f>
        <v>9.6117389440758174</v>
      </c>
      <c r="P57" s="121">
        <f>Emissions_Industry!P27</f>
        <v>9.6255920185944621</v>
      </c>
      <c r="Q57" s="121">
        <f>Emissions_Industry!Q27</f>
        <v>9.8610476555574511</v>
      </c>
      <c r="R57" s="121">
        <f>Emissions_Industry!R27</f>
        <v>10.224041222352259</v>
      </c>
      <c r="S57" s="121">
        <f>Emissions_Industry!S27</f>
        <v>10.577278178288619</v>
      </c>
      <c r="T57" s="121">
        <f>Emissions_Industry!T27</f>
        <v>10.913917324515168</v>
      </c>
      <c r="U57" s="121">
        <f>Emissions_Industry!U27</f>
        <v>11.254980886600027</v>
      </c>
      <c r="V57" s="121">
        <f>Emissions_Industry!V27</f>
        <v>11.572436051134584</v>
      </c>
      <c r="W57" s="121">
        <f>Emissions_Industry!W27</f>
        <v>11.894967219383652</v>
      </c>
      <c r="X57" s="121">
        <f>Emissions_Industry!X27</f>
        <v>12.222536887315171</v>
      </c>
      <c r="Y57" s="121">
        <f>Emissions_Industry!Y27</f>
        <v>12.55510423174249</v>
      </c>
      <c r="Z57" s="121">
        <f>Emissions_Industry!Z27</f>
        <v>12.892625020155874</v>
      </c>
      <c r="AA57" s="121">
        <f>Emissions_Industry!AA27</f>
        <v>13.235051509488891</v>
      </c>
      <c r="AB57" s="121">
        <f>Emissions_Industry!AB27</f>
        <v>13.582332333397812</v>
      </c>
      <c r="AC57" s="121">
        <f>Emissions_Industry!AC27</f>
        <v>13.934412377644653</v>
      </c>
      <c r="AD57" s="121">
        <f>Emissions_Industry!AD27</f>
        <v>14.291232643187328</v>
      </c>
      <c r="AE57" s="121">
        <f>Emissions_Industry!AE27</f>
        <v>14.652730096591428</v>
      </c>
    </row>
    <row r="58" spans="1:35" x14ac:dyDescent="0.35">
      <c r="B58" s="115" t="s">
        <v>3197</v>
      </c>
      <c r="C58" s="115" t="s">
        <v>113</v>
      </c>
      <c r="D58" s="115" t="s">
        <v>3207</v>
      </c>
      <c r="E58" s="115" t="s">
        <v>2068</v>
      </c>
      <c r="H58" s="119" t="str">
        <f>Settings!$B$3&amp;".mit.eco2.gap.cem.1"</f>
        <v>egy.mit.eco2.gap.cem.1</v>
      </c>
      <c r="I58" s="115" t="s">
        <v>3199</v>
      </c>
      <c r="L58" s="121">
        <f t="shared" ref="L58:AE58" si="16">L57-L56</f>
        <v>-5.2033485980683221</v>
      </c>
      <c r="M58" s="121">
        <f t="shared" si="16"/>
        <v>-7.2851674754857694</v>
      </c>
      <c r="N58" s="121">
        <f t="shared" si="16"/>
        <v>-6.7043751019584139</v>
      </c>
      <c r="O58" s="121">
        <f t="shared" si="16"/>
        <v>-6.5840740809241787</v>
      </c>
      <c r="P58" s="121">
        <f t="shared" si="16"/>
        <v>-7.1046828362305323</v>
      </c>
      <c r="Q58" s="121">
        <f t="shared" si="16"/>
        <v>-7.4213262694767668</v>
      </c>
      <c r="R58" s="121">
        <f t="shared" si="16"/>
        <v>-7.6286510422080838</v>
      </c>
      <c r="S58" s="121">
        <f t="shared" si="16"/>
        <v>-7.8645529310022191</v>
      </c>
      <c r="T58" s="121">
        <f t="shared" si="16"/>
        <v>-8.1364942113822636</v>
      </c>
      <c r="U58" s="121">
        <f t="shared" si="16"/>
        <v>-8.4240942299820176</v>
      </c>
      <c r="V58" s="121">
        <f t="shared" si="16"/>
        <v>-8.7560485442946643</v>
      </c>
      <c r="W58" s="121">
        <f t="shared" si="16"/>
        <v>-9.1043573676947602</v>
      </c>
      <c r="X58" s="121">
        <f t="shared" si="16"/>
        <v>-9.4697654111368212</v>
      </c>
      <c r="Y58" s="121">
        <f t="shared" si="16"/>
        <v>-9.8530440425584196</v>
      </c>
      <c r="Z58" s="121">
        <f t="shared" si="16"/>
        <v>-10.254992147196964</v>
      </c>
      <c r="AA58" s="121">
        <f t="shared" si="16"/>
        <v>-10.67643702438659</v>
      </c>
      <c r="AB58" s="121">
        <f t="shared" si="16"/>
        <v>-11.118235322095551</v>
      </c>
      <c r="AC58" s="121">
        <f t="shared" si="16"/>
        <v>-11.581274010479989</v>
      </c>
      <c r="AD58" s="121">
        <f t="shared" si="16"/>
        <v>-12.066471395745427</v>
      </c>
      <c r="AE58" s="121">
        <f t="shared" si="16"/>
        <v>-12.574778175626099</v>
      </c>
    </row>
    <row r="59" spans="1:35" x14ac:dyDescent="0.35">
      <c r="B59" s="115" t="s">
        <v>3200</v>
      </c>
      <c r="C59" s="115" t="s">
        <v>113</v>
      </c>
      <c r="D59" s="115" t="s">
        <v>3208</v>
      </c>
      <c r="E59" s="115" t="s">
        <v>87</v>
      </c>
      <c r="H59" s="119" t="str">
        <f>Settings!$B$3&amp;".mit.eco2.rblk.cem.1"</f>
        <v>egy.mit.eco2.rblk.cem.1</v>
      </c>
      <c r="I59" s="115" t="s">
        <v>3202</v>
      </c>
      <c r="L59" s="147">
        <f t="shared" ref="L59:AE59" si="17">IF(L57=0,0,L56/L57)</f>
        <v>1.5483351878781966</v>
      </c>
      <c r="M59" s="147">
        <f t="shared" si="17"/>
        <v>1.9230613556449812</v>
      </c>
      <c r="N59" s="147">
        <f t="shared" si="17"/>
        <v>1.7470846694781044</v>
      </c>
      <c r="O59" s="147">
        <f t="shared" si="17"/>
        <v>1.6850034233381113</v>
      </c>
      <c r="P59" s="147">
        <f t="shared" si="17"/>
        <v>1.7381034665198665</v>
      </c>
      <c r="Q59" s="147">
        <f t="shared" si="17"/>
        <v>1.7525900420219838</v>
      </c>
      <c r="R59" s="147">
        <f t="shared" si="17"/>
        <v>1.7461483063595229</v>
      </c>
      <c r="S59" s="147">
        <f t="shared" si="17"/>
        <v>1.743532768869154</v>
      </c>
      <c r="T59" s="147">
        <f t="shared" si="17"/>
        <v>1.745515470701416</v>
      </c>
      <c r="U59" s="147">
        <f t="shared" si="17"/>
        <v>1.74847699119699</v>
      </c>
      <c r="V59" s="147">
        <f t="shared" si="17"/>
        <v>1.756629676379694</v>
      </c>
      <c r="W59" s="147">
        <f t="shared" si="17"/>
        <v>1.7653957509742939</v>
      </c>
      <c r="X59" s="147">
        <f t="shared" si="17"/>
        <v>1.7747790412450921</v>
      </c>
      <c r="Y59" s="147">
        <f t="shared" si="17"/>
        <v>1.7847839301602471</v>
      </c>
      <c r="Z59" s="147">
        <f t="shared" si="17"/>
        <v>1.795415373608142</v>
      </c>
      <c r="AA59" s="147">
        <f t="shared" si="17"/>
        <v>1.8066789174739595</v>
      </c>
      <c r="AB59" s="147">
        <f t="shared" si="17"/>
        <v>1.8185807156814111</v>
      </c>
      <c r="AC59" s="147">
        <f t="shared" si="17"/>
        <v>1.831127549308081</v>
      </c>
      <c r="AD59" s="147">
        <f t="shared" si="17"/>
        <v>1.8443268468866154</v>
      </c>
      <c r="AE59" s="147">
        <f t="shared" si="17"/>
        <v>1.8581867060085471</v>
      </c>
    </row>
    <row r="61" spans="1:35" x14ac:dyDescent="0.35">
      <c r="B61" s="115" t="s">
        <v>3192</v>
      </c>
      <c r="C61" s="115" t="s">
        <v>115</v>
      </c>
      <c r="D61" s="115" t="s">
        <v>3209</v>
      </c>
      <c r="E61" s="115" t="s">
        <v>2068</v>
      </c>
      <c r="F61" s="115" t="s">
        <v>3210</v>
      </c>
      <c r="H61" s="119" t="str">
        <f>Settings!$B$3&amp;".mit.eco2.blk.nfm.1"</f>
        <v>egy.mit.eco2.blk.nfm.1</v>
      </c>
      <c r="I61" s="115" t="s">
        <v>2289</v>
      </c>
      <c r="L61" s="121">
        <f>Mitigation_Industry!L376-SUMPRODUCT((Mitigation_Industry!L337:L337+Mitigation_Industry!L359:L359)*Mitigation_Industry!$I$271:$I$271/(Mitigation_Industry!$F$337:$F$337+(Mitigation_Industry!$F$337:$F$337=0))*'Manual inputs'!$E$95:$E$95)</f>
        <v>3.3266099144224071E-2</v>
      </c>
      <c r="M61" s="121">
        <f>Mitigation_Industry!M376-SUMPRODUCT((Mitigation_Industry!M337:M337+Mitigation_Industry!M359:M359)*Mitigation_Industry!$I$271:$I$271/(Mitigation_Industry!$F$337:$F$337+(Mitigation_Industry!$F$337:$F$337=0))*'Manual inputs'!$E$95:$E$95)</f>
        <v>3.5095734597156404E-2</v>
      </c>
      <c r="N61" s="121">
        <f>Mitigation_Industry!N376-SUMPRODUCT((Mitigation_Industry!N337:N337+Mitigation_Industry!N359:N359)*Mitigation_Industry!$I$271:$I$271/(Mitigation_Industry!$F$337:$F$337+(Mitigation_Industry!$F$337:$F$337=0))*'Manual inputs'!$E$95:$E$95)</f>
        <v>3.7026000000000003E-2</v>
      </c>
      <c r="O61" s="121">
        <f>Mitigation_Industry!O376-SUMPRODUCT((Mitigation_Industry!O337:O337+Mitigation_Industry!O359:O359)*Mitigation_Industry!$I$271:$I$271/(Mitigation_Industry!$F$337:$F$337+(Mitigation_Industry!$F$337:$F$337=0))*'Manual inputs'!$E$95:$E$95)</f>
        <v>3.9062430000000002E-2</v>
      </c>
      <c r="P61" s="121">
        <f>Mitigation_Industry!P376-SUMPRODUCT((Mitigation_Industry!P337:P337+Mitigation_Industry!P359:P359)*Mitigation_Industry!$I$271:$I$271/(Mitigation_Industry!$F$337:$F$337+(Mitigation_Industry!$F$337:$F$337=0))*'Manual inputs'!$E$95:$E$95)</f>
        <v>4.1210863649999999E-2</v>
      </c>
      <c r="Q61" s="121">
        <f>Mitigation_Industry!Q376-SUMPRODUCT((Mitigation_Industry!Q337:Q337+Mitigation_Industry!Q359:Q359)*Mitigation_Industry!$I$271:$I$271/(Mitigation_Industry!$F$337:$F$337+(Mitigation_Industry!$F$337:$F$337=0))*'Manual inputs'!$E$95:$E$95)</f>
        <v>4.3477461150749991E-2</v>
      </c>
      <c r="R61" s="121">
        <f>Mitigation_Industry!R376-SUMPRODUCT((Mitigation_Industry!R337:R337+Mitigation_Industry!R359:R359)*Mitigation_Industry!$I$271:$I$271/(Mitigation_Industry!$F$337:$F$337+(Mitigation_Industry!$F$337:$F$337=0))*'Manual inputs'!$E$95:$E$95)</f>
        <v>4.5868721514041248E-2</v>
      </c>
      <c r="S61" s="121">
        <f>Mitigation_Industry!S376-SUMPRODUCT((Mitigation_Industry!S337:S337+Mitigation_Industry!S359:S359)*Mitigation_Industry!$I$271:$I$271/(Mitigation_Industry!$F$337:$F$337+(Mitigation_Industry!$F$337:$F$337=0))*'Manual inputs'!$E$95:$E$95)</f>
        <v>4.8391501197313509E-2</v>
      </c>
      <c r="T61" s="121">
        <f>Mitigation_Industry!T376-SUMPRODUCT((Mitigation_Industry!T337:T337+Mitigation_Industry!T359:T359)*Mitigation_Industry!$I$271:$I$271/(Mitigation_Industry!$F$337:$F$337+(Mitigation_Industry!$F$337:$F$337=0))*'Manual inputs'!$E$95:$E$95)</f>
        <v>5.105303376316575E-2</v>
      </c>
      <c r="U61" s="121">
        <f>Mitigation_Industry!U376-SUMPRODUCT((Mitigation_Industry!U337:U337+Mitigation_Industry!U359:U359)*Mitigation_Industry!$I$271:$I$271/(Mitigation_Industry!$F$337:$F$337+(Mitigation_Industry!$F$337:$F$337=0))*'Manual inputs'!$E$95:$E$95)</f>
        <v>5.3860950620139861E-2</v>
      </c>
      <c r="V61" s="121">
        <f>Mitigation_Industry!V376-SUMPRODUCT((Mitigation_Industry!V337:V337+Mitigation_Industry!V359:V359)*Mitigation_Industry!$I$271:$I$271/(Mitigation_Industry!$F$337:$F$337+(Mitigation_Industry!$F$337:$F$337=0))*'Manual inputs'!$E$95:$E$95)</f>
        <v>5.6823302904247558E-2</v>
      </c>
      <c r="W61" s="121">
        <f>Mitigation_Industry!W376-SUMPRODUCT((Mitigation_Industry!W337:W337+Mitigation_Industry!W359:W359)*Mitigation_Industry!$I$271:$I$271/(Mitigation_Industry!$F$337:$F$337+(Mitigation_Industry!$F$337:$F$337=0))*'Manual inputs'!$E$95:$E$95)</f>
        <v>5.9948584563981173E-2</v>
      </c>
      <c r="X61" s="121">
        <f>Mitigation_Industry!X376-SUMPRODUCT((Mitigation_Industry!X337:X337+Mitigation_Industry!X359:X359)*Mitigation_Industry!$I$271:$I$271/(Mitigation_Industry!$F$337:$F$337+(Mitigation_Industry!$F$337:$F$337=0))*'Manual inputs'!$E$95:$E$95)</f>
        <v>6.3245756715000129E-2</v>
      </c>
      <c r="Y61" s="121">
        <f>Mitigation_Industry!Y376-SUMPRODUCT((Mitigation_Industry!Y337:Y337+Mitigation_Industry!Y359:Y359)*Mitigation_Industry!$I$271:$I$271/(Mitigation_Industry!$F$337:$F$337+(Mitigation_Industry!$F$337:$F$337=0))*'Manual inputs'!$E$95:$E$95)</f>
        <v>6.6724273334325138E-2</v>
      </c>
      <c r="Z61" s="121">
        <f>Mitigation_Industry!Z376-SUMPRODUCT((Mitigation_Industry!Z337:Z337+Mitigation_Industry!Z359:Z359)*Mitigation_Industry!$I$271:$I$271/(Mitigation_Industry!$F$337:$F$337+(Mitigation_Industry!$F$337:$F$337=0))*'Manual inputs'!$E$95:$E$95)</f>
        <v>7.039410836771301E-2</v>
      </c>
      <c r="AA61" s="121">
        <f>Mitigation_Industry!AA376-SUMPRODUCT((Mitigation_Industry!AA337:AA337+Mitigation_Industry!AA359:AA359)*Mitigation_Industry!$I$271:$I$271/(Mitigation_Industry!$F$337:$F$337+(Mitigation_Industry!$F$337:$F$337=0))*'Manual inputs'!$E$95:$E$95)</f>
        <v>7.426578432793722E-2</v>
      </c>
      <c r="AB61" s="121">
        <f>Mitigation_Industry!AB376-SUMPRODUCT((Mitigation_Industry!AB337:AB337+Mitigation_Industry!AB359:AB359)*Mitigation_Industry!$I$271:$I$271/(Mitigation_Industry!$F$337:$F$337+(Mitigation_Industry!$F$337:$F$337=0))*'Manual inputs'!$E$95:$E$95)</f>
        <v>7.8350402465973787E-2</v>
      </c>
      <c r="AC61" s="121">
        <f>Mitigation_Industry!AC376-SUMPRODUCT((Mitigation_Industry!AC337:AC337+Mitigation_Industry!AC359:AC359)*Mitigation_Industry!$I$271:$I$271/(Mitigation_Industry!$F$337:$F$337+(Mitigation_Industry!$F$337:$F$337=0))*'Manual inputs'!$E$95:$E$95)</f>
        <v>8.2659674601602312E-2</v>
      </c>
      <c r="AD61" s="121">
        <f>Mitigation_Industry!AD376-SUMPRODUCT((Mitigation_Industry!AD337:AD337+Mitigation_Industry!AD359:AD359)*Mitigation_Industry!$I$271:$I$271/(Mitigation_Industry!$F$337:$F$337+(Mitigation_Industry!$F$337:$F$337=0))*'Manual inputs'!$E$95:$E$95)</f>
        <v>8.7205956704690446E-2</v>
      </c>
      <c r="AE61" s="121">
        <f>Mitigation_Industry!AE376-SUMPRODUCT((Mitigation_Industry!AE337:AE337+Mitigation_Industry!AE359:AE359)*Mitigation_Industry!$I$271:$I$271/(Mitigation_Industry!$F$337:$F$337+(Mitigation_Industry!$F$337:$F$337=0))*'Manual inputs'!$E$95:$E$95)</f>
        <v>9.2002284323448424E-2</v>
      </c>
    </row>
    <row r="62" spans="1:35" x14ac:dyDescent="0.35">
      <c r="B62" s="115" t="s">
        <v>110</v>
      </c>
      <c r="C62" s="115" t="s">
        <v>115</v>
      </c>
      <c r="D62" s="115" t="s">
        <v>3211</v>
      </c>
      <c r="E62" s="115" t="s">
        <v>2068</v>
      </c>
      <c r="F62" s="115" t="s">
        <v>3212</v>
      </c>
      <c r="I62" s="115" t="s">
        <v>2163</v>
      </c>
      <c r="L62" s="121">
        <f>Emissions_Industry!L39</f>
        <v>0</v>
      </c>
      <c r="M62" s="121">
        <f>Emissions_Industry!M39</f>
        <v>0</v>
      </c>
      <c r="N62" s="121">
        <f>Emissions_Industry!N39</f>
        <v>0</v>
      </c>
      <c r="O62" s="121">
        <f>Emissions_Industry!O39</f>
        <v>0</v>
      </c>
      <c r="P62" s="121">
        <f>Emissions_Industry!P39</f>
        <v>0</v>
      </c>
      <c r="Q62" s="121">
        <f>Emissions_Industry!Q39</f>
        <v>0</v>
      </c>
      <c r="R62" s="121">
        <f>Emissions_Industry!R39</f>
        <v>0</v>
      </c>
      <c r="S62" s="121">
        <f>Emissions_Industry!S39</f>
        <v>0</v>
      </c>
      <c r="T62" s="121">
        <f>Emissions_Industry!T39</f>
        <v>0</v>
      </c>
      <c r="U62" s="121">
        <f>Emissions_Industry!U39</f>
        <v>0</v>
      </c>
      <c r="V62" s="121">
        <f>Emissions_Industry!V39</f>
        <v>0</v>
      </c>
      <c r="W62" s="121">
        <f>Emissions_Industry!W39</f>
        <v>0</v>
      </c>
      <c r="X62" s="121">
        <f>Emissions_Industry!X39</f>
        <v>0</v>
      </c>
      <c r="Y62" s="121">
        <f>Emissions_Industry!Y39</f>
        <v>0</v>
      </c>
      <c r="Z62" s="121">
        <f>Emissions_Industry!Z39</f>
        <v>0</v>
      </c>
      <c r="AA62" s="121">
        <f>Emissions_Industry!AA39</f>
        <v>0</v>
      </c>
      <c r="AB62" s="121">
        <f>Emissions_Industry!AB39</f>
        <v>0</v>
      </c>
      <c r="AC62" s="121">
        <f>Emissions_Industry!AC39</f>
        <v>0</v>
      </c>
      <c r="AD62" s="121">
        <f>Emissions_Industry!AD39</f>
        <v>0</v>
      </c>
      <c r="AE62" s="121">
        <f>Emissions_Industry!AE39</f>
        <v>0</v>
      </c>
    </row>
    <row r="63" spans="1:35" x14ac:dyDescent="0.35">
      <c r="B63" s="115" t="s">
        <v>3197</v>
      </c>
      <c r="C63" s="115" t="s">
        <v>115</v>
      </c>
      <c r="D63" s="115" t="s">
        <v>3213</v>
      </c>
      <c r="E63" s="115" t="s">
        <v>2068</v>
      </c>
      <c r="H63" s="119" t="str">
        <f>Settings!$B$3&amp;".mit.eco2.gap.nfm.1"</f>
        <v>egy.mit.eco2.gap.nfm.1</v>
      </c>
      <c r="I63" s="115" t="s">
        <v>3199</v>
      </c>
      <c r="L63" s="121">
        <f t="shared" ref="L63:AE63" si="18">L62-L61</f>
        <v>-3.3266099144224071E-2</v>
      </c>
      <c r="M63" s="121">
        <f t="shared" si="18"/>
        <v>-3.5095734597156404E-2</v>
      </c>
      <c r="N63" s="121">
        <f t="shared" si="18"/>
        <v>-3.7026000000000003E-2</v>
      </c>
      <c r="O63" s="121">
        <f t="shared" si="18"/>
        <v>-3.9062430000000002E-2</v>
      </c>
      <c r="P63" s="121">
        <f t="shared" si="18"/>
        <v>-4.1210863649999999E-2</v>
      </c>
      <c r="Q63" s="121">
        <f t="shared" si="18"/>
        <v>-4.3477461150749991E-2</v>
      </c>
      <c r="R63" s="121">
        <f t="shared" si="18"/>
        <v>-4.5868721514041248E-2</v>
      </c>
      <c r="S63" s="121">
        <f t="shared" si="18"/>
        <v>-4.8391501197313509E-2</v>
      </c>
      <c r="T63" s="121">
        <f t="shared" si="18"/>
        <v>-5.105303376316575E-2</v>
      </c>
      <c r="U63" s="121">
        <f t="shared" si="18"/>
        <v>-5.3860950620139861E-2</v>
      </c>
      <c r="V63" s="121">
        <f t="shared" si="18"/>
        <v>-5.6823302904247558E-2</v>
      </c>
      <c r="W63" s="121">
        <f t="shared" si="18"/>
        <v>-5.9948584563981173E-2</v>
      </c>
      <c r="X63" s="121">
        <f t="shared" si="18"/>
        <v>-6.3245756715000129E-2</v>
      </c>
      <c r="Y63" s="121">
        <f t="shared" si="18"/>
        <v>-6.6724273334325138E-2</v>
      </c>
      <c r="Z63" s="121">
        <f t="shared" si="18"/>
        <v>-7.039410836771301E-2</v>
      </c>
      <c r="AA63" s="121">
        <f t="shared" si="18"/>
        <v>-7.426578432793722E-2</v>
      </c>
      <c r="AB63" s="121">
        <f t="shared" si="18"/>
        <v>-7.8350402465973787E-2</v>
      </c>
      <c r="AC63" s="121">
        <f t="shared" si="18"/>
        <v>-8.2659674601602312E-2</v>
      </c>
      <c r="AD63" s="121">
        <f t="shared" si="18"/>
        <v>-8.7205956704690446E-2</v>
      </c>
      <c r="AE63" s="121">
        <f t="shared" si="18"/>
        <v>-9.2002284323448424E-2</v>
      </c>
    </row>
    <row r="64" spans="1:35" x14ac:dyDescent="0.35">
      <c r="B64" s="115" t="s">
        <v>3200</v>
      </c>
      <c r="C64" s="115" t="s">
        <v>115</v>
      </c>
      <c r="D64" s="115" t="s">
        <v>3214</v>
      </c>
      <c r="E64" s="115" t="s">
        <v>87</v>
      </c>
      <c r="H64" s="119" t="str">
        <f>Settings!$B$3&amp;".mit.eco2.rblk.nfm.1"</f>
        <v>egy.mit.eco2.rblk.nfm.1</v>
      </c>
      <c r="I64" s="115" t="s">
        <v>3202</v>
      </c>
      <c r="L64" s="147">
        <f t="shared" ref="L64:AE64" si="19">IF(L62=0,0,L61/L62)</f>
        <v>0</v>
      </c>
      <c r="M64" s="147">
        <f t="shared" si="19"/>
        <v>0</v>
      </c>
      <c r="N64" s="147">
        <f t="shared" si="19"/>
        <v>0</v>
      </c>
      <c r="O64" s="147">
        <f t="shared" si="19"/>
        <v>0</v>
      </c>
      <c r="P64" s="147">
        <f t="shared" si="19"/>
        <v>0</v>
      </c>
      <c r="Q64" s="147">
        <f t="shared" si="19"/>
        <v>0</v>
      </c>
      <c r="R64" s="147">
        <f t="shared" si="19"/>
        <v>0</v>
      </c>
      <c r="S64" s="147">
        <f t="shared" si="19"/>
        <v>0</v>
      </c>
      <c r="T64" s="147">
        <f t="shared" si="19"/>
        <v>0</v>
      </c>
      <c r="U64" s="147">
        <f t="shared" si="19"/>
        <v>0</v>
      </c>
      <c r="V64" s="147">
        <f t="shared" si="19"/>
        <v>0</v>
      </c>
      <c r="W64" s="147">
        <f t="shared" si="19"/>
        <v>0</v>
      </c>
      <c r="X64" s="147">
        <f t="shared" si="19"/>
        <v>0</v>
      </c>
      <c r="Y64" s="147">
        <f t="shared" si="19"/>
        <v>0</v>
      </c>
      <c r="Z64" s="147">
        <f t="shared" si="19"/>
        <v>0</v>
      </c>
      <c r="AA64" s="147">
        <f t="shared" si="19"/>
        <v>0</v>
      </c>
      <c r="AB64" s="147">
        <f t="shared" si="19"/>
        <v>0</v>
      </c>
      <c r="AC64" s="147">
        <f t="shared" si="19"/>
        <v>0</v>
      </c>
      <c r="AD64" s="147">
        <f t="shared" si="19"/>
        <v>0</v>
      </c>
      <c r="AE64" s="147">
        <f t="shared" si="19"/>
        <v>0</v>
      </c>
    </row>
    <row r="66" spans="1:35" x14ac:dyDescent="0.35">
      <c r="B66" s="115" t="s">
        <v>3192</v>
      </c>
      <c r="C66" s="115" t="s">
        <v>117</v>
      </c>
      <c r="D66" s="115" t="s">
        <v>3215</v>
      </c>
      <c r="E66" s="115" t="s">
        <v>2068</v>
      </c>
      <c r="F66" s="115" t="s">
        <v>3216</v>
      </c>
      <c r="H66" s="119" t="str">
        <f>Settings!$B$3&amp;".mit.eco2.blk.mch.1"</f>
        <v>egy.mit.eco2.blk.mch.1</v>
      </c>
      <c r="I66" s="115" t="s">
        <v>2299</v>
      </c>
      <c r="L66" s="121">
        <f>Mitigation_Industry!L374-SUMPRODUCT((Mitigation_Industry!L334:L336+Mitigation_Industry!L356:L358)*Mitigation_Industry!$I$268:$I$270/(Mitigation_Industry!$F$334:$F$336+(Mitigation_Industry!$F$334:$F$336=0))*'Manual inputs'!$E$92:$E$94)</f>
        <v>1.5828284109665627</v>
      </c>
      <c r="M66" s="121">
        <f>Mitigation_Industry!M374-SUMPRODUCT((Mitigation_Industry!M334:M336+Mitigation_Industry!M356:M358)*Mitigation_Industry!$I$268:$I$270/(Mitigation_Industry!$F$334:$F$336+(Mitigation_Industry!$F$334:$F$336=0))*'Manual inputs'!$E$92:$E$94)</f>
        <v>1.6176506360078275</v>
      </c>
      <c r="N66" s="121">
        <f>Mitigation_Industry!N374-SUMPRODUCT((Mitigation_Industry!N334:N336+Mitigation_Industry!N356:N358)*Mitigation_Industry!$I$268:$I$270/(Mitigation_Industry!$F$334:$F$336+(Mitigation_Industry!$F$334:$F$336=0))*'Manual inputs'!$E$92:$E$94)</f>
        <v>1.6532389499999995</v>
      </c>
      <c r="O66" s="121">
        <f>Mitigation_Industry!O374-SUMPRODUCT((Mitigation_Industry!O334:O336+Mitigation_Industry!O356:O358)*Mitigation_Industry!$I$268:$I$270/(Mitigation_Industry!$F$334:$F$336+(Mitigation_Industry!$F$334:$F$336=0))*'Manual inputs'!$E$92:$E$94)</f>
        <v>1.6896102068999994</v>
      </c>
      <c r="P66" s="121">
        <f>Mitigation_Industry!P374-SUMPRODUCT((Mitigation_Industry!P334:P336+Mitigation_Industry!P356:P358)*Mitigation_Industry!$I$268:$I$270/(Mitigation_Industry!$F$334:$F$336+(Mitigation_Industry!$F$334:$F$336=0))*'Manual inputs'!$E$92:$E$94)</f>
        <v>1.7267816314518005</v>
      </c>
      <c r="Q66" s="121">
        <f>Mitigation_Industry!Q374-SUMPRODUCT((Mitigation_Industry!Q334:Q336+Mitigation_Industry!Q356:Q358)*Mitigation_Industry!$I$268:$I$270/(Mitigation_Industry!$F$334:$F$336+(Mitigation_Industry!$F$334:$F$336=0))*'Manual inputs'!$E$92:$E$94)</f>
        <v>1.7647708273437392</v>
      </c>
      <c r="R66" s="121">
        <f>Mitigation_Industry!R374-SUMPRODUCT((Mitigation_Industry!R334:R336+Mitigation_Industry!R356:R358)*Mitigation_Industry!$I$268:$I$270/(Mitigation_Industry!$F$334:$F$336+(Mitigation_Industry!$F$334:$F$336=0))*'Manual inputs'!$E$92:$E$94)</f>
        <v>1.8035957855453022</v>
      </c>
      <c r="S66" s="121">
        <f>Mitigation_Industry!S374-SUMPRODUCT((Mitigation_Industry!S334:S336+Mitigation_Industry!S356:S358)*Mitigation_Industry!$I$268:$I$270/(Mitigation_Industry!$F$334:$F$336+(Mitigation_Industry!$F$334:$F$336=0))*'Manual inputs'!$E$92:$E$94)</f>
        <v>1.843274892827298</v>
      </c>
      <c r="T66" s="121">
        <f>Mitigation_Industry!T374-SUMPRODUCT((Mitigation_Industry!T334:T336+Mitigation_Industry!T356:T358)*Mitigation_Industry!$I$268:$I$270/(Mitigation_Industry!$F$334:$F$336+(Mitigation_Industry!$F$334:$F$336=0))*'Manual inputs'!$E$92:$E$94)</f>
        <v>1.8838269404694987</v>
      </c>
      <c r="U66" s="121">
        <f>Mitigation_Industry!U374-SUMPRODUCT((Mitigation_Industry!U334:U336+Mitigation_Industry!U356:U358)*Mitigation_Industry!$I$268:$I$270/(Mitigation_Industry!$F$334:$F$336+(Mitigation_Industry!$F$334:$F$336=0))*'Manual inputs'!$E$92:$E$94)</f>
        <v>1.9252711331598276</v>
      </c>
      <c r="V66" s="121">
        <f>Mitigation_Industry!V374-SUMPRODUCT((Mitigation_Industry!V334:V336+Mitigation_Industry!V356:V358)*Mitigation_Industry!$I$268:$I$270/(Mitigation_Industry!$F$334:$F$336+(Mitigation_Industry!$F$334:$F$336=0))*'Manual inputs'!$E$92:$E$94)</f>
        <v>1.9676270980893444</v>
      </c>
      <c r="W66" s="121">
        <f>Mitigation_Industry!W374-SUMPRODUCT((Mitigation_Industry!W334:W336+Mitigation_Industry!W356:W358)*Mitigation_Industry!$I$268:$I$270/(Mitigation_Industry!$F$334:$F$336+(Mitigation_Industry!$F$334:$F$336=0))*'Manual inputs'!$E$92:$E$94)</f>
        <v>2.0109148942473092</v>
      </c>
      <c r="X66" s="121">
        <f>Mitigation_Industry!X374-SUMPRODUCT((Mitigation_Industry!X334:X336+Mitigation_Industry!X356:X358)*Mitigation_Industry!$I$268:$I$270/(Mitigation_Industry!$F$334:$F$336+(Mitigation_Industry!$F$334:$F$336=0))*'Manual inputs'!$E$92:$E$94)</f>
        <v>2.0551550219207506</v>
      </c>
      <c r="Y66" s="121">
        <f>Mitigation_Industry!Y374-SUMPRODUCT((Mitigation_Industry!Y334:Y336+Mitigation_Industry!Y356:Y358)*Mitigation_Industry!$I$268:$I$270/(Mitigation_Industry!$F$334:$F$336+(Mitigation_Industry!$F$334:$F$336=0))*'Manual inputs'!$E$92:$E$94)</f>
        <v>2.1003684324030072</v>
      </c>
      <c r="Z66" s="121">
        <f>Mitigation_Industry!Z374-SUMPRODUCT((Mitigation_Industry!Z334:Z336+Mitigation_Industry!Z356:Z358)*Mitigation_Industry!$I$268:$I$270/(Mitigation_Industry!$F$334:$F$336+(Mitigation_Industry!$F$334:$F$336=0))*'Manual inputs'!$E$92:$E$94)</f>
        <v>2.1465765379158737</v>
      </c>
      <c r="AA66" s="121">
        <f>Mitigation_Industry!AA374-SUMPRODUCT((Mitigation_Industry!AA334:AA336+Mitigation_Industry!AA356:AA358)*Mitigation_Industry!$I$268:$I$270/(Mitigation_Industry!$F$334:$F$336+(Mitigation_Industry!$F$334:$F$336=0))*'Manual inputs'!$E$92:$E$94)</f>
        <v>2.1938012217500225</v>
      </c>
      <c r="AB66" s="121">
        <f>Mitigation_Industry!AB374-SUMPRODUCT((Mitigation_Industry!AB334:AB336+Mitigation_Industry!AB356:AB358)*Mitigation_Industry!$I$268:$I$270/(Mitigation_Industry!$F$334:$F$336+(Mitigation_Industry!$F$334:$F$336=0))*'Manual inputs'!$E$92:$E$94)</f>
        <v>2.2420648486285226</v>
      </c>
      <c r="AC66" s="121">
        <f>Mitigation_Industry!AC374-SUMPRODUCT((Mitigation_Industry!AC334:AC336+Mitigation_Industry!AC356:AC358)*Mitigation_Industry!$I$268:$I$270/(Mitigation_Industry!$F$334:$F$336+(Mitigation_Industry!$F$334:$F$336=0))*'Manual inputs'!$E$92:$E$94)</f>
        <v>2.2913902752983502</v>
      </c>
      <c r="AD66" s="121">
        <f>Mitigation_Industry!AD374-SUMPRODUCT((Mitigation_Industry!AD334:AD336+Mitigation_Industry!AD356:AD358)*Mitigation_Industry!$I$268:$I$270/(Mitigation_Industry!$F$334:$F$336+(Mitigation_Industry!$F$334:$F$336=0))*'Manual inputs'!$E$92:$E$94)</f>
        <v>2.3418008613549151</v>
      </c>
      <c r="AE66" s="121">
        <f>Mitigation_Industry!AE374-SUMPRODUCT((Mitigation_Industry!AE334:AE336+Mitigation_Industry!AE356:AE358)*Mitigation_Industry!$I$268:$I$270/(Mitigation_Industry!$F$334:$F$336+(Mitigation_Industry!$F$334:$F$336=0))*'Manual inputs'!$E$92:$E$94)</f>
        <v>2.3933204803047228</v>
      </c>
    </row>
    <row r="67" spans="1:35" x14ac:dyDescent="0.35">
      <c r="B67" s="115" t="s">
        <v>110</v>
      </c>
      <c r="C67" s="115" t="s">
        <v>117</v>
      </c>
      <c r="D67" s="115" t="s">
        <v>3217</v>
      </c>
      <c r="E67" s="115" t="s">
        <v>2068</v>
      </c>
      <c r="F67" s="115" t="s">
        <v>3218</v>
      </c>
      <c r="I67" s="115" t="s">
        <v>2166</v>
      </c>
      <c r="L67" s="121">
        <f>Emissions_Industry!L51</f>
        <v>0</v>
      </c>
      <c r="M67" s="121">
        <f>Emissions_Industry!M51</f>
        <v>0</v>
      </c>
      <c r="N67" s="121">
        <f>Emissions_Industry!N51</f>
        <v>0</v>
      </c>
      <c r="O67" s="121">
        <f>Emissions_Industry!O51</f>
        <v>0</v>
      </c>
      <c r="P67" s="121">
        <f>Emissions_Industry!P51</f>
        <v>0</v>
      </c>
      <c r="Q67" s="121">
        <f>Emissions_Industry!Q51</f>
        <v>0</v>
      </c>
      <c r="R67" s="121">
        <f>Emissions_Industry!R51</f>
        <v>0</v>
      </c>
      <c r="S67" s="121">
        <f>Emissions_Industry!S51</f>
        <v>0</v>
      </c>
      <c r="T67" s="121">
        <f>Emissions_Industry!T51</f>
        <v>0</v>
      </c>
      <c r="U67" s="121">
        <f>Emissions_Industry!U51</f>
        <v>0</v>
      </c>
      <c r="V67" s="121">
        <f>Emissions_Industry!V51</f>
        <v>0</v>
      </c>
      <c r="W67" s="121">
        <f>Emissions_Industry!W51</f>
        <v>0</v>
      </c>
      <c r="X67" s="121">
        <f>Emissions_Industry!X51</f>
        <v>0</v>
      </c>
      <c r="Y67" s="121">
        <f>Emissions_Industry!Y51</f>
        <v>0</v>
      </c>
      <c r="Z67" s="121">
        <f>Emissions_Industry!Z51</f>
        <v>0</v>
      </c>
      <c r="AA67" s="121">
        <f>Emissions_Industry!AA51</f>
        <v>0</v>
      </c>
      <c r="AB67" s="121">
        <f>Emissions_Industry!AB51</f>
        <v>0</v>
      </c>
      <c r="AC67" s="121">
        <f>Emissions_Industry!AC51</f>
        <v>0</v>
      </c>
      <c r="AD67" s="121">
        <f>Emissions_Industry!AD51</f>
        <v>0</v>
      </c>
      <c r="AE67" s="121">
        <f>Emissions_Industry!AE51</f>
        <v>0</v>
      </c>
    </row>
    <row r="68" spans="1:35" x14ac:dyDescent="0.35">
      <c r="B68" s="115" t="s">
        <v>3197</v>
      </c>
      <c r="C68" s="115" t="s">
        <v>117</v>
      </c>
      <c r="D68" s="115" t="s">
        <v>3219</v>
      </c>
      <c r="E68" s="115" t="s">
        <v>2068</v>
      </c>
      <c r="H68" s="119" t="str">
        <f>Settings!$B$3&amp;".mit.eco2.gap.mch.1"</f>
        <v>egy.mit.eco2.gap.mch.1</v>
      </c>
      <c r="I68" s="115" t="s">
        <v>3199</v>
      </c>
      <c r="L68" s="121">
        <f t="shared" ref="L68:AE68" si="20">L67-L66</f>
        <v>-1.5828284109665627</v>
      </c>
      <c r="M68" s="121">
        <f t="shared" si="20"/>
        <v>-1.6176506360078275</v>
      </c>
      <c r="N68" s="121">
        <f t="shared" si="20"/>
        <v>-1.6532389499999995</v>
      </c>
      <c r="O68" s="121">
        <f t="shared" si="20"/>
        <v>-1.6896102068999994</v>
      </c>
      <c r="P68" s="121">
        <f t="shared" si="20"/>
        <v>-1.7267816314518005</v>
      </c>
      <c r="Q68" s="121">
        <f t="shared" si="20"/>
        <v>-1.7647708273437392</v>
      </c>
      <c r="R68" s="121">
        <f t="shared" si="20"/>
        <v>-1.8035957855453022</v>
      </c>
      <c r="S68" s="121">
        <f t="shared" si="20"/>
        <v>-1.843274892827298</v>
      </c>
      <c r="T68" s="121">
        <f t="shared" si="20"/>
        <v>-1.8838269404694987</v>
      </c>
      <c r="U68" s="121">
        <f t="shared" si="20"/>
        <v>-1.9252711331598276</v>
      </c>
      <c r="V68" s="121">
        <f t="shared" si="20"/>
        <v>-1.9676270980893444</v>
      </c>
      <c r="W68" s="121">
        <f t="shared" si="20"/>
        <v>-2.0109148942473092</v>
      </c>
      <c r="X68" s="121">
        <f t="shared" si="20"/>
        <v>-2.0551550219207506</v>
      </c>
      <c r="Y68" s="121">
        <f t="shared" si="20"/>
        <v>-2.1003684324030072</v>
      </c>
      <c r="Z68" s="121">
        <f t="shared" si="20"/>
        <v>-2.1465765379158737</v>
      </c>
      <c r="AA68" s="121">
        <f t="shared" si="20"/>
        <v>-2.1938012217500225</v>
      </c>
      <c r="AB68" s="121">
        <f t="shared" si="20"/>
        <v>-2.2420648486285226</v>
      </c>
      <c r="AC68" s="121">
        <f t="shared" si="20"/>
        <v>-2.2913902752983502</v>
      </c>
      <c r="AD68" s="121">
        <f t="shared" si="20"/>
        <v>-2.3418008613549151</v>
      </c>
      <c r="AE68" s="121">
        <f t="shared" si="20"/>
        <v>-2.3933204803047228</v>
      </c>
    </row>
    <row r="69" spans="1:35" x14ac:dyDescent="0.35">
      <c r="B69" s="115" t="s">
        <v>3200</v>
      </c>
      <c r="C69" s="115" t="s">
        <v>117</v>
      </c>
      <c r="D69" s="115" t="s">
        <v>3220</v>
      </c>
      <c r="E69" s="115" t="s">
        <v>87</v>
      </c>
      <c r="H69" s="119" t="str">
        <f>Settings!$B$3&amp;".mit.eco2.rblk.mch.1"</f>
        <v>egy.mit.eco2.rblk.mch.1</v>
      </c>
      <c r="I69" s="115" t="s">
        <v>3202</v>
      </c>
      <c r="L69" s="147">
        <f t="shared" ref="L69:AE69" si="21">IF(L67=0,0,L66/L67)</f>
        <v>0</v>
      </c>
      <c r="M69" s="147">
        <f t="shared" si="21"/>
        <v>0</v>
      </c>
      <c r="N69" s="147">
        <f t="shared" si="21"/>
        <v>0</v>
      </c>
      <c r="O69" s="147">
        <f t="shared" si="21"/>
        <v>0</v>
      </c>
      <c r="P69" s="147">
        <f t="shared" si="21"/>
        <v>0</v>
      </c>
      <c r="Q69" s="147">
        <f t="shared" si="21"/>
        <v>0</v>
      </c>
      <c r="R69" s="147">
        <f t="shared" si="21"/>
        <v>0</v>
      </c>
      <c r="S69" s="147">
        <f t="shared" si="21"/>
        <v>0</v>
      </c>
      <c r="T69" s="147">
        <f t="shared" si="21"/>
        <v>0</v>
      </c>
      <c r="U69" s="147">
        <f t="shared" si="21"/>
        <v>0</v>
      </c>
      <c r="V69" s="147">
        <f t="shared" si="21"/>
        <v>0</v>
      </c>
      <c r="W69" s="147">
        <f t="shared" si="21"/>
        <v>0</v>
      </c>
      <c r="X69" s="147">
        <f t="shared" si="21"/>
        <v>0</v>
      </c>
      <c r="Y69" s="147">
        <f t="shared" si="21"/>
        <v>0</v>
      </c>
      <c r="Z69" s="147">
        <f t="shared" si="21"/>
        <v>0</v>
      </c>
      <c r="AA69" s="147">
        <f t="shared" si="21"/>
        <v>0</v>
      </c>
      <c r="AB69" s="147">
        <f t="shared" si="21"/>
        <v>0</v>
      </c>
      <c r="AC69" s="147">
        <f t="shared" si="21"/>
        <v>0</v>
      </c>
      <c r="AD69" s="147">
        <f t="shared" si="21"/>
        <v>0</v>
      </c>
      <c r="AE69" s="147">
        <f t="shared" si="21"/>
        <v>0</v>
      </c>
    </row>
    <row r="72" spans="1:35" customFormat="1" ht="18" customHeight="1" x14ac:dyDescent="0.45">
      <c r="A72" s="8"/>
      <c r="B72" s="9" t="s">
        <v>3221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4" spans="1:35" customFormat="1" ht="14.25" x14ac:dyDescent="0.45">
      <c r="A74" s="11"/>
      <c r="B74" s="6" t="s">
        <v>1488</v>
      </c>
      <c r="C74" s="7" t="s">
        <v>33</v>
      </c>
      <c r="D74" s="6" t="s">
        <v>34</v>
      </c>
      <c r="E74" s="7" t="s">
        <v>35</v>
      </c>
      <c r="F74" s="7" t="s">
        <v>36</v>
      </c>
      <c r="G74" s="7" t="s">
        <v>37</v>
      </c>
      <c r="H74" s="12" t="s">
        <v>38</v>
      </c>
      <c r="I74" s="6" t="s">
        <v>39</v>
      </c>
      <c r="J74" s="48">
        <v>2</v>
      </c>
      <c r="K74" s="6">
        <v>2021</v>
      </c>
      <c r="L74" s="46">
        <v>2022</v>
      </c>
      <c r="M74" s="6">
        <v>2023</v>
      </c>
      <c r="N74" s="6">
        <v>2024</v>
      </c>
      <c r="O74" s="6">
        <v>2025</v>
      </c>
      <c r="P74" s="6">
        <v>2026</v>
      </c>
      <c r="Q74" s="6">
        <v>2027</v>
      </c>
      <c r="R74" s="6">
        <v>2028</v>
      </c>
      <c r="S74" s="6">
        <v>2029</v>
      </c>
      <c r="T74" s="6">
        <v>2030</v>
      </c>
      <c r="U74" s="6">
        <v>2031</v>
      </c>
      <c r="V74" s="6">
        <v>2032</v>
      </c>
      <c r="W74" s="6">
        <v>2033</v>
      </c>
      <c r="X74" s="6">
        <v>2034</v>
      </c>
      <c r="Y74" s="6">
        <v>2035</v>
      </c>
      <c r="Z74" s="6">
        <v>2036</v>
      </c>
      <c r="AA74" s="6">
        <v>2037</v>
      </c>
      <c r="AB74" s="6">
        <v>2038</v>
      </c>
      <c r="AC74" s="6">
        <v>2039</v>
      </c>
      <c r="AD74" s="6">
        <v>2040</v>
      </c>
      <c r="AE74" s="6">
        <v>2041</v>
      </c>
      <c r="AF74" s="6">
        <v>2042</v>
      </c>
      <c r="AG74" s="6">
        <v>2043</v>
      </c>
      <c r="AH74" s="6">
        <v>2044</v>
      </c>
      <c r="AI74" s="6">
        <v>2045</v>
      </c>
    </row>
    <row r="75" spans="1:35" x14ac:dyDescent="0.35">
      <c r="B75" s="115" t="s">
        <v>3192</v>
      </c>
      <c r="C75" s="115" t="s">
        <v>43</v>
      </c>
      <c r="D75" s="115" t="s">
        <v>3193</v>
      </c>
      <c r="E75" s="115" t="s">
        <v>2068</v>
      </c>
      <c r="F75" s="115" t="s">
        <v>3222</v>
      </c>
      <c r="H75" s="119" t="str">
        <f>Settings!$B$3&amp;".mit.eco2.blk.irn.2"</f>
        <v>egy.mit.eco2.blk.irn.2</v>
      </c>
      <c r="I75" s="115" t="s">
        <v>2254</v>
      </c>
      <c r="L75" s="121">
        <f>Mitigation_Industry!L774-SUMPRODUCT((Mitigation_Industry!L729:L731+Mitigation_Industry!L751:L753)*Mitigation_Industry!$I$663:$I$665/(Mitigation_Industry!$F$729:$F$731+(Mitigation_Industry!$F$729:$F$731=0))*'Manual inputs'!$E$88:$E$90)</f>
        <v>2.8694133664728936</v>
      </c>
      <c r="M75" s="121">
        <f>Mitigation_Industry!M774-SUMPRODUCT((Mitigation_Industry!M729:M731+Mitigation_Industry!M751:M753)*Mitigation_Industry!$I$663:$I$665/(Mitigation_Industry!$F$729:$F$731+(Mitigation_Industry!$F$729:$F$731=0))*'Manual inputs'!$E$88:$E$90)</f>
        <v>2.9956675545977007</v>
      </c>
      <c r="N75" s="121">
        <f>Mitigation_Industry!N774-SUMPRODUCT((Mitigation_Industry!N729:N731+Mitigation_Industry!N751:N753)*Mitigation_Industry!$I$663:$I$665/(Mitigation_Industry!$F$729:$F$731+(Mitigation_Industry!$F$729:$F$731=0))*'Manual inputs'!$E$88:$E$90)</f>
        <v>3.1274769269999996</v>
      </c>
      <c r="O75" s="121">
        <f>Mitigation_Industry!O774-SUMPRODUCT((Mitigation_Industry!O729:O731+Mitigation_Industry!O751:O753)*Mitigation_Industry!$I$663:$I$665/(Mitigation_Industry!$F$729:$F$731+(Mitigation_Industry!$F$729:$F$731=0))*'Manual inputs'!$E$88:$E$90)</f>
        <v>3.2650859117880002</v>
      </c>
      <c r="P75" s="121">
        <f>Mitigation_Industry!P774-SUMPRODUCT((Mitigation_Industry!P729:P731+Mitigation_Industry!P751:P753)*Mitigation_Industry!$I$663:$I$665/(Mitigation_Industry!$F$729:$F$731+(Mitigation_Industry!$F$729:$F$731=0))*'Manual inputs'!$E$88:$E$90)</f>
        <v>3.4087496919066722</v>
      </c>
      <c r="Q75" s="121">
        <f>Mitigation_Industry!Q774-SUMPRODUCT((Mitigation_Industry!Q729:Q731+Mitigation_Industry!Q751:Q753)*Mitigation_Industry!$I$663:$I$665/(Mitigation_Industry!$F$729:$F$731+(Mitigation_Industry!$F$729:$F$731=0))*'Manual inputs'!$E$88:$E$90)</f>
        <v>3.5587346783505662</v>
      </c>
      <c r="R75" s="121">
        <f>Mitigation_Industry!R774-SUMPRODUCT((Mitigation_Industry!R729:R731+Mitigation_Industry!R751:R753)*Mitigation_Industry!$I$663:$I$665/(Mitigation_Industry!$F$729:$F$731+(Mitigation_Industry!$F$729:$F$731=0))*'Manual inputs'!$E$88:$E$90)</f>
        <v>3.7153190041979904</v>
      </c>
      <c r="S75" s="121">
        <f>Mitigation_Industry!S774-SUMPRODUCT((Mitigation_Industry!S729:S731+Mitigation_Industry!S751:S753)*Mitigation_Industry!$I$663:$I$665/(Mitigation_Industry!$F$729:$F$731+(Mitigation_Industry!$F$729:$F$731=0))*'Manual inputs'!$E$88:$E$90)</f>
        <v>3.8787930403827025</v>
      </c>
      <c r="T75" s="121">
        <f>Mitigation_Industry!T774-SUMPRODUCT((Mitigation_Industry!T729:T731+Mitigation_Industry!T751:T753)*Mitigation_Industry!$I$663:$I$665/(Mitigation_Industry!$F$729:$F$731+(Mitigation_Industry!$F$729:$F$731=0))*'Manual inputs'!$E$88:$E$90)</f>
        <v>4.0494599341595423</v>
      </c>
      <c r="U75" s="121">
        <f>Mitigation_Industry!U774-SUMPRODUCT((Mitigation_Industry!U729:U731+Mitigation_Industry!U751:U753)*Mitigation_Industry!$I$663:$I$665/(Mitigation_Industry!$F$729:$F$731+(Mitigation_Industry!$F$729:$F$731=0))*'Manual inputs'!$E$88:$E$90)</f>
        <v>4.2276361712625619</v>
      </c>
      <c r="V75" s="121">
        <f>Mitigation_Industry!V774-SUMPRODUCT((Mitigation_Industry!V729:V731+Mitigation_Industry!V751:V753)*Mitigation_Industry!$I$663:$I$665/(Mitigation_Industry!$F$729:$F$731+(Mitigation_Industry!$F$729:$F$731=0))*'Manual inputs'!$E$88:$E$90)</f>
        <v>4.4136521627981145</v>
      </c>
      <c r="W75" s="121">
        <f>Mitigation_Industry!W774-SUMPRODUCT((Mitigation_Industry!W729:W731+Mitigation_Industry!W751:W753)*Mitigation_Industry!$I$663:$I$665/(Mitigation_Industry!$F$729:$F$731+(Mitigation_Industry!$F$729:$F$731=0))*'Manual inputs'!$E$88:$E$90)</f>
        <v>4.6078528579612303</v>
      </c>
      <c r="X75" s="121">
        <f>Mitigation_Industry!X774-SUMPRODUCT((Mitigation_Industry!X729:X731+Mitigation_Industry!X751:X753)*Mitigation_Industry!$I$663:$I$665/(Mitigation_Industry!$F$729:$F$731+(Mitigation_Industry!$F$729:$F$731=0))*'Manual inputs'!$E$88:$E$90)</f>
        <v>4.8105983837115254</v>
      </c>
      <c r="Y75" s="121">
        <f>Mitigation_Industry!Y774-SUMPRODUCT((Mitigation_Industry!Y729:Y731+Mitigation_Industry!Y751:Y753)*Mitigation_Industry!$I$663:$I$665/(Mitigation_Industry!$F$729:$F$731+(Mitigation_Industry!$F$729:$F$731=0))*'Manual inputs'!$E$88:$E$90)</f>
        <v>5.0222647125948336</v>
      </c>
      <c r="Z75" s="121">
        <f>Mitigation_Industry!Z774-SUMPRODUCT((Mitigation_Industry!Z729:Z731+Mitigation_Industry!Z751:Z753)*Mitigation_Industry!$I$663:$I$665/(Mitigation_Industry!$F$729:$F$731+(Mitigation_Industry!$F$729:$F$731=0))*'Manual inputs'!$E$88:$E$90)</f>
        <v>5.2432443599490046</v>
      </c>
      <c r="AA75" s="121">
        <f>Mitigation_Industry!AA774-SUMPRODUCT((Mitigation_Industry!AA729:AA731+Mitigation_Industry!AA751:AA753)*Mitigation_Industry!$I$663:$I$665/(Mitigation_Industry!$F$729:$F$731+(Mitigation_Industry!$F$729:$F$731=0))*'Manual inputs'!$E$88:$E$90)</f>
        <v>5.4739471117867611</v>
      </c>
      <c r="AB75" s="121">
        <f>Mitigation_Industry!AB774-SUMPRODUCT((Mitigation_Industry!AB729:AB731+Mitigation_Industry!AB751:AB753)*Mitigation_Industry!$I$663:$I$665/(Mitigation_Industry!$F$729:$F$731+(Mitigation_Industry!$F$729:$F$731=0))*'Manual inputs'!$E$88:$E$90)</f>
        <v>5.714800784705381</v>
      </c>
      <c r="AC75" s="121">
        <f>Mitigation_Industry!AC774-SUMPRODUCT((Mitigation_Industry!AC729:AC731+Mitigation_Industry!AC751:AC753)*Mitigation_Industry!$I$663:$I$665/(Mitigation_Industry!$F$729:$F$731+(Mitigation_Industry!$F$729:$F$731=0))*'Manual inputs'!$E$88:$E$90)</f>
        <v>5.9662520192324164</v>
      </c>
      <c r="AD75" s="121">
        <f>Mitigation_Industry!AD774-SUMPRODUCT((Mitigation_Industry!AD729:AD731+Mitigation_Industry!AD751:AD753)*Mitigation_Industry!$I$663:$I$665/(Mitigation_Industry!$F$729:$F$731+(Mitigation_Industry!$F$729:$F$731=0))*'Manual inputs'!$E$88:$E$90)</f>
        <v>6.2287671080786424</v>
      </c>
      <c r="AE75" s="121">
        <f>Mitigation_Industry!AE774-SUMPRODUCT((Mitigation_Industry!AE729:AE731+Mitigation_Industry!AE751:AE753)*Mitigation_Industry!$I$663:$I$665/(Mitigation_Industry!$F$729:$F$731+(Mitigation_Industry!$F$729:$F$731=0))*'Manual inputs'!$E$88:$E$90)</f>
        <v>6.5028328608341015</v>
      </c>
    </row>
    <row r="76" spans="1:35" x14ac:dyDescent="0.35">
      <c r="B76" s="115" t="s">
        <v>110</v>
      </c>
      <c r="C76" s="115" t="s">
        <v>43</v>
      </c>
      <c r="D76" s="115" t="s">
        <v>3195</v>
      </c>
      <c r="E76" s="115" t="s">
        <v>2068</v>
      </c>
      <c r="F76" s="115" t="s">
        <v>3223</v>
      </c>
      <c r="I76" s="115" t="s">
        <v>3224</v>
      </c>
      <c r="L76" s="121">
        <f>Emissions_Industry!L66</f>
        <v>4.5303835184019645</v>
      </c>
      <c r="M76" s="121">
        <f>Emissions_Industry!M66</f>
        <v>3.8469033618625206</v>
      </c>
      <c r="N76" s="121">
        <f>Emissions_Industry!N66</f>
        <v>4.3290746208215198</v>
      </c>
      <c r="O76" s="121">
        <f>Emissions_Industry!O66</f>
        <v>4.5451606543512009</v>
      </c>
      <c r="P76" s="121">
        <f>Emissions_Industry!P66</f>
        <v>4.6606527233890995</v>
      </c>
      <c r="Q76" s="121">
        <f>Emissions_Industry!Q66</f>
        <v>4.4078296144020142</v>
      </c>
      <c r="R76" s="121">
        <f>Emissions_Industry!R66</f>
        <v>4.246993475594202</v>
      </c>
      <c r="S76" s="121">
        <f>Emissions_Industry!S66</f>
        <v>4.1117536252780678</v>
      </c>
      <c r="T76" s="121">
        <f>Emissions_Industry!T66</f>
        <v>3.9924395556502268</v>
      </c>
      <c r="U76" s="121">
        <f>Emissions_Industry!U66</f>
        <v>3.8941902155876629</v>
      </c>
      <c r="V76" s="121">
        <f>Emissions_Industry!V66</f>
        <v>3.8124028190221151</v>
      </c>
      <c r="W76" s="121">
        <f>Emissions_Industry!W66</f>
        <v>3.7471168511266315</v>
      </c>
      <c r="X76" s="121">
        <f>Emissions_Industry!X66</f>
        <v>3.6964075936068812</v>
      </c>
      <c r="Y76" s="121">
        <f>Emissions_Industry!Y66</f>
        <v>3.6591659054499268</v>
      </c>
      <c r="Z76" s="121">
        <f>Emissions_Industry!Z66</f>
        <v>3.6352380271397982</v>
      </c>
      <c r="AA76" s="121">
        <f>Emissions_Industry!AA66</f>
        <v>3.623938569338653</v>
      </c>
      <c r="AB76" s="121">
        <f>Emissions_Industry!AB66</f>
        <v>3.6245334840846737</v>
      </c>
      <c r="AC76" s="121">
        <f>Emissions_Industry!AC66</f>
        <v>3.6357614325971319</v>
      </c>
      <c r="AD76" s="121">
        <f>Emissions_Industry!AD66</f>
        <v>3.656572990259491</v>
      </c>
      <c r="AE76" s="121">
        <f>Emissions_Industry!AE66</f>
        <v>3.686189977104291</v>
      </c>
    </row>
    <row r="77" spans="1:35" x14ac:dyDescent="0.35">
      <c r="B77" s="115" t="s">
        <v>3197</v>
      </c>
      <c r="C77" s="115" t="s">
        <v>43</v>
      </c>
      <c r="D77" s="115" t="s">
        <v>3198</v>
      </c>
      <c r="E77" s="115" t="s">
        <v>2068</v>
      </c>
      <c r="H77" s="119" t="str">
        <f>Settings!$B$3&amp;".mit.eco2.gap.irn.2"</f>
        <v>egy.mit.eco2.gap.irn.2</v>
      </c>
      <c r="I77" s="115" t="s">
        <v>3199</v>
      </c>
      <c r="L77" s="121">
        <f t="shared" ref="L77:AE77" si="22">L76-L75</f>
        <v>1.6609701519290709</v>
      </c>
      <c r="M77" s="121">
        <f t="shared" si="22"/>
        <v>0.85123580726481984</v>
      </c>
      <c r="N77" s="121">
        <f t="shared" si="22"/>
        <v>1.2015976938215203</v>
      </c>
      <c r="O77" s="121">
        <f t="shared" si="22"/>
        <v>1.2800747425632006</v>
      </c>
      <c r="P77" s="121">
        <f t="shared" si="22"/>
        <v>1.2519030314824273</v>
      </c>
      <c r="Q77" s="121">
        <f t="shared" si="22"/>
        <v>0.84909493605144792</v>
      </c>
      <c r="R77" s="121">
        <f t="shared" si="22"/>
        <v>0.5316744713962116</v>
      </c>
      <c r="S77" s="121">
        <f t="shared" si="22"/>
        <v>0.23296058489536531</v>
      </c>
      <c r="T77" s="121">
        <f t="shared" si="22"/>
        <v>-5.7020378509315517E-2</v>
      </c>
      <c r="U77" s="121">
        <f t="shared" si="22"/>
        <v>-0.33344595567489899</v>
      </c>
      <c r="V77" s="121">
        <f t="shared" si="22"/>
        <v>-0.60124934377599937</v>
      </c>
      <c r="W77" s="121">
        <f t="shared" si="22"/>
        <v>-0.86073600683459883</v>
      </c>
      <c r="X77" s="121">
        <f t="shared" si="22"/>
        <v>-1.1141907901046442</v>
      </c>
      <c r="Y77" s="121">
        <f t="shared" si="22"/>
        <v>-1.3630988071449068</v>
      </c>
      <c r="Z77" s="121">
        <f t="shared" si="22"/>
        <v>-1.6080063328092065</v>
      </c>
      <c r="AA77" s="121">
        <f t="shared" si="22"/>
        <v>-1.8500085424481081</v>
      </c>
      <c r="AB77" s="121">
        <f t="shared" si="22"/>
        <v>-2.0902673006207073</v>
      </c>
      <c r="AC77" s="121">
        <f t="shared" si="22"/>
        <v>-2.3304905866352845</v>
      </c>
      <c r="AD77" s="121">
        <f t="shared" si="22"/>
        <v>-2.5721941178191514</v>
      </c>
      <c r="AE77" s="121">
        <f t="shared" si="22"/>
        <v>-2.8166428837298105</v>
      </c>
    </row>
    <row r="78" spans="1:35" x14ac:dyDescent="0.35">
      <c r="B78" s="115" t="s">
        <v>3200</v>
      </c>
      <c r="C78" s="115" t="s">
        <v>43</v>
      </c>
      <c r="D78" s="115" t="s">
        <v>3201</v>
      </c>
      <c r="E78" s="115" t="s">
        <v>87</v>
      </c>
      <c r="H78" s="119" t="str">
        <f>Settings!$B$3&amp;".mit.eco2.rblk.irn.2"</f>
        <v>egy.mit.eco2.rblk.irn.2</v>
      </c>
      <c r="I78" s="115" t="s">
        <v>3202</v>
      </c>
      <c r="L78" s="147">
        <f t="shared" ref="L78:AE78" si="23">IF(L76=0,0,L75/L76)</f>
        <v>0.63337096182202313</v>
      </c>
      <c r="M78" s="147">
        <f t="shared" si="23"/>
        <v>0.77872181149549735</v>
      </c>
      <c r="N78" s="147">
        <f t="shared" si="23"/>
        <v>0.72243543965673307</v>
      </c>
      <c r="O78" s="147">
        <f t="shared" si="23"/>
        <v>0.71836534725395207</v>
      </c>
      <c r="P78" s="147">
        <f t="shared" si="23"/>
        <v>0.73138890499181464</v>
      </c>
      <c r="Q78" s="147">
        <f t="shared" si="23"/>
        <v>0.80736666107121291</v>
      </c>
      <c r="R78" s="147">
        <f t="shared" si="23"/>
        <v>0.87481156388595005</v>
      </c>
      <c r="S78" s="147">
        <f t="shared" si="23"/>
        <v>0.94334276658426708</v>
      </c>
      <c r="T78" s="147">
        <f t="shared" si="23"/>
        <v>1.0142820893627853</v>
      </c>
      <c r="U78" s="147">
        <f t="shared" si="23"/>
        <v>1.0856265198192379</v>
      </c>
      <c r="V78" s="147">
        <f t="shared" si="23"/>
        <v>1.1577087659194996</v>
      </c>
      <c r="W78" s="147">
        <f t="shared" si="23"/>
        <v>1.2297062090753335</v>
      </c>
      <c r="X78" s="147">
        <f t="shared" si="23"/>
        <v>1.3014253060273147</v>
      </c>
      <c r="Y78" s="147">
        <f t="shared" si="23"/>
        <v>1.3725162625489926</v>
      </c>
      <c r="Z78" s="147">
        <f t="shared" si="23"/>
        <v>1.4423386641546507</v>
      </c>
      <c r="AA78" s="147">
        <f t="shared" si="23"/>
        <v>1.5104966618641451</v>
      </c>
      <c r="AB78" s="147">
        <f t="shared" si="23"/>
        <v>1.5766996800551218</v>
      </c>
      <c r="AC78" s="147">
        <f t="shared" si="23"/>
        <v>1.6409910633136746</v>
      </c>
      <c r="AD78" s="147">
        <f t="shared" si="23"/>
        <v>1.7034439418195817</v>
      </c>
      <c r="AE78" s="147">
        <f t="shared" si="23"/>
        <v>1.7641068152278037</v>
      </c>
    </row>
    <row r="80" spans="1:35" x14ac:dyDescent="0.35">
      <c r="B80" s="115" t="s">
        <v>3192</v>
      </c>
      <c r="C80" s="115" t="s">
        <v>113</v>
      </c>
      <c r="D80" s="115" t="s">
        <v>3203</v>
      </c>
      <c r="E80" s="115" t="s">
        <v>2068</v>
      </c>
      <c r="F80" s="115" t="s">
        <v>3225</v>
      </c>
      <c r="H80" s="119" t="str">
        <f>Settings!$B$3&amp;".mit.eco2.blk.cem.2"</f>
        <v>egy.mit.eco2.blk.cem.2</v>
      </c>
      <c r="I80" s="115" t="s">
        <v>2279</v>
      </c>
      <c r="L80" s="121">
        <f>Mitigation_Industry!L777-SUMPRODUCT((Mitigation_Industry!L732:L732+Mitigation_Industry!L754:L754)*Mitigation_Industry!$I$666:$I$666/(Mitigation_Industry!$F$732:$F$732+(Mitigation_Industry!$F$732:$F$732=0))*'Manual inputs'!$E$91:$E$91)</f>
        <v>14.692706044200628</v>
      </c>
      <c r="M80" s="121">
        <f>Mitigation_Industry!M777-SUMPRODUCT((Mitigation_Industry!M732:M732+Mitigation_Industry!M754:M754)*Mitigation_Industry!$I$666:$I$666/(Mitigation_Industry!$F$732:$F$732+(Mitigation_Industry!$F$732:$F$732=0))*'Manual inputs'!$E$91:$E$91)</f>
        <v>15.177565343659246</v>
      </c>
      <c r="N80" s="121">
        <f>Mitigation_Industry!N777-SUMPRODUCT((Mitigation_Industry!N732:N732+Mitigation_Industry!N754:N754)*Mitigation_Industry!$I$666:$I$666/(Mitigation_Industry!$F$732:$F$732+(Mitigation_Industry!$F$732:$F$732=0))*'Manual inputs'!$E$91:$E$91)</f>
        <v>15.678424999999999</v>
      </c>
      <c r="O80" s="121">
        <f>Mitigation_Industry!O777-SUMPRODUCT((Mitigation_Industry!O732:O732+Mitigation_Industry!O754:O754)*Mitigation_Industry!$I$666:$I$666/(Mitigation_Industry!$F$732:$F$732+(Mitigation_Industry!$F$732:$F$732=0))*'Manual inputs'!$E$91:$E$91)</f>
        <v>16.195813024999996</v>
      </c>
      <c r="P80" s="121">
        <f>Mitigation_Industry!P777-SUMPRODUCT((Mitigation_Industry!P732:P732+Mitigation_Industry!P754:P754)*Mitigation_Industry!$I$666:$I$666/(Mitigation_Industry!$F$732:$F$732+(Mitigation_Industry!$F$732:$F$732=0))*'Manual inputs'!$E$91:$E$91)</f>
        <v>16.730274854824994</v>
      </c>
      <c r="Q80" s="121">
        <f>Mitigation_Industry!Q777-SUMPRODUCT((Mitigation_Industry!Q732:Q732+Mitigation_Industry!Q754:Q754)*Mitigation_Industry!$I$666:$I$666/(Mitigation_Industry!$F$732:$F$732+(Mitigation_Industry!$F$732:$F$732=0))*'Manual inputs'!$E$91:$E$91)</f>
        <v>17.282373925034218</v>
      </c>
      <c r="R80" s="121">
        <f>Mitigation_Industry!R777-SUMPRODUCT((Mitigation_Industry!R732:R732+Mitigation_Industry!R754:R754)*Mitigation_Industry!$I$666:$I$666/(Mitigation_Industry!$F$732:$F$732+(Mitigation_Industry!$F$732:$F$732=0))*'Manual inputs'!$E$91:$E$91)</f>
        <v>17.852692264560343</v>
      </c>
      <c r="S80" s="121">
        <f>Mitigation_Industry!S777-SUMPRODUCT((Mitigation_Industry!S732:S732+Mitigation_Industry!S754:S754)*Mitigation_Industry!$I$666:$I$666/(Mitigation_Industry!$F$732:$F$732+(Mitigation_Industry!$F$732:$F$732=0))*'Manual inputs'!$E$91:$E$91)</f>
        <v>18.441831109290838</v>
      </c>
      <c r="T80" s="121">
        <f>Mitigation_Industry!T777-SUMPRODUCT((Mitigation_Industry!T732:T732+Mitigation_Industry!T754:T754)*Mitigation_Industry!$I$666:$I$666/(Mitigation_Industry!$F$732:$F$732+(Mitigation_Industry!$F$732:$F$732=0))*'Manual inputs'!$E$91:$E$91)</f>
        <v>19.050411535897432</v>
      </c>
      <c r="U80" s="121">
        <f>Mitigation_Industry!U777-SUMPRODUCT((Mitigation_Industry!U732:U732+Mitigation_Industry!U754:U754)*Mitigation_Industry!$I$666:$I$666/(Mitigation_Industry!$F$732:$F$732+(Mitigation_Industry!$F$732:$F$732=0))*'Manual inputs'!$E$91:$E$91)</f>
        <v>19.679075116582045</v>
      </c>
      <c r="V80" s="121">
        <f>Mitigation_Industry!V777-SUMPRODUCT((Mitigation_Industry!V732:V732+Mitigation_Industry!V754:V754)*Mitigation_Industry!$I$666:$I$666/(Mitigation_Industry!$F$732:$F$732+(Mitigation_Industry!$F$732:$F$732=0))*'Manual inputs'!$E$91:$E$91)</f>
        <v>20.328484595429249</v>
      </c>
      <c r="W80" s="121">
        <f>Mitigation_Industry!W777-SUMPRODUCT((Mitigation_Industry!W732:W732+Mitigation_Industry!W754:W754)*Mitigation_Industry!$I$666:$I$666/(Mitigation_Industry!$F$732:$F$732+(Mitigation_Industry!$F$732:$F$732=0))*'Manual inputs'!$E$91:$E$91)</f>
        <v>20.999324587078412</v>
      </c>
      <c r="X80" s="121">
        <f>Mitigation_Industry!X777-SUMPRODUCT((Mitigation_Industry!X732:X732+Mitigation_Industry!X754:X754)*Mitigation_Industry!$I$666:$I$666/(Mitigation_Industry!$F$732:$F$732+(Mitigation_Industry!$F$732:$F$732=0))*'Manual inputs'!$E$91:$E$91)</f>
        <v>21.692302298451992</v>
      </c>
      <c r="Y80" s="121">
        <f>Mitigation_Industry!Y777-SUMPRODUCT((Mitigation_Industry!Y732:Y732+Mitigation_Industry!Y754:Y754)*Mitigation_Industry!$I$666:$I$666/(Mitigation_Industry!$F$732:$F$732+(Mitigation_Industry!$F$732:$F$732=0))*'Manual inputs'!$E$91:$E$91)</f>
        <v>22.40814827430091</v>
      </c>
      <c r="Z80" s="121">
        <f>Mitigation_Industry!Z777-SUMPRODUCT((Mitigation_Industry!Z732:Z732+Mitigation_Industry!Z754:Z754)*Mitigation_Industry!$I$666:$I$666/(Mitigation_Industry!$F$732:$F$732+(Mitigation_Industry!$F$732:$F$732=0))*'Manual inputs'!$E$91:$E$91)</f>
        <v>23.147617167352838</v>
      </c>
      <c r="AA80" s="121">
        <f>Mitigation_Industry!AA777-SUMPRODUCT((Mitigation_Industry!AA732:AA732+Mitigation_Industry!AA754:AA754)*Mitigation_Industry!$I$666:$I$666/(Mitigation_Industry!$F$732:$F$732+(Mitigation_Industry!$F$732:$F$732=0))*'Manual inputs'!$E$91:$E$91)</f>
        <v>23.911488533875481</v>
      </c>
      <c r="AB80" s="121">
        <f>Mitigation_Industry!AB777-SUMPRODUCT((Mitigation_Industry!AB732:AB732+Mitigation_Industry!AB754:AB754)*Mitigation_Industry!$I$666:$I$666/(Mitigation_Industry!$F$732:$F$732+(Mitigation_Industry!$F$732:$F$732=0))*'Manual inputs'!$E$91:$E$91)</f>
        <v>24.700567655493362</v>
      </c>
      <c r="AC80" s="121">
        <f>Mitigation_Industry!AC777-SUMPRODUCT((Mitigation_Industry!AC732:AC732+Mitigation_Industry!AC754:AC754)*Mitigation_Industry!$I$666:$I$666/(Mitigation_Industry!$F$732:$F$732+(Mitigation_Industry!$F$732:$F$732=0))*'Manual inputs'!$E$91:$E$91)</f>
        <v>25.515686388124642</v>
      </c>
      <c r="AD80" s="121">
        <f>Mitigation_Industry!AD777-SUMPRODUCT((Mitigation_Industry!AD732:AD732+Mitigation_Industry!AD754:AD754)*Mitigation_Industry!$I$666:$I$666/(Mitigation_Industry!$F$732:$F$732+(Mitigation_Industry!$F$732:$F$732=0))*'Manual inputs'!$E$91:$E$91)</f>
        <v>26.357704038932756</v>
      </c>
      <c r="AE80" s="121">
        <f>Mitigation_Industry!AE777-SUMPRODUCT((Mitigation_Industry!AE732:AE732+Mitigation_Industry!AE754:AE754)*Mitigation_Industry!$I$666:$I$666/(Mitigation_Industry!$F$732:$F$732+(Mitigation_Industry!$F$732:$F$732=0))*'Manual inputs'!$E$91:$E$91)</f>
        <v>27.227508272217527</v>
      </c>
    </row>
    <row r="81" spans="2:31" x14ac:dyDescent="0.35">
      <c r="B81" s="115" t="s">
        <v>110</v>
      </c>
      <c r="C81" s="115" t="s">
        <v>113</v>
      </c>
      <c r="D81" s="115" t="s">
        <v>3205</v>
      </c>
      <c r="E81" s="115" t="s">
        <v>2068</v>
      </c>
      <c r="F81" s="115" t="s">
        <v>3226</v>
      </c>
      <c r="I81" s="115" t="s">
        <v>3227</v>
      </c>
      <c r="L81" s="121">
        <f>Emissions_Industry!L78</f>
        <v>9.4893574461323063</v>
      </c>
      <c r="M81" s="121">
        <f>Emissions_Industry!M78</f>
        <v>7.892397868173477</v>
      </c>
      <c r="N81" s="121">
        <f>Emissions_Industry!N78</f>
        <v>8.974049898041585</v>
      </c>
      <c r="O81" s="121">
        <f>Emissions_Industry!O78</f>
        <v>9.6117389440758174</v>
      </c>
      <c r="P81" s="121">
        <f>Emissions_Industry!P78</f>
        <v>9.6255920185944621</v>
      </c>
      <c r="Q81" s="121">
        <f>Emissions_Industry!Q78</f>
        <v>9.0746501749675428</v>
      </c>
      <c r="R81" s="121">
        <f>Emissions_Industry!R78</f>
        <v>8.7362574382654046</v>
      </c>
      <c r="S81" s="121">
        <f>Emissions_Industry!S78</f>
        <v>8.4490397368747985</v>
      </c>
      <c r="T81" s="121">
        <f>Emissions_Industry!T78</f>
        <v>8.1955178569750267</v>
      </c>
      <c r="U81" s="121">
        <f>Emissions_Industry!U78</f>
        <v>7.9814424709644749</v>
      </c>
      <c r="V81" s="121">
        <f>Emissions_Industry!V78</f>
        <v>7.7902867807190201</v>
      </c>
      <c r="W81" s="121">
        <f>Emissions_Industry!W78</f>
        <v>7.6314031195294163</v>
      </c>
      <c r="X81" s="121">
        <f>Emissions_Industry!X78</f>
        <v>7.5006570964300785</v>
      </c>
      <c r="Y81" s="121">
        <f>Emissions_Industry!Y78</f>
        <v>7.3954239718464407</v>
      </c>
      <c r="Z81" s="121">
        <f>Emissions_Industry!Z78</f>
        <v>7.3147393259951752</v>
      </c>
      <c r="AA81" s="121">
        <f>Emissions_Industry!AA78</f>
        <v>7.2568985784252265</v>
      </c>
      <c r="AB81" s="121">
        <f>Emissions_Industry!AB78</f>
        <v>7.2202035238785385</v>
      </c>
      <c r="AC81" s="121">
        <f>Emissions_Industry!AC78</f>
        <v>7.2022011866219096</v>
      </c>
      <c r="AD81" s="121">
        <f>Emissions_Industry!AD78</f>
        <v>7.2008394296116975</v>
      </c>
      <c r="AE81" s="121">
        <f>Emissions_Industry!AE78</f>
        <v>7.2145454034411083</v>
      </c>
    </row>
    <row r="82" spans="2:31" x14ac:dyDescent="0.35">
      <c r="B82" s="115" t="s">
        <v>3197</v>
      </c>
      <c r="C82" s="115" t="s">
        <v>113</v>
      </c>
      <c r="D82" s="115" t="s">
        <v>3207</v>
      </c>
      <c r="E82" s="115" t="s">
        <v>2068</v>
      </c>
      <c r="H82" s="119" t="str">
        <f>Settings!$B$3&amp;".mit.eco2.gap.cem.2"</f>
        <v>egy.mit.eco2.gap.cem.2</v>
      </c>
      <c r="I82" s="115" t="s">
        <v>3199</v>
      </c>
      <c r="L82" s="121">
        <f t="shared" ref="L82:AE82" si="24">L81-L80</f>
        <v>-5.2033485980683221</v>
      </c>
      <c r="M82" s="121">
        <f t="shared" si="24"/>
        <v>-7.2851674754857694</v>
      </c>
      <c r="N82" s="121">
        <f t="shared" si="24"/>
        <v>-6.7043751019584139</v>
      </c>
      <c r="O82" s="121">
        <f t="shared" si="24"/>
        <v>-6.5840740809241787</v>
      </c>
      <c r="P82" s="121">
        <f t="shared" si="24"/>
        <v>-7.1046828362305323</v>
      </c>
      <c r="Q82" s="121">
        <f t="shared" si="24"/>
        <v>-8.2077237500666751</v>
      </c>
      <c r="R82" s="121">
        <f t="shared" si="24"/>
        <v>-9.1164348262949382</v>
      </c>
      <c r="S82" s="121">
        <f t="shared" si="24"/>
        <v>-9.9927913724160398</v>
      </c>
      <c r="T82" s="121">
        <f t="shared" si="24"/>
        <v>-10.854893678922405</v>
      </c>
      <c r="U82" s="121">
        <f t="shared" si="24"/>
        <v>-11.697632645617571</v>
      </c>
      <c r="V82" s="121">
        <f t="shared" si="24"/>
        <v>-12.538197814710228</v>
      </c>
      <c r="W82" s="121">
        <f t="shared" si="24"/>
        <v>-13.367921467548996</v>
      </c>
      <c r="X82" s="121">
        <f t="shared" si="24"/>
        <v>-14.191645202021913</v>
      </c>
      <c r="Y82" s="121">
        <f t="shared" si="24"/>
        <v>-15.012724302454469</v>
      </c>
      <c r="Z82" s="121">
        <f t="shared" si="24"/>
        <v>-15.832877841357663</v>
      </c>
      <c r="AA82" s="121">
        <f t="shared" si="24"/>
        <v>-16.654589955450255</v>
      </c>
      <c r="AB82" s="121">
        <f t="shared" si="24"/>
        <v>-17.480364131614824</v>
      </c>
      <c r="AC82" s="121">
        <f t="shared" si="24"/>
        <v>-18.313485201502733</v>
      </c>
      <c r="AD82" s="121">
        <f t="shared" si="24"/>
        <v>-19.156864609321058</v>
      </c>
      <c r="AE82" s="121">
        <f t="shared" si="24"/>
        <v>-20.01296286877642</v>
      </c>
    </row>
    <row r="83" spans="2:31" x14ac:dyDescent="0.35">
      <c r="B83" s="115" t="s">
        <v>3200</v>
      </c>
      <c r="C83" s="115" t="s">
        <v>113</v>
      </c>
      <c r="D83" s="115" t="s">
        <v>3208</v>
      </c>
      <c r="E83" s="115" t="s">
        <v>87</v>
      </c>
      <c r="H83" s="119" t="str">
        <f>Settings!$B$3&amp;".mit.eco2.rblk.cem.2"</f>
        <v>egy.mit.eco2.rblk.cem.2</v>
      </c>
      <c r="I83" s="115" t="s">
        <v>3202</v>
      </c>
      <c r="L83" s="147">
        <f t="shared" ref="L83:AE83" si="25">IF(L81=0,0,L80/L81)</f>
        <v>1.5483351878781966</v>
      </c>
      <c r="M83" s="147">
        <f t="shared" si="25"/>
        <v>1.9230613556449812</v>
      </c>
      <c r="N83" s="147">
        <f t="shared" si="25"/>
        <v>1.7470846694781044</v>
      </c>
      <c r="O83" s="147">
        <f t="shared" si="25"/>
        <v>1.6850034233381113</v>
      </c>
      <c r="P83" s="147">
        <f t="shared" si="25"/>
        <v>1.7381034665198665</v>
      </c>
      <c r="Q83" s="147">
        <f t="shared" si="25"/>
        <v>1.9044672347489175</v>
      </c>
      <c r="R83" s="147">
        <f t="shared" si="25"/>
        <v>2.0435171915109014</v>
      </c>
      <c r="S83" s="147">
        <f t="shared" si="25"/>
        <v>2.1827132648937284</v>
      </c>
      <c r="T83" s="147">
        <f t="shared" si="25"/>
        <v>2.3244914925887254</v>
      </c>
      <c r="U83" s="147">
        <f t="shared" si="25"/>
        <v>2.4656038289033777</v>
      </c>
      <c r="V83" s="147">
        <f t="shared" si="25"/>
        <v>2.6094655007749266</v>
      </c>
      <c r="W83" s="147">
        <f t="shared" si="25"/>
        <v>2.7516990333454325</v>
      </c>
      <c r="X83" s="147">
        <f t="shared" si="25"/>
        <v>2.8920535920481414</v>
      </c>
      <c r="Y83" s="147">
        <f t="shared" si="25"/>
        <v>3.0300018443305272</v>
      </c>
      <c r="Z83" s="147">
        <f t="shared" si="25"/>
        <v>3.164517030031496</v>
      </c>
      <c r="AA83" s="147">
        <f t="shared" si="25"/>
        <v>3.295001063534825</v>
      </c>
      <c r="AB83" s="147">
        <f t="shared" si="25"/>
        <v>3.4210348190053161</v>
      </c>
      <c r="AC83" s="147">
        <f t="shared" si="25"/>
        <v>3.5427622371227336</v>
      </c>
      <c r="AD83" s="147">
        <f t="shared" si="25"/>
        <v>3.6603654749671435</v>
      </c>
      <c r="AE83" s="147">
        <f t="shared" si="25"/>
        <v>3.773974207609931</v>
      </c>
    </row>
    <row r="85" spans="2:31" x14ac:dyDescent="0.35">
      <c r="B85" s="115" t="s">
        <v>3192</v>
      </c>
      <c r="C85" s="115" t="s">
        <v>115</v>
      </c>
      <c r="D85" s="115" t="s">
        <v>3209</v>
      </c>
      <c r="E85" s="115" t="s">
        <v>2068</v>
      </c>
      <c r="F85" s="115" t="s">
        <v>3228</v>
      </c>
      <c r="H85" s="119" t="str">
        <f>Settings!$B$3&amp;".mit.eco2.blk.nfm.2"</f>
        <v>egy.mit.eco2.blk.nfm.2</v>
      </c>
      <c r="I85" s="115" t="s">
        <v>2289</v>
      </c>
      <c r="L85" s="121">
        <f>Mitigation_Industry!L775-SUMPRODUCT((Mitigation_Industry!L736:L736+Mitigation_Industry!L758:L758)*Mitigation_Industry!$I$670:$I$670/(Mitigation_Industry!$F$736:$F$736+(Mitigation_Industry!$F$736:$F$736=0))*'Manual inputs'!$E$95:$E$95)</f>
        <v>3.3266099144224071E-2</v>
      </c>
      <c r="M85" s="121">
        <f>Mitigation_Industry!M775-SUMPRODUCT((Mitigation_Industry!M736:M736+Mitigation_Industry!M758:M758)*Mitigation_Industry!$I$670:$I$670/(Mitigation_Industry!$F$736:$F$736+(Mitigation_Industry!$F$736:$F$736=0))*'Manual inputs'!$E$95:$E$95)</f>
        <v>3.5095734597156404E-2</v>
      </c>
      <c r="N85" s="121">
        <f>Mitigation_Industry!N775-SUMPRODUCT((Mitigation_Industry!N736:N736+Mitigation_Industry!N758:N758)*Mitigation_Industry!$I$670:$I$670/(Mitigation_Industry!$F$736:$F$736+(Mitigation_Industry!$F$736:$F$736=0))*'Manual inputs'!$E$95:$E$95)</f>
        <v>3.7026000000000003E-2</v>
      </c>
      <c r="O85" s="121">
        <f>Mitigation_Industry!O775-SUMPRODUCT((Mitigation_Industry!O736:O736+Mitigation_Industry!O758:O758)*Mitigation_Industry!$I$670:$I$670/(Mitigation_Industry!$F$736:$F$736+(Mitigation_Industry!$F$736:$F$736=0))*'Manual inputs'!$E$95:$E$95)</f>
        <v>3.9062430000000002E-2</v>
      </c>
      <c r="P85" s="121">
        <f>Mitigation_Industry!P775-SUMPRODUCT((Mitigation_Industry!P736:P736+Mitigation_Industry!P758:P758)*Mitigation_Industry!$I$670:$I$670/(Mitigation_Industry!$F$736:$F$736+(Mitigation_Industry!$F$736:$F$736=0))*'Manual inputs'!$E$95:$E$95)</f>
        <v>4.1210863649999999E-2</v>
      </c>
      <c r="Q85" s="121">
        <f>Mitigation_Industry!Q775-SUMPRODUCT((Mitigation_Industry!Q736:Q736+Mitigation_Industry!Q758:Q758)*Mitigation_Industry!$I$670:$I$670/(Mitigation_Industry!$F$736:$F$736+(Mitigation_Industry!$F$736:$F$736=0))*'Manual inputs'!$E$95:$E$95)</f>
        <v>4.3477461150749991E-2</v>
      </c>
      <c r="R85" s="121">
        <f>Mitigation_Industry!R775-SUMPRODUCT((Mitigation_Industry!R736:R736+Mitigation_Industry!R758:R758)*Mitigation_Industry!$I$670:$I$670/(Mitigation_Industry!$F$736:$F$736+(Mitigation_Industry!$F$736:$F$736=0))*'Manual inputs'!$E$95:$E$95)</f>
        <v>4.5868721514041248E-2</v>
      </c>
      <c r="S85" s="121">
        <f>Mitigation_Industry!S775-SUMPRODUCT((Mitigation_Industry!S736:S736+Mitigation_Industry!S758:S758)*Mitigation_Industry!$I$670:$I$670/(Mitigation_Industry!$F$736:$F$736+(Mitigation_Industry!$F$736:$F$736=0))*'Manual inputs'!$E$95:$E$95)</f>
        <v>4.8391501197313509E-2</v>
      </c>
      <c r="T85" s="121">
        <f>Mitigation_Industry!T775-SUMPRODUCT((Mitigation_Industry!T736:T736+Mitigation_Industry!T758:T758)*Mitigation_Industry!$I$670:$I$670/(Mitigation_Industry!$F$736:$F$736+(Mitigation_Industry!$F$736:$F$736=0))*'Manual inputs'!$E$95:$E$95)</f>
        <v>5.105303376316575E-2</v>
      </c>
      <c r="U85" s="121">
        <f>Mitigation_Industry!U775-SUMPRODUCT((Mitigation_Industry!U736:U736+Mitigation_Industry!U758:U758)*Mitigation_Industry!$I$670:$I$670/(Mitigation_Industry!$F$736:$F$736+(Mitigation_Industry!$F$736:$F$736=0))*'Manual inputs'!$E$95:$E$95)</f>
        <v>5.3860950620139861E-2</v>
      </c>
      <c r="V85" s="121">
        <f>Mitigation_Industry!V775-SUMPRODUCT((Mitigation_Industry!V736:V736+Mitigation_Industry!V758:V758)*Mitigation_Industry!$I$670:$I$670/(Mitigation_Industry!$F$736:$F$736+(Mitigation_Industry!$F$736:$F$736=0))*'Manual inputs'!$E$95:$E$95)</f>
        <v>5.6823302904247558E-2</v>
      </c>
      <c r="W85" s="121">
        <f>Mitigation_Industry!W775-SUMPRODUCT((Mitigation_Industry!W736:W736+Mitigation_Industry!W758:W758)*Mitigation_Industry!$I$670:$I$670/(Mitigation_Industry!$F$736:$F$736+(Mitigation_Industry!$F$736:$F$736=0))*'Manual inputs'!$E$95:$E$95)</f>
        <v>5.9948584563981173E-2</v>
      </c>
      <c r="X85" s="121">
        <f>Mitigation_Industry!X775-SUMPRODUCT((Mitigation_Industry!X736:X736+Mitigation_Industry!X758:X758)*Mitigation_Industry!$I$670:$I$670/(Mitigation_Industry!$F$736:$F$736+(Mitigation_Industry!$F$736:$F$736=0))*'Manual inputs'!$E$95:$E$95)</f>
        <v>6.3245756715000129E-2</v>
      </c>
      <c r="Y85" s="121">
        <f>Mitigation_Industry!Y775-SUMPRODUCT((Mitigation_Industry!Y736:Y736+Mitigation_Industry!Y758:Y758)*Mitigation_Industry!$I$670:$I$670/(Mitigation_Industry!$F$736:$F$736+(Mitigation_Industry!$F$736:$F$736=0))*'Manual inputs'!$E$95:$E$95)</f>
        <v>6.6724273334325138E-2</v>
      </c>
      <c r="Z85" s="121">
        <f>Mitigation_Industry!Z775-SUMPRODUCT((Mitigation_Industry!Z736:Z736+Mitigation_Industry!Z758:Z758)*Mitigation_Industry!$I$670:$I$670/(Mitigation_Industry!$F$736:$F$736+(Mitigation_Industry!$F$736:$F$736=0))*'Manual inputs'!$E$95:$E$95)</f>
        <v>7.039410836771301E-2</v>
      </c>
      <c r="AA85" s="121">
        <f>Mitigation_Industry!AA775-SUMPRODUCT((Mitigation_Industry!AA736:AA736+Mitigation_Industry!AA758:AA758)*Mitigation_Industry!$I$670:$I$670/(Mitigation_Industry!$F$736:$F$736+(Mitigation_Industry!$F$736:$F$736=0))*'Manual inputs'!$E$95:$E$95)</f>
        <v>7.426578432793722E-2</v>
      </c>
      <c r="AB85" s="121">
        <f>Mitigation_Industry!AB775-SUMPRODUCT((Mitigation_Industry!AB736:AB736+Mitigation_Industry!AB758:AB758)*Mitigation_Industry!$I$670:$I$670/(Mitigation_Industry!$F$736:$F$736+(Mitigation_Industry!$F$736:$F$736=0))*'Manual inputs'!$E$95:$E$95)</f>
        <v>7.8350402465973787E-2</v>
      </c>
      <c r="AC85" s="121">
        <f>Mitigation_Industry!AC775-SUMPRODUCT((Mitigation_Industry!AC736:AC736+Mitigation_Industry!AC758:AC758)*Mitigation_Industry!$I$670:$I$670/(Mitigation_Industry!$F$736:$F$736+(Mitigation_Industry!$F$736:$F$736=0))*'Manual inputs'!$E$95:$E$95)</f>
        <v>8.2659674601602312E-2</v>
      </c>
      <c r="AD85" s="121">
        <f>Mitigation_Industry!AD775-SUMPRODUCT((Mitigation_Industry!AD736:AD736+Mitigation_Industry!AD758:AD758)*Mitigation_Industry!$I$670:$I$670/(Mitigation_Industry!$F$736:$F$736+(Mitigation_Industry!$F$736:$F$736=0))*'Manual inputs'!$E$95:$E$95)</f>
        <v>8.7205956704690446E-2</v>
      </c>
      <c r="AE85" s="121">
        <f>Mitigation_Industry!AE775-SUMPRODUCT((Mitigation_Industry!AE736:AE736+Mitigation_Industry!AE758:AE758)*Mitigation_Industry!$I$670:$I$670/(Mitigation_Industry!$F$736:$F$736+(Mitigation_Industry!$F$736:$F$736=0))*'Manual inputs'!$E$95:$E$95)</f>
        <v>9.2002284323448424E-2</v>
      </c>
    </row>
    <row r="86" spans="2:31" x14ac:dyDescent="0.35">
      <c r="B86" s="115" t="s">
        <v>110</v>
      </c>
      <c r="C86" s="115" t="s">
        <v>115</v>
      </c>
      <c r="D86" s="115" t="s">
        <v>3211</v>
      </c>
      <c r="E86" s="115" t="s">
        <v>2068</v>
      </c>
      <c r="F86" s="115" t="s">
        <v>3229</v>
      </c>
      <c r="I86" s="115" t="s">
        <v>3230</v>
      </c>
      <c r="L86" s="121">
        <f>Emissions_Industry!L90</f>
        <v>0</v>
      </c>
      <c r="M86" s="121">
        <f>Emissions_Industry!M90</f>
        <v>0</v>
      </c>
      <c r="N86" s="121">
        <f>Emissions_Industry!N90</f>
        <v>0</v>
      </c>
      <c r="O86" s="121">
        <f>Emissions_Industry!O90</f>
        <v>0</v>
      </c>
      <c r="P86" s="121">
        <f>Emissions_Industry!P90</f>
        <v>0</v>
      </c>
      <c r="Q86" s="121">
        <f>Emissions_Industry!Q90</f>
        <v>0</v>
      </c>
      <c r="R86" s="121">
        <f>Emissions_Industry!R90</f>
        <v>0</v>
      </c>
      <c r="S86" s="121">
        <f>Emissions_Industry!S90</f>
        <v>0</v>
      </c>
      <c r="T86" s="121">
        <f>Emissions_Industry!T90</f>
        <v>0</v>
      </c>
      <c r="U86" s="121">
        <f>Emissions_Industry!U90</f>
        <v>0</v>
      </c>
      <c r="V86" s="121">
        <f>Emissions_Industry!V90</f>
        <v>0</v>
      </c>
      <c r="W86" s="121">
        <f>Emissions_Industry!W90</f>
        <v>0</v>
      </c>
      <c r="X86" s="121">
        <f>Emissions_Industry!X90</f>
        <v>0</v>
      </c>
      <c r="Y86" s="121">
        <f>Emissions_Industry!Y90</f>
        <v>0</v>
      </c>
      <c r="Z86" s="121">
        <f>Emissions_Industry!Z90</f>
        <v>0</v>
      </c>
      <c r="AA86" s="121">
        <f>Emissions_Industry!AA90</f>
        <v>0</v>
      </c>
      <c r="AB86" s="121">
        <f>Emissions_Industry!AB90</f>
        <v>0</v>
      </c>
      <c r="AC86" s="121">
        <f>Emissions_Industry!AC90</f>
        <v>0</v>
      </c>
      <c r="AD86" s="121">
        <f>Emissions_Industry!AD90</f>
        <v>0</v>
      </c>
      <c r="AE86" s="121">
        <f>Emissions_Industry!AE90</f>
        <v>0</v>
      </c>
    </row>
    <row r="87" spans="2:31" x14ac:dyDescent="0.35">
      <c r="B87" s="115" t="s">
        <v>3197</v>
      </c>
      <c r="C87" s="115" t="s">
        <v>115</v>
      </c>
      <c r="D87" s="115" t="s">
        <v>3213</v>
      </c>
      <c r="E87" s="115" t="s">
        <v>2068</v>
      </c>
      <c r="H87" s="119" t="str">
        <f>Settings!$B$3&amp;".mit.eco2.gap.nfm.2"</f>
        <v>egy.mit.eco2.gap.nfm.2</v>
      </c>
      <c r="I87" s="115" t="s">
        <v>3199</v>
      </c>
      <c r="L87" s="121">
        <f t="shared" ref="L87:AE87" si="26">L86-L85</f>
        <v>-3.3266099144224071E-2</v>
      </c>
      <c r="M87" s="121">
        <f t="shared" si="26"/>
        <v>-3.5095734597156404E-2</v>
      </c>
      <c r="N87" s="121">
        <f t="shared" si="26"/>
        <v>-3.7026000000000003E-2</v>
      </c>
      <c r="O87" s="121">
        <f t="shared" si="26"/>
        <v>-3.9062430000000002E-2</v>
      </c>
      <c r="P87" s="121">
        <f t="shared" si="26"/>
        <v>-4.1210863649999999E-2</v>
      </c>
      <c r="Q87" s="121">
        <f t="shared" si="26"/>
        <v>-4.3477461150749991E-2</v>
      </c>
      <c r="R87" s="121">
        <f t="shared" si="26"/>
        <v>-4.5868721514041248E-2</v>
      </c>
      <c r="S87" s="121">
        <f t="shared" si="26"/>
        <v>-4.8391501197313509E-2</v>
      </c>
      <c r="T87" s="121">
        <f t="shared" si="26"/>
        <v>-5.105303376316575E-2</v>
      </c>
      <c r="U87" s="121">
        <f t="shared" si="26"/>
        <v>-5.3860950620139861E-2</v>
      </c>
      <c r="V87" s="121">
        <f t="shared" si="26"/>
        <v>-5.6823302904247558E-2</v>
      </c>
      <c r="W87" s="121">
        <f t="shared" si="26"/>
        <v>-5.9948584563981173E-2</v>
      </c>
      <c r="X87" s="121">
        <f t="shared" si="26"/>
        <v>-6.3245756715000129E-2</v>
      </c>
      <c r="Y87" s="121">
        <f t="shared" si="26"/>
        <v>-6.6724273334325138E-2</v>
      </c>
      <c r="Z87" s="121">
        <f t="shared" si="26"/>
        <v>-7.039410836771301E-2</v>
      </c>
      <c r="AA87" s="121">
        <f t="shared" si="26"/>
        <v>-7.426578432793722E-2</v>
      </c>
      <c r="AB87" s="121">
        <f t="shared" si="26"/>
        <v>-7.8350402465973787E-2</v>
      </c>
      <c r="AC87" s="121">
        <f t="shared" si="26"/>
        <v>-8.2659674601602312E-2</v>
      </c>
      <c r="AD87" s="121">
        <f t="shared" si="26"/>
        <v>-8.7205956704690446E-2</v>
      </c>
      <c r="AE87" s="121">
        <f t="shared" si="26"/>
        <v>-9.2002284323448424E-2</v>
      </c>
    </row>
    <row r="88" spans="2:31" x14ac:dyDescent="0.35">
      <c r="B88" s="115" t="s">
        <v>3200</v>
      </c>
      <c r="C88" s="115" t="s">
        <v>115</v>
      </c>
      <c r="D88" s="115" t="s">
        <v>3214</v>
      </c>
      <c r="E88" s="115" t="s">
        <v>87</v>
      </c>
      <c r="H88" s="119" t="str">
        <f>Settings!$B$3&amp;".mit.eco2.rblk.nfm.2"</f>
        <v>egy.mit.eco2.rblk.nfm.2</v>
      </c>
      <c r="I88" s="115" t="s">
        <v>3202</v>
      </c>
      <c r="L88" s="147">
        <f t="shared" ref="L88:AE88" si="27">IF(L86=0,0,L85/L86)</f>
        <v>0</v>
      </c>
      <c r="M88" s="147">
        <f t="shared" si="27"/>
        <v>0</v>
      </c>
      <c r="N88" s="147">
        <f t="shared" si="27"/>
        <v>0</v>
      </c>
      <c r="O88" s="147">
        <f t="shared" si="27"/>
        <v>0</v>
      </c>
      <c r="P88" s="147">
        <f t="shared" si="27"/>
        <v>0</v>
      </c>
      <c r="Q88" s="147">
        <f t="shared" si="27"/>
        <v>0</v>
      </c>
      <c r="R88" s="147">
        <f t="shared" si="27"/>
        <v>0</v>
      </c>
      <c r="S88" s="147">
        <f t="shared" si="27"/>
        <v>0</v>
      </c>
      <c r="T88" s="147">
        <f t="shared" si="27"/>
        <v>0</v>
      </c>
      <c r="U88" s="147">
        <f t="shared" si="27"/>
        <v>0</v>
      </c>
      <c r="V88" s="147">
        <f t="shared" si="27"/>
        <v>0</v>
      </c>
      <c r="W88" s="147">
        <f t="shared" si="27"/>
        <v>0</v>
      </c>
      <c r="X88" s="147">
        <f t="shared" si="27"/>
        <v>0</v>
      </c>
      <c r="Y88" s="147">
        <f t="shared" si="27"/>
        <v>0</v>
      </c>
      <c r="Z88" s="147">
        <f t="shared" si="27"/>
        <v>0</v>
      </c>
      <c r="AA88" s="147">
        <f t="shared" si="27"/>
        <v>0</v>
      </c>
      <c r="AB88" s="147">
        <f t="shared" si="27"/>
        <v>0</v>
      </c>
      <c r="AC88" s="147">
        <f t="shared" si="27"/>
        <v>0</v>
      </c>
      <c r="AD88" s="147">
        <f t="shared" si="27"/>
        <v>0</v>
      </c>
      <c r="AE88" s="147">
        <f t="shared" si="27"/>
        <v>0</v>
      </c>
    </row>
    <row r="90" spans="2:31" x14ac:dyDescent="0.35">
      <c r="B90" s="115" t="s">
        <v>3192</v>
      </c>
      <c r="C90" s="115" t="s">
        <v>117</v>
      </c>
      <c r="D90" s="115" t="s">
        <v>3215</v>
      </c>
      <c r="E90" s="115" t="s">
        <v>2068</v>
      </c>
      <c r="F90" s="115" t="s">
        <v>3231</v>
      </c>
      <c r="H90" s="119" t="str">
        <f>Settings!$B$3&amp;".mit.eco2.blk.mch.2"</f>
        <v>egy.mit.eco2.blk.mch.2</v>
      </c>
      <c r="I90" s="115" t="s">
        <v>2299</v>
      </c>
      <c r="L90" s="121">
        <f>Mitigation_Industry!L773-SUMPRODUCT((Mitigation_Industry!L733:L735+Mitigation_Industry!L755:L757)*Mitigation_Industry!$I$667:$I$669/(Mitigation_Industry!$F$733:$F$735+(Mitigation_Industry!$F$733:$F$735=0))*'Manual inputs'!$E$92:$E$94)</f>
        <v>1.5828284109665627</v>
      </c>
      <c r="M90" s="121">
        <f>Mitigation_Industry!M773-SUMPRODUCT((Mitigation_Industry!M733:M735+Mitigation_Industry!M755:M757)*Mitigation_Industry!$I$667:$I$669/(Mitigation_Industry!$F$733:$F$735+(Mitigation_Industry!$F$733:$F$735=0))*'Manual inputs'!$E$92:$E$94)</f>
        <v>1.6176506360078275</v>
      </c>
      <c r="N90" s="121">
        <f>Mitigation_Industry!N773-SUMPRODUCT((Mitigation_Industry!N733:N735+Mitigation_Industry!N755:N757)*Mitigation_Industry!$I$667:$I$669/(Mitigation_Industry!$F$733:$F$735+(Mitigation_Industry!$F$733:$F$735=0))*'Manual inputs'!$E$92:$E$94)</f>
        <v>1.6532389499999995</v>
      </c>
      <c r="O90" s="121">
        <f>Mitigation_Industry!O773-SUMPRODUCT((Mitigation_Industry!O733:O735+Mitigation_Industry!O755:O757)*Mitigation_Industry!$I$667:$I$669/(Mitigation_Industry!$F$733:$F$735+(Mitigation_Industry!$F$733:$F$735=0))*'Manual inputs'!$E$92:$E$94)</f>
        <v>1.6896102068999994</v>
      </c>
      <c r="P90" s="121">
        <f>Mitigation_Industry!P773-SUMPRODUCT((Mitigation_Industry!P733:P735+Mitigation_Industry!P755:P757)*Mitigation_Industry!$I$667:$I$669/(Mitigation_Industry!$F$733:$F$735+(Mitigation_Industry!$F$733:$F$735=0))*'Manual inputs'!$E$92:$E$94)</f>
        <v>1.7267816314518005</v>
      </c>
      <c r="Q90" s="121">
        <f>Mitigation_Industry!Q773-SUMPRODUCT((Mitigation_Industry!Q733:Q735+Mitigation_Industry!Q755:Q757)*Mitigation_Industry!$I$667:$I$669/(Mitigation_Industry!$F$733:$F$735+(Mitigation_Industry!$F$733:$F$735=0))*'Manual inputs'!$E$92:$E$94)</f>
        <v>1.7647708273437392</v>
      </c>
      <c r="R90" s="121">
        <f>Mitigation_Industry!R773-SUMPRODUCT((Mitigation_Industry!R733:R735+Mitigation_Industry!R755:R757)*Mitigation_Industry!$I$667:$I$669/(Mitigation_Industry!$F$733:$F$735+(Mitigation_Industry!$F$733:$F$735=0))*'Manual inputs'!$E$92:$E$94)</f>
        <v>1.8035957855453022</v>
      </c>
      <c r="S90" s="121">
        <f>Mitigation_Industry!S773-SUMPRODUCT((Mitigation_Industry!S733:S735+Mitigation_Industry!S755:S757)*Mitigation_Industry!$I$667:$I$669/(Mitigation_Industry!$F$733:$F$735+(Mitigation_Industry!$F$733:$F$735=0))*'Manual inputs'!$E$92:$E$94)</f>
        <v>1.843274892827298</v>
      </c>
      <c r="T90" s="121">
        <f>Mitigation_Industry!T773-SUMPRODUCT((Mitigation_Industry!T733:T735+Mitigation_Industry!T755:T757)*Mitigation_Industry!$I$667:$I$669/(Mitigation_Industry!$F$733:$F$735+(Mitigation_Industry!$F$733:$F$735=0))*'Manual inputs'!$E$92:$E$94)</f>
        <v>1.8838269404694987</v>
      </c>
      <c r="U90" s="121">
        <f>Mitigation_Industry!U773-SUMPRODUCT((Mitigation_Industry!U733:U735+Mitigation_Industry!U755:U757)*Mitigation_Industry!$I$667:$I$669/(Mitigation_Industry!$F$733:$F$735+(Mitigation_Industry!$F$733:$F$735=0))*'Manual inputs'!$E$92:$E$94)</f>
        <v>1.9252711331598276</v>
      </c>
      <c r="V90" s="121">
        <f>Mitigation_Industry!V773-SUMPRODUCT((Mitigation_Industry!V733:V735+Mitigation_Industry!V755:V757)*Mitigation_Industry!$I$667:$I$669/(Mitigation_Industry!$F$733:$F$735+(Mitigation_Industry!$F$733:$F$735=0))*'Manual inputs'!$E$92:$E$94)</f>
        <v>1.9676270980893444</v>
      </c>
      <c r="W90" s="121">
        <f>Mitigation_Industry!W773-SUMPRODUCT((Mitigation_Industry!W733:W735+Mitigation_Industry!W755:W757)*Mitigation_Industry!$I$667:$I$669/(Mitigation_Industry!$F$733:$F$735+(Mitigation_Industry!$F$733:$F$735=0))*'Manual inputs'!$E$92:$E$94)</f>
        <v>2.0109148942473092</v>
      </c>
      <c r="X90" s="121">
        <f>Mitigation_Industry!X773-SUMPRODUCT((Mitigation_Industry!X733:X735+Mitigation_Industry!X755:X757)*Mitigation_Industry!$I$667:$I$669/(Mitigation_Industry!$F$733:$F$735+(Mitigation_Industry!$F$733:$F$735=0))*'Manual inputs'!$E$92:$E$94)</f>
        <v>2.0551550219207506</v>
      </c>
      <c r="Y90" s="121">
        <f>Mitigation_Industry!Y773-SUMPRODUCT((Mitigation_Industry!Y733:Y735+Mitigation_Industry!Y755:Y757)*Mitigation_Industry!$I$667:$I$669/(Mitigation_Industry!$F$733:$F$735+(Mitigation_Industry!$F$733:$F$735=0))*'Manual inputs'!$E$92:$E$94)</f>
        <v>2.1003684324030072</v>
      </c>
      <c r="Z90" s="121">
        <f>Mitigation_Industry!Z773-SUMPRODUCT((Mitigation_Industry!Z733:Z735+Mitigation_Industry!Z755:Z757)*Mitigation_Industry!$I$667:$I$669/(Mitigation_Industry!$F$733:$F$735+(Mitigation_Industry!$F$733:$F$735=0))*'Manual inputs'!$E$92:$E$94)</f>
        <v>2.1465765379158737</v>
      </c>
      <c r="AA90" s="121">
        <f>Mitigation_Industry!AA773-SUMPRODUCT((Mitigation_Industry!AA733:AA735+Mitigation_Industry!AA755:AA757)*Mitigation_Industry!$I$667:$I$669/(Mitigation_Industry!$F$733:$F$735+(Mitigation_Industry!$F$733:$F$735=0))*'Manual inputs'!$E$92:$E$94)</f>
        <v>2.1938012217500225</v>
      </c>
      <c r="AB90" s="121">
        <f>Mitigation_Industry!AB773-SUMPRODUCT((Mitigation_Industry!AB733:AB735+Mitigation_Industry!AB755:AB757)*Mitigation_Industry!$I$667:$I$669/(Mitigation_Industry!$F$733:$F$735+(Mitigation_Industry!$F$733:$F$735=0))*'Manual inputs'!$E$92:$E$94)</f>
        <v>2.2420648486285226</v>
      </c>
      <c r="AC90" s="121">
        <f>Mitigation_Industry!AC773-SUMPRODUCT((Mitigation_Industry!AC733:AC735+Mitigation_Industry!AC755:AC757)*Mitigation_Industry!$I$667:$I$669/(Mitigation_Industry!$F$733:$F$735+(Mitigation_Industry!$F$733:$F$735=0))*'Manual inputs'!$E$92:$E$94)</f>
        <v>2.2913902752983502</v>
      </c>
      <c r="AD90" s="121">
        <f>Mitigation_Industry!AD773-SUMPRODUCT((Mitigation_Industry!AD733:AD735+Mitigation_Industry!AD755:AD757)*Mitigation_Industry!$I$667:$I$669/(Mitigation_Industry!$F$733:$F$735+(Mitigation_Industry!$F$733:$F$735=0))*'Manual inputs'!$E$92:$E$94)</f>
        <v>2.3418008613549151</v>
      </c>
      <c r="AE90" s="121">
        <f>Mitigation_Industry!AE773-SUMPRODUCT((Mitigation_Industry!AE733:AE735+Mitigation_Industry!AE755:AE757)*Mitigation_Industry!$I$667:$I$669/(Mitigation_Industry!$F$733:$F$735+(Mitigation_Industry!$F$733:$F$735=0))*'Manual inputs'!$E$92:$E$94)</f>
        <v>2.3933204803047228</v>
      </c>
    </row>
    <row r="91" spans="2:31" x14ac:dyDescent="0.35">
      <c r="B91" s="115" t="s">
        <v>110</v>
      </c>
      <c r="C91" s="115" t="s">
        <v>117</v>
      </c>
      <c r="D91" s="115" t="s">
        <v>3217</v>
      </c>
      <c r="E91" s="115" t="s">
        <v>2068</v>
      </c>
      <c r="F91" s="115" t="s">
        <v>3232</v>
      </c>
      <c r="I91" s="115" t="s">
        <v>3233</v>
      </c>
      <c r="L91" s="121">
        <f>Emissions_Industry!L102</f>
        <v>0</v>
      </c>
      <c r="M91" s="121">
        <f>Emissions_Industry!M102</f>
        <v>0</v>
      </c>
      <c r="N91" s="121">
        <f>Emissions_Industry!N102</f>
        <v>0</v>
      </c>
      <c r="O91" s="121">
        <f>Emissions_Industry!O102</f>
        <v>0</v>
      </c>
      <c r="P91" s="121">
        <f>Emissions_Industry!P102</f>
        <v>0</v>
      </c>
      <c r="Q91" s="121">
        <f>Emissions_Industry!Q102</f>
        <v>0</v>
      </c>
      <c r="R91" s="121">
        <f>Emissions_Industry!R102</f>
        <v>0</v>
      </c>
      <c r="S91" s="121">
        <f>Emissions_Industry!S102</f>
        <v>0</v>
      </c>
      <c r="T91" s="121">
        <f>Emissions_Industry!T102</f>
        <v>0</v>
      </c>
      <c r="U91" s="121">
        <f>Emissions_Industry!U102</f>
        <v>0</v>
      </c>
      <c r="V91" s="121">
        <f>Emissions_Industry!V102</f>
        <v>0</v>
      </c>
      <c r="W91" s="121">
        <f>Emissions_Industry!W102</f>
        <v>0</v>
      </c>
      <c r="X91" s="121">
        <f>Emissions_Industry!X102</f>
        <v>0</v>
      </c>
      <c r="Y91" s="121">
        <f>Emissions_Industry!Y102</f>
        <v>0</v>
      </c>
      <c r="Z91" s="121">
        <f>Emissions_Industry!Z102</f>
        <v>0</v>
      </c>
      <c r="AA91" s="121">
        <f>Emissions_Industry!AA102</f>
        <v>0</v>
      </c>
      <c r="AB91" s="121">
        <f>Emissions_Industry!AB102</f>
        <v>0</v>
      </c>
      <c r="AC91" s="121">
        <f>Emissions_Industry!AC102</f>
        <v>0</v>
      </c>
      <c r="AD91" s="121">
        <f>Emissions_Industry!AD102</f>
        <v>0</v>
      </c>
      <c r="AE91" s="121">
        <f>Emissions_Industry!AE102</f>
        <v>0</v>
      </c>
    </row>
    <row r="92" spans="2:31" x14ac:dyDescent="0.35">
      <c r="B92" s="115" t="s">
        <v>3197</v>
      </c>
      <c r="C92" s="115" t="s">
        <v>117</v>
      </c>
      <c r="D92" s="115" t="s">
        <v>3219</v>
      </c>
      <c r="E92" s="115" t="s">
        <v>2068</v>
      </c>
      <c r="H92" s="119" t="str">
        <f>Settings!$B$3&amp;".mit.eco2.gap.mch.2"</f>
        <v>egy.mit.eco2.gap.mch.2</v>
      </c>
      <c r="I92" s="115" t="s">
        <v>3199</v>
      </c>
      <c r="L92" s="121">
        <f t="shared" ref="L92:AE92" si="28">L91-L90</f>
        <v>-1.5828284109665627</v>
      </c>
      <c r="M92" s="121">
        <f t="shared" si="28"/>
        <v>-1.6176506360078275</v>
      </c>
      <c r="N92" s="121">
        <f t="shared" si="28"/>
        <v>-1.6532389499999995</v>
      </c>
      <c r="O92" s="121">
        <f t="shared" si="28"/>
        <v>-1.6896102068999994</v>
      </c>
      <c r="P92" s="121">
        <f t="shared" si="28"/>
        <v>-1.7267816314518005</v>
      </c>
      <c r="Q92" s="121">
        <f t="shared" si="28"/>
        <v>-1.7647708273437392</v>
      </c>
      <c r="R92" s="121">
        <f t="shared" si="28"/>
        <v>-1.8035957855453022</v>
      </c>
      <c r="S92" s="121">
        <f t="shared" si="28"/>
        <v>-1.843274892827298</v>
      </c>
      <c r="T92" s="121">
        <f t="shared" si="28"/>
        <v>-1.8838269404694987</v>
      </c>
      <c r="U92" s="121">
        <f t="shared" si="28"/>
        <v>-1.9252711331598276</v>
      </c>
      <c r="V92" s="121">
        <f t="shared" si="28"/>
        <v>-1.9676270980893444</v>
      </c>
      <c r="W92" s="121">
        <f t="shared" si="28"/>
        <v>-2.0109148942473092</v>
      </c>
      <c r="X92" s="121">
        <f t="shared" si="28"/>
        <v>-2.0551550219207506</v>
      </c>
      <c r="Y92" s="121">
        <f t="shared" si="28"/>
        <v>-2.1003684324030072</v>
      </c>
      <c r="Z92" s="121">
        <f t="shared" si="28"/>
        <v>-2.1465765379158737</v>
      </c>
      <c r="AA92" s="121">
        <f t="shared" si="28"/>
        <v>-2.1938012217500225</v>
      </c>
      <c r="AB92" s="121">
        <f t="shared" si="28"/>
        <v>-2.2420648486285226</v>
      </c>
      <c r="AC92" s="121">
        <f t="shared" si="28"/>
        <v>-2.2913902752983502</v>
      </c>
      <c r="AD92" s="121">
        <f t="shared" si="28"/>
        <v>-2.3418008613549151</v>
      </c>
      <c r="AE92" s="121">
        <f t="shared" si="28"/>
        <v>-2.3933204803047228</v>
      </c>
    </row>
    <row r="93" spans="2:31" x14ac:dyDescent="0.35">
      <c r="B93" s="115" t="s">
        <v>3200</v>
      </c>
      <c r="C93" s="115" t="s">
        <v>117</v>
      </c>
      <c r="D93" s="115" t="s">
        <v>3220</v>
      </c>
      <c r="E93" s="115" t="s">
        <v>87</v>
      </c>
      <c r="H93" s="119" t="str">
        <f>Settings!$B$3&amp;".mit.eco2.rblk.mch.2"</f>
        <v>egy.mit.eco2.rblk.mch.2</v>
      </c>
      <c r="I93" s="115" t="s">
        <v>3202</v>
      </c>
      <c r="L93" s="147">
        <f t="shared" ref="L93:AE93" si="29">IF(L91=0,0,L90/L91)</f>
        <v>0</v>
      </c>
      <c r="M93" s="147">
        <f t="shared" si="29"/>
        <v>0</v>
      </c>
      <c r="N93" s="147">
        <f t="shared" si="29"/>
        <v>0</v>
      </c>
      <c r="O93" s="147">
        <f t="shared" si="29"/>
        <v>0</v>
      </c>
      <c r="P93" s="147">
        <f t="shared" si="29"/>
        <v>0</v>
      </c>
      <c r="Q93" s="147">
        <f t="shared" si="29"/>
        <v>0</v>
      </c>
      <c r="R93" s="147">
        <f t="shared" si="29"/>
        <v>0</v>
      </c>
      <c r="S93" s="147">
        <f t="shared" si="29"/>
        <v>0</v>
      </c>
      <c r="T93" s="147">
        <f t="shared" si="29"/>
        <v>0</v>
      </c>
      <c r="U93" s="147">
        <f t="shared" si="29"/>
        <v>0</v>
      </c>
      <c r="V93" s="147">
        <f t="shared" si="29"/>
        <v>0</v>
      </c>
      <c r="W93" s="147">
        <f t="shared" si="29"/>
        <v>0</v>
      </c>
      <c r="X93" s="147">
        <f t="shared" si="29"/>
        <v>0</v>
      </c>
      <c r="Y93" s="147">
        <f t="shared" si="29"/>
        <v>0</v>
      </c>
      <c r="Z93" s="147">
        <f t="shared" si="29"/>
        <v>0</v>
      </c>
      <c r="AA93" s="147">
        <f t="shared" si="29"/>
        <v>0</v>
      </c>
      <c r="AB93" s="147">
        <f t="shared" si="29"/>
        <v>0</v>
      </c>
      <c r="AC93" s="147">
        <f t="shared" si="29"/>
        <v>0</v>
      </c>
      <c r="AD93" s="147">
        <f t="shared" si="29"/>
        <v>0</v>
      </c>
      <c r="AE93" s="147">
        <f t="shared" si="29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7B66-841B-4FAA-876A-7592F057C883}">
  <dimension ref="A1:AI135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33.7304687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31.2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3255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3256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3257</v>
      </c>
      <c r="C5" s="7" t="s">
        <v>3258</v>
      </c>
      <c r="D5" s="6" t="s">
        <v>34</v>
      </c>
      <c r="E5" s="7" t="s">
        <v>35</v>
      </c>
      <c r="F5" s="7" t="s">
        <v>36</v>
      </c>
      <c r="G5" s="7"/>
      <c r="H5" s="12" t="s">
        <v>877</v>
      </c>
      <c r="I5" s="6" t="s">
        <v>39</v>
      </c>
      <c r="J5" s="48"/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35">
      <c r="B6" s="115" t="s">
        <v>3259</v>
      </c>
      <c r="C6" s="115" t="s">
        <v>3260</v>
      </c>
      <c r="D6" s="115" t="s">
        <v>3261</v>
      </c>
      <c r="E6" s="115" t="s">
        <v>3262</v>
      </c>
      <c r="F6" s="115" t="s">
        <v>3263</v>
      </c>
      <c r="H6" s="119" t="s">
        <v>3264</v>
      </c>
      <c r="L6" s="149">
        <v>0</v>
      </c>
      <c r="M6" s="149">
        <v>-1</v>
      </c>
      <c r="N6" s="149">
        <v>-1</v>
      </c>
      <c r="O6" s="149">
        <v>-1</v>
      </c>
      <c r="P6" s="149">
        <v>0</v>
      </c>
      <c r="Q6" s="149">
        <v>-6</v>
      </c>
      <c r="R6" s="149">
        <v>490</v>
      </c>
      <c r="S6" s="149">
        <v>520</v>
      </c>
      <c r="T6" s="149">
        <v>525</v>
      </c>
      <c r="U6" s="149">
        <v>486</v>
      </c>
      <c r="V6" s="149">
        <v>510</v>
      </c>
      <c r="W6" s="149">
        <v>599</v>
      </c>
      <c r="X6" s="149">
        <v>496</v>
      </c>
      <c r="Y6" s="149">
        <v>546</v>
      </c>
      <c r="Z6" s="149">
        <v>415</v>
      </c>
      <c r="AA6" s="149">
        <v>424</v>
      </c>
      <c r="AB6" s="149">
        <v>395</v>
      </c>
      <c r="AC6" s="149">
        <v>367</v>
      </c>
      <c r="AD6" s="149">
        <v>311</v>
      </c>
      <c r="AE6" s="149">
        <v>0</v>
      </c>
    </row>
    <row r="7" spans="1:35" x14ac:dyDescent="0.35">
      <c r="B7" s="115" t="s">
        <v>3265</v>
      </c>
      <c r="C7" s="115" t="s">
        <v>3266</v>
      </c>
      <c r="D7" s="115" t="s">
        <v>3261</v>
      </c>
      <c r="E7" s="115" t="s">
        <v>3262</v>
      </c>
      <c r="F7" s="115" t="s">
        <v>3267</v>
      </c>
      <c r="H7" s="119" t="s">
        <v>3264</v>
      </c>
      <c r="L7" s="149">
        <v>0</v>
      </c>
      <c r="M7" s="149">
        <v>-1</v>
      </c>
      <c r="N7" s="149">
        <v>-1</v>
      </c>
      <c r="O7" s="149">
        <v>-1</v>
      </c>
      <c r="P7" s="149">
        <v>0</v>
      </c>
      <c r="Q7" s="149">
        <v>-6</v>
      </c>
      <c r="R7" s="149">
        <v>490</v>
      </c>
      <c r="S7" s="149">
        <v>531</v>
      </c>
      <c r="T7" s="149">
        <v>547</v>
      </c>
      <c r="U7" s="149">
        <v>579</v>
      </c>
      <c r="V7" s="149">
        <v>616</v>
      </c>
      <c r="W7" s="149">
        <v>714</v>
      </c>
      <c r="X7" s="149">
        <v>589</v>
      </c>
      <c r="Y7" s="149">
        <v>654</v>
      </c>
      <c r="Z7" s="149">
        <v>541</v>
      </c>
      <c r="AA7" s="149">
        <v>519</v>
      </c>
      <c r="AB7" s="149">
        <v>509</v>
      </c>
      <c r="AC7" s="149">
        <v>465</v>
      </c>
      <c r="AD7" s="149">
        <v>411</v>
      </c>
      <c r="AE7" s="149">
        <v>0</v>
      </c>
    </row>
    <row r="8" spans="1:35" x14ac:dyDescent="0.35">
      <c r="B8" s="115" t="s">
        <v>3268</v>
      </c>
      <c r="C8" s="115" t="s">
        <v>3269</v>
      </c>
      <c r="D8" s="115" t="s">
        <v>3261</v>
      </c>
      <c r="E8" s="115" t="s">
        <v>3262</v>
      </c>
      <c r="F8" s="115" t="s">
        <v>3270</v>
      </c>
      <c r="H8" s="119" t="s">
        <v>3264</v>
      </c>
      <c r="L8" s="149">
        <v>0</v>
      </c>
      <c r="M8" s="149">
        <v>1</v>
      </c>
      <c r="N8" s="149">
        <v>1</v>
      </c>
      <c r="O8" s="149">
        <v>1</v>
      </c>
      <c r="P8" s="149">
        <v>1</v>
      </c>
      <c r="Q8" s="149">
        <v>4</v>
      </c>
      <c r="R8" s="149">
        <v>43</v>
      </c>
      <c r="S8" s="149">
        <v>108</v>
      </c>
      <c r="T8" s="149">
        <v>182</v>
      </c>
      <c r="U8" s="149">
        <v>373</v>
      </c>
      <c r="V8" s="149">
        <v>560</v>
      </c>
      <c r="W8" s="149">
        <v>806</v>
      </c>
      <c r="X8" s="149">
        <v>755</v>
      </c>
      <c r="Y8" s="149">
        <v>921</v>
      </c>
      <c r="Z8" s="149">
        <v>911</v>
      </c>
      <c r="AA8" s="149">
        <v>845</v>
      </c>
      <c r="AB8" s="149">
        <v>913</v>
      </c>
      <c r="AC8" s="149">
        <v>844</v>
      </c>
      <c r="AD8" s="149">
        <v>858</v>
      </c>
      <c r="AE8" s="149">
        <v>0</v>
      </c>
    </row>
    <row r="9" spans="1:35" x14ac:dyDescent="0.35">
      <c r="B9" s="115" t="s">
        <v>3271</v>
      </c>
      <c r="C9" s="115" t="s">
        <v>3272</v>
      </c>
      <c r="D9" s="115" t="s">
        <v>3261</v>
      </c>
      <c r="E9" s="115" t="s">
        <v>3262</v>
      </c>
      <c r="F9" s="115" t="s">
        <v>3273</v>
      </c>
      <c r="H9" s="119" t="s">
        <v>3264</v>
      </c>
      <c r="L9" s="149">
        <v>0</v>
      </c>
      <c r="M9" s="149">
        <v>0</v>
      </c>
      <c r="N9" s="149">
        <v>0</v>
      </c>
      <c r="O9" s="149">
        <v>0</v>
      </c>
      <c r="P9" s="149">
        <v>0</v>
      </c>
      <c r="Q9" s="149">
        <v>0</v>
      </c>
      <c r="R9" s="149">
        <v>0</v>
      </c>
      <c r="S9" s="149">
        <v>37</v>
      </c>
      <c r="T9" s="149">
        <v>71</v>
      </c>
      <c r="U9" s="149">
        <v>113</v>
      </c>
      <c r="V9" s="149">
        <v>766</v>
      </c>
      <c r="W9" s="149">
        <v>812</v>
      </c>
      <c r="X9" s="149">
        <v>695</v>
      </c>
      <c r="Y9" s="149">
        <v>817</v>
      </c>
      <c r="Z9" s="149">
        <v>781</v>
      </c>
      <c r="AA9" s="149">
        <v>736</v>
      </c>
      <c r="AB9" s="149">
        <v>799</v>
      </c>
      <c r="AC9" s="149">
        <v>748</v>
      </c>
      <c r="AD9" s="149">
        <v>763</v>
      </c>
      <c r="AE9" s="149">
        <v>0</v>
      </c>
    </row>
    <row r="10" spans="1:35" x14ac:dyDescent="0.35">
      <c r="B10" s="115" t="s">
        <v>3274</v>
      </c>
      <c r="C10" s="115" t="s">
        <v>3260</v>
      </c>
      <c r="D10" s="115" t="s">
        <v>3275</v>
      </c>
      <c r="E10" s="115" t="s">
        <v>3262</v>
      </c>
      <c r="F10" s="115" t="s">
        <v>3263</v>
      </c>
      <c r="H10" s="119" t="s">
        <v>3276</v>
      </c>
      <c r="L10" s="149">
        <v>0</v>
      </c>
      <c r="M10" s="149">
        <v>-1</v>
      </c>
      <c r="N10" s="149">
        <v>-1</v>
      </c>
      <c r="O10" s="149">
        <v>-1</v>
      </c>
      <c r="P10" s="149">
        <v>-1</v>
      </c>
      <c r="Q10" s="149">
        <v>-10</v>
      </c>
      <c r="R10" s="149">
        <v>894</v>
      </c>
      <c r="S10" s="149">
        <v>951</v>
      </c>
      <c r="T10" s="149">
        <v>960</v>
      </c>
      <c r="U10" s="149">
        <v>893</v>
      </c>
      <c r="V10" s="149">
        <v>937</v>
      </c>
      <c r="W10" s="149">
        <v>1109</v>
      </c>
      <c r="X10" s="149">
        <v>956</v>
      </c>
      <c r="Y10" s="149">
        <v>1053</v>
      </c>
      <c r="Z10" s="149">
        <v>838</v>
      </c>
      <c r="AA10" s="149">
        <v>863</v>
      </c>
      <c r="AB10" s="149">
        <v>821</v>
      </c>
      <c r="AC10" s="149">
        <v>777</v>
      </c>
      <c r="AD10" s="149">
        <v>670</v>
      </c>
      <c r="AE10" s="149">
        <v>0</v>
      </c>
    </row>
    <row r="11" spans="1:35" x14ac:dyDescent="0.35">
      <c r="B11" s="115" t="s">
        <v>3277</v>
      </c>
      <c r="C11" s="115" t="s">
        <v>3266</v>
      </c>
      <c r="D11" s="115" t="s">
        <v>3275</v>
      </c>
      <c r="E11" s="115" t="s">
        <v>3262</v>
      </c>
      <c r="F11" s="115" t="s">
        <v>3267</v>
      </c>
      <c r="H11" s="119" t="s">
        <v>3276</v>
      </c>
      <c r="L11" s="149">
        <v>0</v>
      </c>
      <c r="M11" s="149">
        <v>-1</v>
      </c>
      <c r="N11" s="149">
        <v>-1</v>
      </c>
      <c r="O11" s="149">
        <v>-1</v>
      </c>
      <c r="P11" s="149">
        <v>-1</v>
      </c>
      <c r="Q11" s="149">
        <v>-10</v>
      </c>
      <c r="R11" s="149">
        <v>894</v>
      </c>
      <c r="S11" s="149">
        <v>972</v>
      </c>
      <c r="T11" s="149">
        <v>1002</v>
      </c>
      <c r="U11" s="149">
        <v>1061</v>
      </c>
      <c r="V11" s="149">
        <v>1129</v>
      </c>
      <c r="W11" s="149">
        <v>1318</v>
      </c>
      <c r="X11" s="149">
        <v>1132</v>
      </c>
      <c r="Y11" s="149">
        <v>1258</v>
      </c>
      <c r="Z11" s="149">
        <v>1077</v>
      </c>
      <c r="AA11" s="149">
        <v>1054</v>
      </c>
      <c r="AB11" s="149">
        <v>1047</v>
      </c>
      <c r="AC11" s="149">
        <v>980</v>
      </c>
      <c r="AD11" s="149">
        <v>878</v>
      </c>
      <c r="AE11" s="149">
        <v>0</v>
      </c>
    </row>
    <row r="12" spans="1:35" x14ac:dyDescent="0.35">
      <c r="B12" s="115" t="s">
        <v>3278</v>
      </c>
      <c r="C12" s="115" t="s">
        <v>3269</v>
      </c>
      <c r="D12" s="115" t="s">
        <v>3275</v>
      </c>
      <c r="E12" s="115" t="s">
        <v>3262</v>
      </c>
      <c r="F12" s="115" t="s">
        <v>3270</v>
      </c>
      <c r="H12" s="119" t="s">
        <v>3276</v>
      </c>
      <c r="L12" s="149">
        <v>0</v>
      </c>
      <c r="M12" s="149">
        <v>1</v>
      </c>
      <c r="N12" s="149">
        <v>2</v>
      </c>
      <c r="O12" s="149">
        <v>2</v>
      </c>
      <c r="P12" s="149">
        <v>1</v>
      </c>
      <c r="Q12" s="149">
        <v>8</v>
      </c>
      <c r="R12" s="149">
        <v>80</v>
      </c>
      <c r="S12" s="149">
        <v>201</v>
      </c>
      <c r="T12" s="149">
        <v>338</v>
      </c>
      <c r="U12" s="149">
        <v>689</v>
      </c>
      <c r="V12" s="149">
        <v>1031</v>
      </c>
      <c r="W12" s="149">
        <v>1493</v>
      </c>
      <c r="X12" s="149">
        <v>1458</v>
      </c>
      <c r="Y12" s="149">
        <v>1780</v>
      </c>
      <c r="Z12" s="149">
        <v>1801</v>
      </c>
      <c r="AA12" s="149">
        <v>1729</v>
      </c>
      <c r="AB12" s="149">
        <v>1884</v>
      </c>
      <c r="AC12" s="149">
        <v>1796</v>
      </c>
      <c r="AD12" s="149">
        <v>1844</v>
      </c>
      <c r="AE12" s="149">
        <v>0</v>
      </c>
    </row>
    <row r="13" spans="1:35" x14ac:dyDescent="0.35">
      <c r="B13" s="115" t="s">
        <v>3279</v>
      </c>
      <c r="C13" s="115" t="s">
        <v>3272</v>
      </c>
      <c r="D13" s="115" t="s">
        <v>3275</v>
      </c>
      <c r="E13" s="115" t="s">
        <v>3262</v>
      </c>
      <c r="F13" s="115" t="s">
        <v>3273</v>
      </c>
      <c r="H13" s="119" t="s">
        <v>3276</v>
      </c>
      <c r="L13" s="149">
        <v>0</v>
      </c>
      <c r="M13" s="149">
        <v>0</v>
      </c>
      <c r="N13" s="149">
        <v>0</v>
      </c>
      <c r="O13" s="149">
        <v>0</v>
      </c>
      <c r="P13" s="149">
        <v>0</v>
      </c>
      <c r="Q13" s="149">
        <v>0</v>
      </c>
      <c r="R13" s="149">
        <v>0</v>
      </c>
      <c r="S13" s="149">
        <v>69</v>
      </c>
      <c r="T13" s="149">
        <v>132</v>
      </c>
      <c r="U13" s="149">
        <v>208</v>
      </c>
      <c r="V13" s="149">
        <v>1393</v>
      </c>
      <c r="W13" s="149">
        <v>1485</v>
      </c>
      <c r="X13" s="149">
        <v>1327</v>
      </c>
      <c r="Y13" s="149">
        <v>1564</v>
      </c>
      <c r="Z13" s="149">
        <v>1533</v>
      </c>
      <c r="AA13" s="149">
        <v>1491</v>
      </c>
      <c r="AB13" s="149">
        <v>1636</v>
      </c>
      <c r="AC13" s="149">
        <v>1581</v>
      </c>
      <c r="AD13" s="149">
        <v>1630</v>
      </c>
      <c r="AE13" s="149">
        <v>0</v>
      </c>
    </row>
    <row r="14" spans="1:35" x14ac:dyDescent="0.35">
      <c r="B14" s="115" t="s">
        <v>3280</v>
      </c>
      <c r="C14" s="115" t="s">
        <v>3260</v>
      </c>
      <c r="D14" s="115" t="s">
        <v>3281</v>
      </c>
      <c r="E14" s="115" t="s">
        <v>3262</v>
      </c>
      <c r="F14" s="115" t="s">
        <v>3263</v>
      </c>
      <c r="H14" s="119" t="s">
        <v>3282</v>
      </c>
      <c r="L14" s="149">
        <v>0</v>
      </c>
      <c r="M14" s="149">
        <v>0</v>
      </c>
      <c r="N14" s="149">
        <v>0</v>
      </c>
      <c r="O14" s="149">
        <v>0</v>
      </c>
      <c r="P14" s="149">
        <v>0</v>
      </c>
      <c r="Q14" s="149">
        <v>-1</v>
      </c>
      <c r="R14" s="149">
        <v>74</v>
      </c>
      <c r="S14" s="149">
        <v>78</v>
      </c>
      <c r="T14" s="149">
        <v>79</v>
      </c>
      <c r="U14" s="149">
        <v>72</v>
      </c>
      <c r="V14" s="149">
        <v>76</v>
      </c>
      <c r="W14" s="149">
        <v>88</v>
      </c>
      <c r="X14" s="149">
        <v>70</v>
      </c>
      <c r="Y14" s="149">
        <v>77</v>
      </c>
      <c r="Z14" s="149">
        <v>56</v>
      </c>
      <c r="AA14" s="149">
        <v>56</v>
      </c>
      <c r="AB14" s="149">
        <v>52</v>
      </c>
      <c r="AC14" s="149">
        <v>48</v>
      </c>
      <c r="AD14" s="149">
        <v>49</v>
      </c>
      <c r="AE14" s="149">
        <v>0</v>
      </c>
    </row>
    <row r="15" spans="1:35" x14ac:dyDescent="0.35">
      <c r="B15" s="115" t="s">
        <v>3283</v>
      </c>
      <c r="C15" s="115" t="s">
        <v>3266</v>
      </c>
      <c r="D15" s="115" t="s">
        <v>3281</v>
      </c>
      <c r="E15" s="115" t="s">
        <v>3262</v>
      </c>
      <c r="F15" s="115" t="s">
        <v>3267</v>
      </c>
      <c r="H15" s="119" t="s">
        <v>3282</v>
      </c>
      <c r="L15" s="149">
        <v>0</v>
      </c>
      <c r="M15" s="149">
        <v>0</v>
      </c>
      <c r="N15" s="149">
        <v>0</v>
      </c>
      <c r="O15" s="149">
        <v>0</v>
      </c>
      <c r="P15" s="149">
        <v>0</v>
      </c>
      <c r="Q15" s="149">
        <v>-1</v>
      </c>
      <c r="R15" s="149">
        <v>74</v>
      </c>
      <c r="S15" s="149">
        <v>80</v>
      </c>
      <c r="T15" s="149">
        <v>82</v>
      </c>
      <c r="U15" s="149">
        <v>87</v>
      </c>
      <c r="V15" s="149">
        <v>92</v>
      </c>
      <c r="W15" s="149">
        <v>106</v>
      </c>
      <c r="X15" s="149">
        <v>84</v>
      </c>
      <c r="Y15" s="149">
        <v>93</v>
      </c>
      <c r="Z15" s="149">
        <v>75</v>
      </c>
      <c r="AA15" s="149">
        <v>70</v>
      </c>
      <c r="AB15" s="149">
        <v>69</v>
      </c>
      <c r="AC15" s="149">
        <v>63</v>
      </c>
      <c r="AD15" s="149">
        <v>66</v>
      </c>
      <c r="AE15" s="149">
        <v>0</v>
      </c>
    </row>
    <row r="16" spans="1:35" x14ac:dyDescent="0.35">
      <c r="B16" s="115" t="s">
        <v>3284</v>
      </c>
      <c r="C16" s="115" t="s">
        <v>3269</v>
      </c>
      <c r="D16" s="115" t="s">
        <v>3281</v>
      </c>
      <c r="E16" s="115" t="s">
        <v>3262</v>
      </c>
      <c r="F16" s="115" t="s">
        <v>3270</v>
      </c>
      <c r="H16" s="119" t="s">
        <v>3282</v>
      </c>
      <c r="L16" s="149">
        <v>0</v>
      </c>
      <c r="M16" s="149">
        <v>0</v>
      </c>
      <c r="N16" s="149">
        <v>0</v>
      </c>
      <c r="O16" s="149">
        <v>0</v>
      </c>
      <c r="P16" s="149">
        <v>0</v>
      </c>
      <c r="Q16" s="149">
        <v>1</v>
      </c>
      <c r="R16" s="149">
        <v>6</v>
      </c>
      <c r="S16" s="149">
        <v>16</v>
      </c>
      <c r="T16" s="149">
        <v>26</v>
      </c>
      <c r="U16" s="149">
        <v>55</v>
      </c>
      <c r="V16" s="149">
        <v>83</v>
      </c>
      <c r="W16" s="149">
        <v>118</v>
      </c>
      <c r="X16" s="149">
        <v>106</v>
      </c>
      <c r="Y16" s="149">
        <v>129</v>
      </c>
      <c r="Z16" s="149">
        <v>124</v>
      </c>
      <c r="AA16" s="149">
        <v>111</v>
      </c>
      <c r="AB16" s="149">
        <v>118</v>
      </c>
      <c r="AC16" s="149">
        <v>108</v>
      </c>
      <c r="AD16" s="149">
        <v>118</v>
      </c>
      <c r="AE16" s="149">
        <v>0</v>
      </c>
    </row>
    <row r="17" spans="2:31" x14ac:dyDescent="0.35">
      <c r="B17" s="115" t="s">
        <v>3285</v>
      </c>
      <c r="C17" s="115" t="s">
        <v>3272</v>
      </c>
      <c r="D17" s="115" t="s">
        <v>3281</v>
      </c>
      <c r="E17" s="115" t="s">
        <v>3262</v>
      </c>
      <c r="F17" s="115" t="s">
        <v>3273</v>
      </c>
      <c r="H17" s="119" t="s">
        <v>3282</v>
      </c>
      <c r="L17" s="149">
        <v>0</v>
      </c>
      <c r="M17" s="149">
        <v>0</v>
      </c>
      <c r="N17" s="149">
        <v>0</v>
      </c>
      <c r="O17" s="149">
        <v>0</v>
      </c>
      <c r="P17" s="149">
        <v>0</v>
      </c>
      <c r="Q17" s="149">
        <v>0</v>
      </c>
      <c r="R17" s="149">
        <v>0</v>
      </c>
      <c r="S17" s="149">
        <v>5</v>
      </c>
      <c r="T17" s="149">
        <v>10</v>
      </c>
      <c r="U17" s="149">
        <v>16</v>
      </c>
      <c r="V17" s="149">
        <v>117</v>
      </c>
      <c r="W17" s="149">
        <v>123</v>
      </c>
      <c r="X17" s="149">
        <v>102</v>
      </c>
      <c r="Y17" s="149">
        <v>119</v>
      </c>
      <c r="Z17" s="149">
        <v>111</v>
      </c>
      <c r="AA17" s="149">
        <v>101</v>
      </c>
      <c r="AB17" s="149">
        <v>108</v>
      </c>
      <c r="AC17" s="149">
        <v>100</v>
      </c>
      <c r="AD17" s="149">
        <v>110</v>
      </c>
      <c r="AE17" s="149">
        <v>0</v>
      </c>
    </row>
    <row r="18" spans="2:31" x14ac:dyDescent="0.35">
      <c r="B18" s="115" t="s">
        <v>3286</v>
      </c>
      <c r="C18" s="115" t="s">
        <v>3260</v>
      </c>
      <c r="D18" s="115" t="s">
        <v>3287</v>
      </c>
      <c r="E18" s="115" t="s">
        <v>3288</v>
      </c>
      <c r="F18" s="115" t="s">
        <v>3263</v>
      </c>
      <c r="H18" s="119" t="s">
        <v>3289</v>
      </c>
      <c r="L18" s="149">
        <v>0</v>
      </c>
      <c r="M18" s="149">
        <v>-2</v>
      </c>
      <c r="N18" s="149">
        <v>-4</v>
      </c>
      <c r="O18" s="149">
        <v>-5</v>
      </c>
      <c r="P18" s="149">
        <v>-6</v>
      </c>
      <c r="Q18" s="149">
        <v>-23</v>
      </c>
      <c r="R18" s="149">
        <v>1435</v>
      </c>
      <c r="S18" s="149">
        <v>2985</v>
      </c>
      <c r="T18" s="149">
        <v>4549</v>
      </c>
      <c r="U18" s="149">
        <v>6001</v>
      </c>
      <c r="V18" s="149">
        <v>7524</v>
      </c>
      <c r="W18" s="149">
        <v>9319</v>
      </c>
      <c r="X18" s="149">
        <v>10842</v>
      </c>
      <c r="Y18" s="149">
        <v>12518</v>
      </c>
      <c r="Z18" s="149">
        <v>13827</v>
      </c>
      <c r="AA18" s="149">
        <v>15170</v>
      </c>
      <c r="AB18" s="149">
        <v>16438</v>
      </c>
      <c r="AC18" s="149">
        <v>17630</v>
      </c>
      <c r="AD18" s="149">
        <v>18660</v>
      </c>
      <c r="AE18" s="149">
        <v>0</v>
      </c>
    </row>
    <row r="19" spans="2:31" x14ac:dyDescent="0.35">
      <c r="B19" s="115" t="s">
        <v>3290</v>
      </c>
      <c r="C19" s="115" t="s">
        <v>3266</v>
      </c>
      <c r="D19" s="115" t="s">
        <v>3287</v>
      </c>
      <c r="E19" s="115" t="s">
        <v>3288</v>
      </c>
      <c r="F19" s="115" t="s">
        <v>3267</v>
      </c>
      <c r="H19" s="119" t="s">
        <v>3289</v>
      </c>
      <c r="L19" s="149">
        <v>0</v>
      </c>
      <c r="M19" s="149">
        <v>-2</v>
      </c>
      <c r="N19" s="149">
        <v>-4</v>
      </c>
      <c r="O19" s="149">
        <v>-5</v>
      </c>
      <c r="P19" s="149">
        <v>-6</v>
      </c>
      <c r="Q19" s="149">
        <v>-23</v>
      </c>
      <c r="R19" s="149">
        <v>1435</v>
      </c>
      <c r="S19" s="149">
        <v>3018</v>
      </c>
      <c r="T19" s="149">
        <v>4650</v>
      </c>
      <c r="U19" s="149">
        <v>6375</v>
      </c>
      <c r="V19" s="149">
        <v>8212</v>
      </c>
      <c r="W19" s="149">
        <v>10350</v>
      </c>
      <c r="X19" s="149">
        <v>12156</v>
      </c>
      <c r="Y19" s="149">
        <v>14162</v>
      </c>
      <c r="Z19" s="149">
        <v>15856</v>
      </c>
      <c r="AA19" s="149">
        <v>17499</v>
      </c>
      <c r="AB19" s="149">
        <v>19123</v>
      </c>
      <c r="AC19" s="149">
        <v>20631</v>
      </c>
      <c r="AD19" s="149">
        <v>21986</v>
      </c>
      <c r="AE19" s="149">
        <v>0</v>
      </c>
    </row>
    <row r="20" spans="2:31" x14ac:dyDescent="0.35">
      <c r="B20" s="115" t="s">
        <v>3291</v>
      </c>
      <c r="C20" s="115" t="s">
        <v>3269</v>
      </c>
      <c r="D20" s="115" t="s">
        <v>3287</v>
      </c>
      <c r="E20" s="115" t="s">
        <v>3288</v>
      </c>
      <c r="F20" s="115" t="s">
        <v>3270</v>
      </c>
      <c r="H20" s="119" t="s">
        <v>3289</v>
      </c>
      <c r="L20" s="149">
        <v>0</v>
      </c>
      <c r="M20" s="149">
        <v>2</v>
      </c>
      <c r="N20" s="149">
        <v>5</v>
      </c>
      <c r="O20" s="149">
        <v>7</v>
      </c>
      <c r="P20" s="149">
        <v>9</v>
      </c>
      <c r="Q20" s="149">
        <v>22</v>
      </c>
      <c r="R20" s="149">
        <v>152</v>
      </c>
      <c r="S20" s="149">
        <v>477</v>
      </c>
      <c r="T20" s="149">
        <v>1023</v>
      </c>
      <c r="U20" s="149">
        <v>2140</v>
      </c>
      <c r="V20" s="149">
        <v>3814</v>
      </c>
      <c r="W20" s="149">
        <v>6231</v>
      </c>
      <c r="X20" s="149">
        <v>8551</v>
      </c>
      <c r="Y20" s="149">
        <v>11381</v>
      </c>
      <c r="Z20" s="149">
        <v>14218</v>
      </c>
      <c r="AA20" s="149">
        <v>16902</v>
      </c>
      <c r="AB20" s="149">
        <v>19818</v>
      </c>
      <c r="AC20" s="149">
        <v>22565</v>
      </c>
      <c r="AD20" s="149">
        <v>25384</v>
      </c>
      <c r="AE20" s="149">
        <v>0</v>
      </c>
    </row>
    <row r="21" spans="2:31" x14ac:dyDescent="0.35">
      <c r="B21" s="115" t="s">
        <v>3292</v>
      </c>
      <c r="C21" s="115" t="s">
        <v>3272</v>
      </c>
      <c r="D21" s="115" t="s">
        <v>3287</v>
      </c>
      <c r="E21" s="115" t="s">
        <v>3288</v>
      </c>
      <c r="F21" s="115" t="s">
        <v>3273</v>
      </c>
      <c r="H21" s="119" t="s">
        <v>3289</v>
      </c>
      <c r="L21" s="149">
        <v>0</v>
      </c>
      <c r="M21" s="149">
        <v>0</v>
      </c>
      <c r="N21" s="149">
        <v>0</v>
      </c>
      <c r="O21" s="149">
        <v>0</v>
      </c>
      <c r="P21" s="149">
        <v>0</v>
      </c>
      <c r="Q21" s="149">
        <v>0</v>
      </c>
      <c r="R21" s="149">
        <v>0</v>
      </c>
      <c r="S21" s="149">
        <v>112</v>
      </c>
      <c r="T21" s="149">
        <v>326</v>
      </c>
      <c r="U21" s="149">
        <v>663</v>
      </c>
      <c r="V21" s="149">
        <v>2939</v>
      </c>
      <c r="W21" s="149">
        <v>5359</v>
      </c>
      <c r="X21" s="149">
        <v>7484</v>
      </c>
      <c r="Y21" s="149">
        <v>9984</v>
      </c>
      <c r="Z21" s="149">
        <v>12409</v>
      </c>
      <c r="AA21" s="149">
        <v>14737</v>
      </c>
      <c r="AB21" s="149">
        <v>17281</v>
      </c>
      <c r="AC21" s="149">
        <v>19710</v>
      </c>
      <c r="AD21" s="149">
        <v>22213</v>
      </c>
      <c r="AE21" s="149">
        <v>0</v>
      </c>
    </row>
    <row r="22" spans="2:31" x14ac:dyDescent="0.35">
      <c r="B22" s="115" t="s">
        <v>3293</v>
      </c>
      <c r="C22" s="115" t="s">
        <v>3260</v>
      </c>
      <c r="D22" s="115" t="s">
        <v>3294</v>
      </c>
      <c r="E22" s="115" t="s">
        <v>3262</v>
      </c>
      <c r="F22" s="115" t="s">
        <v>3263</v>
      </c>
      <c r="H22" s="119" t="s">
        <v>3295</v>
      </c>
      <c r="L22" s="149">
        <v>64271.06</v>
      </c>
      <c r="M22" s="149">
        <v>65359.22</v>
      </c>
      <c r="N22" s="149">
        <v>68207.960000000006</v>
      </c>
      <c r="O22" s="149">
        <v>72071.63</v>
      </c>
      <c r="P22" s="149">
        <v>74237.56</v>
      </c>
      <c r="Q22" s="149">
        <v>76020.81</v>
      </c>
      <c r="R22" s="149">
        <v>78006.45</v>
      </c>
      <c r="S22" s="149">
        <v>80189.13</v>
      </c>
      <c r="T22" s="149">
        <v>82651</v>
      </c>
      <c r="U22" s="149">
        <v>85545.69</v>
      </c>
      <c r="V22" s="149">
        <v>90724.49</v>
      </c>
      <c r="W22" s="149">
        <v>96340.32</v>
      </c>
      <c r="X22" s="149">
        <v>101167.06</v>
      </c>
      <c r="Y22" s="149">
        <v>106485.14</v>
      </c>
      <c r="Z22" s="149">
        <v>111793.99</v>
      </c>
      <c r="AA22" s="149">
        <v>116629.68</v>
      </c>
      <c r="AB22" s="149">
        <v>121707.95</v>
      </c>
      <c r="AC22" s="149">
        <v>126478.09</v>
      </c>
      <c r="AD22" s="149">
        <v>131348.4</v>
      </c>
      <c r="AE22" s="149">
        <v>0</v>
      </c>
    </row>
    <row r="23" spans="2:31" x14ac:dyDescent="0.35">
      <c r="B23" s="115" t="s">
        <v>3296</v>
      </c>
      <c r="C23" s="115" t="s">
        <v>3266</v>
      </c>
      <c r="D23" s="115" t="s">
        <v>3294</v>
      </c>
      <c r="E23" s="115" t="s">
        <v>3262</v>
      </c>
      <c r="F23" s="115" t="s">
        <v>3267</v>
      </c>
      <c r="H23" s="119" t="s">
        <v>3295</v>
      </c>
      <c r="L23" s="149">
        <v>64271.06</v>
      </c>
      <c r="M23" s="149">
        <v>65359.22</v>
      </c>
      <c r="N23" s="149">
        <v>68207.960000000006</v>
      </c>
      <c r="O23" s="149">
        <v>72071.63</v>
      </c>
      <c r="P23" s="149">
        <v>74237.56</v>
      </c>
      <c r="Q23" s="149">
        <v>76020.81</v>
      </c>
      <c r="R23" s="149">
        <v>78006.45</v>
      </c>
      <c r="S23" s="149">
        <v>80189.13</v>
      </c>
      <c r="T23" s="149">
        <v>82651</v>
      </c>
      <c r="U23" s="149">
        <v>85545.69</v>
      </c>
      <c r="V23" s="149">
        <v>90724.49</v>
      </c>
      <c r="W23" s="149">
        <v>96340.32</v>
      </c>
      <c r="X23" s="149">
        <v>101167.06</v>
      </c>
      <c r="Y23" s="149">
        <v>106485.14</v>
      </c>
      <c r="Z23" s="149">
        <v>111793.99</v>
      </c>
      <c r="AA23" s="149">
        <v>116629.68</v>
      </c>
      <c r="AB23" s="149">
        <v>121707.95</v>
      </c>
      <c r="AC23" s="149">
        <v>126478.09</v>
      </c>
      <c r="AD23" s="149">
        <v>131348.4</v>
      </c>
      <c r="AE23" s="149">
        <v>0</v>
      </c>
    </row>
    <row r="24" spans="2:31" x14ac:dyDescent="0.35">
      <c r="B24" s="115" t="s">
        <v>3297</v>
      </c>
      <c r="C24" s="115" t="s">
        <v>3269</v>
      </c>
      <c r="D24" s="115" t="s">
        <v>3294</v>
      </c>
      <c r="E24" s="115" t="s">
        <v>3262</v>
      </c>
      <c r="F24" s="115" t="s">
        <v>3270</v>
      </c>
      <c r="H24" s="119" t="s">
        <v>3295</v>
      </c>
      <c r="L24" s="149">
        <v>64271.06</v>
      </c>
      <c r="M24" s="149">
        <v>65359.22</v>
      </c>
      <c r="N24" s="149">
        <v>68207.960000000006</v>
      </c>
      <c r="O24" s="149">
        <v>72071.63</v>
      </c>
      <c r="P24" s="149">
        <v>74237.56</v>
      </c>
      <c r="Q24" s="149">
        <v>76020.81</v>
      </c>
      <c r="R24" s="149">
        <v>78006.45</v>
      </c>
      <c r="S24" s="149">
        <v>80189.13</v>
      </c>
      <c r="T24" s="149">
        <v>82651</v>
      </c>
      <c r="U24" s="149">
        <v>85545.69</v>
      </c>
      <c r="V24" s="149">
        <v>90724.49</v>
      </c>
      <c r="W24" s="149">
        <v>96340.32</v>
      </c>
      <c r="X24" s="149">
        <v>101167.06</v>
      </c>
      <c r="Y24" s="149">
        <v>106485.14</v>
      </c>
      <c r="Z24" s="149">
        <v>111793.99</v>
      </c>
      <c r="AA24" s="149">
        <v>116629.68</v>
      </c>
      <c r="AB24" s="149">
        <v>121707.95</v>
      </c>
      <c r="AC24" s="149">
        <v>126478.09</v>
      </c>
      <c r="AD24" s="149">
        <v>131348.4</v>
      </c>
      <c r="AE24" s="149">
        <v>0</v>
      </c>
    </row>
    <row r="25" spans="2:31" x14ac:dyDescent="0.35">
      <c r="B25" s="115" t="s">
        <v>3298</v>
      </c>
      <c r="C25" s="115" t="s">
        <v>3272</v>
      </c>
      <c r="D25" s="115" t="s">
        <v>3294</v>
      </c>
      <c r="E25" s="115" t="s">
        <v>3262</v>
      </c>
      <c r="F25" s="115" t="s">
        <v>3273</v>
      </c>
      <c r="H25" s="119" t="s">
        <v>3295</v>
      </c>
      <c r="L25" s="149">
        <v>64271.06</v>
      </c>
      <c r="M25" s="149">
        <v>65359.22</v>
      </c>
      <c r="N25" s="149">
        <v>68207.960000000006</v>
      </c>
      <c r="O25" s="149">
        <v>72071.63</v>
      </c>
      <c r="P25" s="149">
        <v>74237.56</v>
      </c>
      <c r="Q25" s="149">
        <v>76020.81</v>
      </c>
      <c r="R25" s="149">
        <v>78006.45</v>
      </c>
      <c r="S25" s="149">
        <v>80189.13</v>
      </c>
      <c r="T25" s="149">
        <v>82651</v>
      </c>
      <c r="U25" s="149">
        <v>85545.69</v>
      </c>
      <c r="V25" s="149">
        <v>90724.49</v>
      </c>
      <c r="W25" s="149">
        <v>96340.32</v>
      </c>
      <c r="X25" s="149">
        <v>101167.06</v>
      </c>
      <c r="Y25" s="149">
        <v>106485.14</v>
      </c>
      <c r="Z25" s="149">
        <v>111793.99</v>
      </c>
      <c r="AA25" s="149">
        <v>116629.68</v>
      </c>
      <c r="AB25" s="149">
        <v>121707.95</v>
      </c>
      <c r="AC25" s="149">
        <v>126478.09</v>
      </c>
      <c r="AD25" s="149">
        <v>131348.4</v>
      </c>
      <c r="AE25" s="149">
        <v>0</v>
      </c>
    </row>
    <row r="26" spans="2:31" x14ac:dyDescent="0.35">
      <c r="B26" s="115" t="s">
        <v>3299</v>
      </c>
      <c r="C26" s="115" t="s">
        <v>3260</v>
      </c>
      <c r="D26" s="115" t="s">
        <v>3300</v>
      </c>
      <c r="E26" s="115" t="s">
        <v>2068</v>
      </c>
      <c r="F26" s="115" t="s">
        <v>3263</v>
      </c>
      <c r="H26" s="119" t="s">
        <v>3301</v>
      </c>
      <c r="L26" s="149">
        <v>210.916</v>
      </c>
      <c r="M26" s="149">
        <v>212.84399999999999</v>
      </c>
      <c r="N26" s="149">
        <v>232.29599999999999</v>
      </c>
      <c r="O26" s="149">
        <v>248.97399999999999</v>
      </c>
      <c r="P26" s="149">
        <v>258.928</v>
      </c>
      <c r="Q26" s="149">
        <v>272.54899999999998</v>
      </c>
      <c r="R26" s="149">
        <v>290.72500000000002</v>
      </c>
      <c r="S26" s="149">
        <v>313.33499999999998</v>
      </c>
      <c r="T26" s="149">
        <v>340.66</v>
      </c>
      <c r="U26" s="149">
        <v>377.47399999999999</v>
      </c>
      <c r="V26" s="149">
        <v>432.851</v>
      </c>
      <c r="W26" s="149">
        <v>493.45400000000001</v>
      </c>
      <c r="X26" s="149">
        <v>546.70600000000002</v>
      </c>
      <c r="Y26" s="149">
        <v>606.58500000000004</v>
      </c>
      <c r="Z26" s="149">
        <v>672.81</v>
      </c>
      <c r="AA26" s="149">
        <v>745.99599999999998</v>
      </c>
      <c r="AB26" s="149">
        <v>826.61500000000001</v>
      </c>
      <c r="AC26" s="149">
        <v>915.12199999999996</v>
      </c>
      <c r="AD26" s="149">
        <v>1012.028</v>
      </c>
      <c r="AE26" s="149">
        <v>1116.913</v>
      </c>
    </row>
    <row r="27" spans="2:31" x14ac:dyDescent="0.35">
      <c r="B27" s="115" t="s">
        <v>3302</v>
      </c>
      <c r="C27" s="115" t="s">
        <v>3266</v>
      </c>
      <c r="D27" s="115" t="s">
        <v>3300</v>
      </c>
      <c r="E27" s="115" t="s">
        <v>2068</v>
      </c>
      <c r="F27" s="115" t="s">
        <v>3267</v>
      </c>
      <c r="H27" s="119" t="s">
        <v>3301</v>
      </c>
      <c r="L27" s="149">
        <v>210.916</v>
      </c>
      <c r="M27" s="149">
        <v>212.84399999999999</v>
      </c>
      <c r="N27" s="149">
        <v>232.29599999999999</v>
      </c>
      <c r="O27" s="149">
        <v>248.97399999999999</v>
      </c>
      <c r="P27" s="149">
        <v>258.928</v>
      </c>
      <c r="Q27" s="149">
        <v>272.54899999999998</v>
      </c>
      <c r="R27" s="149">
        <v>290.72500000000002</v>
      </c>
      <c r="S27" s="149">
        <v>313.33499999999998</v>
      </c>
      <c r="T27" s="149">
        <v>340.66</v>
      </c>
      <c r="U27" s="149">
        <v>377.47399999999999</v>
      </c>
      <c r="V27" s="149">
        <v>432.851</v>
      </c>
      <c r="W27" s="149">
        <v>493.45400000000001</v>
      </c>
      <c r="X27" s="149">
        <v>546.70600000000002</v>
      </c>
      <c r="Y27" s="149">
        <v>606.58500000000004</v>
      </c>
      <c r="Z27" s="149">
        <v>672.81</v>
      </c>
      <c r="AA27" s="149">
        <v>745.99599999999998</v>
      </c>
      <c r="AB27" s="149">
        <v>826.61500000000001</v>
      </c>
      <c r="AC27" s="149">
        <v>915.12199999999996</v>
      </c>
      <c r="AD27" s="149">
        <v>1012.028</v>
      </c>
      <c r="AE27" s="149">
        <v>1116.913</v>
      </c>
    </row>
    <row r="28" spans="2:31" x14ac:dyDescent="0.35">
      <c r="B28" s="115" t="s">
        <v>3303</v>
      </c>
      <c r="C28" s="115" t="s">
        <v>3269</v>
      </c>
      <c r="D28" s="115" t="s">
        <v>3300</v>
      </c>
      <c r="E28" s="115" t="s">
        <v>2068</v>
      </c>
      <c r="F28" s="115" t="s">
        <v>3270</v>
      </c>
      <c r="H28" s="119" t="s">
        <v>3301</v>
      </c>
      <c r="L28" s="149">
        <v>210.916</v>
      </c>
      <c r="M28" s="149">
        <v>212.84399999999999</v>
      </c>
      <c r="N28" s="149">
        <v>232.29599999999999</v>
      </c>
      <c r="O28" s="149">
        <v>248.97399999999999</v>
      </c>
      <c r="P28" s="149">
        <v>258.928</v>
      </c>
      <c r="Q28" s="149">
        <v>272.54899999999998</v>
      </c>
      <c r="R28" s="149">
        <v>290.72500000000002</v>
      </c>
      <c r="S28" s="149">
        <v>313.33499999999998</v>
      </c>
      <c r="T28" s="149">
        <v>340.66</v>
      </c>
      <c r="U28" s="149">
        <v>377.47399999999999</v>
      </c>
      <c r="V28" s="149">
        <v>432.851</v>
      </c>
      <c r="W28" s="149">
        <v>493.45400000000001</v>
      </c>
      <c r="X28" s="149">
        <v>546.70600000000002</v>
      </c>
      <c r="Y28" s="149">
        <v>606.58500000000004</v>
      </c>
      <c r="Z28" s="149">
        <v>672.81</v>
      </c>
      <c r="AA28" s="149">
        <v>745.99599999999998</v>
      </c>
      <c r="AB28" s="149">
        <v>826.61500000000001</v>
      </c>
      <c r="AC28" s="149">
        <v>915.12199999999996</v>
      </c>
      <c r="AD28" s="149">
        <v>1012.028</v>
      </c>
      <c r="AE28" s="149">
        <v>1116.913</v>
      </c>
    </row>
    <row r="29" spans="2:31" x14ac:dyDescent="0.35">
      <c r="B29" s="115" t="s">
        <v>3304</v>
      </c>
      <c r="C29" s="115" t="s">
        <v>3272</v>
      </c>
      <c r="D29" s="115" t="s">
        <v>3300</v>
      </c>
      <c r="E29" s="115" t="s">
        <v>2068</v>
      </c>
      <c r="F29" s="115" t="s">
        <v>3273</v>
      </c>
      <c r="H29" s="119" t="s">
        <v>3301</v>
      </c>
      <c r="L29" s="149">
        <v>210.916</v>
      </c>
      <c r="M29" s="149">
        <v>212.84399999999999</v>
      </c>
      <c r="N29" s="149">
        <v>232.29599999999999</v>
      </c>
      <c r="O29" s="149">
        <v>248.97399999999999</v>
      </c>
      <c r="P29" s="149">
        <v>258.928</v>
      </c>
      <c r="Q29" s="149">
        <v>272.54899999999998</v>
      </c>
      <c r="R29" s="149">
        <v>290.72500000000002</v>
      </c>
      <c r="S29" s="149">
        <v>313.33499999999998</v>
      </c>
      <c r="T29" s="149">
        <v>340.66</v>
      </c>
      <c r="U29" s="149">
        <v>377.47399999999999</v>
      </c>
      <c r="V29" s="149">
        <v>432.851</v>
      </c>
      <c r="W29" s="149">
        <v>493.45400000000001</v>
      </c>
      <c r="X29" s="149">
        <v>546.70600000000002</v>
      </c>
      <c r="Y29" s="149">
        <v>606.58500000000004</v>
      </c>
      <c r="Z29" s="149">
        <v>672.81</v>
      </c>
      <c r="AA29" s="149">
        <v>745.99599999999998</v>
      </c>
      <c r="AB29" s="149">
        <v>826.61500000000001</v>
      </c>
      <c r="AC29" s="149">
        <v>915.12199999999996</v>
      </c>
      <c r="AD29" s="149">
        <v>1012.028</v>
      </c>
      <c r="AE29" s="149">
        <v>1116.913</v>
      </c>
    </row>
    <row r="30" spans="2:31" x14ac:dyDescent="0.35">
      <c r="B30" s="115" t="s">
        <v>3305</v>
      </c>
      <c r="C30" s="115" t="s">
        <v>3260</v>
      </c>
      <c r="D30" s="115" t="s">
        <v>3306</v>
      </c>
      <c r="E30" s="115" t="s">
        <v>2068</v>
      </c>
      <c r="F30" s="115" t="s">
        <v>3263</v>
      </c>
      <c r="H30" s="119" t="s">
        <v>3307</v>
      </c>
      <c r="L30" s="149">
        <v>210.916</v>
      </c>
      <c r="M30" s="149">
        <v>212.745</v>
      </c>
      <c r="N30" s="149">
        <v>232.18199999999999</v>
      </c>
      <c r="O30" s="149">
        <v>248.863</v>
      </c>
      <c r="P30" s="149">
        <v>258.81900000000002</v>
      </c>
      <c r="Q30" s="149">
        <v>272.37200000000001</v>
      </c>
      <c r="R30" s="149">
        <v>268.24799999999999</v>
      </c>
      <c r="S30" s="149">
        <v>282.64400000000001</v>
      </c>
      <c r="T30" s="149">
        <v>313.86500000000001</v>
      </c>
      <c r="U30" s="149">
        <v>350.29700000000003</v>
      </c>
      <c r="V30" s="149">
        <v>411.05</v>
      </c>
      <c r="W30" s="149">
        <v>457.202</v>
      </c>
      <c r="X30" s="149">
        <v>508.70600000000002</v>
      </c>
      <c r="Y30" s="149">
        <v>566.58399999999995</v>
      </c>
      <c r="Z30" s="149">
        <v>631.125</v>
      </c>
      <c r="AA30" s="149">
        <v>702.74900000000002</v>
      </c>
      <c r="AB30" s="149">
        <v>781.96699999999998</v>
      </c>
      <c r="AC30" s="149">
        <v>869.24</v>
      </c>
      <c r="AD30" s="149">
        <v>965.01</v>
      </c>
      <c r="AE30" s="149">
        <v>1068.8430000000001</v>
      </c>
    </row>
    <row r="31" spans="2:31" x14ac:dyDescent="0.35">
      <c r="B31" s="115" t="s">
        <v>3308</v>
      </c>
      <c r="C31" s="115" t="s">
        <v>3266</v>
      </c>
      <c r="D31" s="115" t="s">
        <v>3306</v>
      </c>
      <c r="E31" s="115" t="s">
        <v>2068</v>
      </c>
      <c r="F31" s="115" t="s">
        <v>3267</v>
      </c>
      <c r="H31" s="119" t="s">
        <v>3307</v>
      </c>
      <c r="L31" s="149">
        <v>210.916</v>
      </c>
      <c r="M31" s="149">
        <v>212.745</v>
      </c>
      <c r="N31" s="149">
        <v>232.18199999999999</v>
      </c>
      <c r="O31" s="149">
        <v>248.863</v>
      </c>
      <c r="P31" s="149">
        <v>258.81900000000002</v>
      </c>
      <c r="Q31" s="149">
        <v>272.37200000000001</v>
      </c>
      <c r="R31" s="149">
        <v>268.24799999999999</v>
      </c>
      <c r="S31" s="149">
        <v>281.81299999999999</v>
      </c>
      <c r="T31" s="149">
        <v>312.39600000000002</v>
      </c>
      <c r="U31" s="149">
        <v>347.87400000000002</v>
      </c>
      <c r="V31" s="149">
        <v>407.839</v>
      </c>
      <c r="W31" s="149">
        <v>454.24799999999999</v>
      </c>
      <c r="X31" s="149">
        <v>505.08100000000002</v>
      </c>
      <c r="Y31" s="149">
        <v>562.17100000000005</v>
      </c>
      <c r="Z31" s="149">
        <v>625.77700000000004</v>
      </c>
      <c r="AA31" s="149">
        <v>696.22400000000005</v>
      </c>
      <c r="AB31" s="149">
        <v>774.00599999999997</v>
      </c>
      <c r="AC31" s="149">
        <v>859.59199999999998</v>
      </c>
      <c r="AD31" s="149">
        <v>953.47299999999996</v>
      </c>
      <c r="AE31" s="149">
        <v>1055.258</v>
      </c>
    </row>
    <row r="32" spans="2:31" x14ac:dyDescent="0.35">
      <c r="B32" s="115" t="s">
        <v>3309</v>
      </c>
      <c r="C32" s="115" t="s">
        <v>3269</v>
      </c>
      <c r="D32" s="115" t="s">
        <v>3306</v>
      </c>
      <c r="E32" s="115" t="s">
        <v>2068</v>
      </c>
      <c r="F32" s="115" t="s">
        <v>3270</v>
      </c>
      <c r="H32" s="119" t="s">
        <v>3307</v>
      </c>
      <c r="L32" s="149">
        <v>210.916</v>
      </c>
      <c r="M32" s="149">
        <v>212.84</v>
      </c>
      <c r="N32" s="149">
        <v>232.291</v>
      </c>
      <c r="O32" s="149">
        <v>248.97</v>
      </c>
      <c r="P32" s="149">
        <v>258.92399999999998</v>
      </c>
      <c r="Q32" s="149">
        <v>272.51</v>
      </c>
      <c r="R32" s="149">
        <v>287.22500000000002</v>
      </c>
      <c r="S32" s="149">
        <v>304.67500000000001</v>
      </c>
      <c r="T32" s="149">
        <v>327.45299999999997</v>
      </c>
      <c r="U32" s="149">
        <v>359.86900000000003</v>
      </c>
      <c r="V32" s="149">
        <v>415.78300000000002</v>
      </c>
      <c r="W32" s="149">
        <v>455.00599999999997</v>
      </c>
      <c r="X32" s="149">
        <v>499.99299999999999</v>
      </c>
      <c r="Y32" s="149">
        <v>550.89800000000002</v>
      </c>
      <c r="Z32" s="149">
        <v>608.03700000000003</v>
      </c>
      <c r="AA32" s="149">
        <v>671.65599999999995</v>
      </c>
      <c r="AB32" s="149">
        <v>742.31700000000001</v>
      </c>
      <c r="AC32" s="149">
        <v>820.52099999999996</v>
      </c>
      <c r="AD32" s="149">
        <v>906.79499999999996</v>
      </c>
      <c r="AE32" s="149">
        <v>1000.808</v>
      </c>
    </row>
    <row r="33" spans="2:31" x14ac:dyDescent="0.35">
      <c r="B33" s="115" t="s">
        <v>3310</v>
      </c>
      <c r="C33" s="115" t="s">
        <v>3272</v>
      </c>
      <c r="D33" s="115" t="s">
        <v>3306</v>
      </c>
      <c r="E33" s="115" t="s">
        <v>2068</v>
      </c>
      <c r="F33" s="115" t="s">
        <v>3273</v>
      </c>
      <c r="H33" s="119" t="s">
        <v>3307</v>
      </c>
      <c r="L33" s="149">
        <v>210.916</v>
      </c>
      <c r="M33" s="149">
        <v>212.84399999999999</v>
      </c>
      <c r="N33" s="149">
        <v>232.29599999999999</v>
      </c>
      <c r="O33" s="149">
        <v>248.97399999999999</v>
      </c>
      <c r="P33" s="149">
        <v>258.928</v>
      </c>
      <c r="Q33" s="149">
        <v>272.54899999999998</v>
      </c>
      <c r="R33" s="149">
        <v>290.72500000000002</v>
      </c>
      <c r="S33" s="149">
        <v>306.86500000000001</v>
      </c>
      <c r="T33" s="149">
        <v>330.99</v>
      </c>
      <c r="U33" s="149">
        <v>364.77699999999999</v>
      </c>
      <c r="V33" s="149">
        <v>410.34800000000001</v>
      </c>
      <c r="W33" s="149">
        <v>473.58</v>
      </c>
      <c r="X33" s="149">
        <v>522.28200000000004</v>
      </c>
      <c r="Y33" s="149">
        <v>576.55700000000002</v>
      </c>
      <c r="Z33" s="149">
        <v>636.44600000000003</v>
      </c>
      <c r="AA33" s="149">
        <v>702.58100000000002</v>
      </c>
      <c r="AB33" s="149">
        <v>775.63699999999994</v>
      </c>
      <c r="AC33" s="149">
        <v>856.42899999999997</v>
      </c>
      <c r="AD33" s="149">
        <v>946.00400000000002</v>
      </c>
      <c r="AE33" s="149">
        <v>1041.741</v>
      </c>
    </row>
    <row r="34" spans="2:31" x14ac:dyDescent="0.35">
      <c r="B34" s="115" t="s">
        <v>3311</v>
      </c>
      <c r="C34" s="115" t="s">
        <v>3260</v>
      </c>
      <c r="D34" s="115" t="s">
        <v>3312</v>
      </c>
      <c r="E34" s="115" t="s">
        <v>2068</v>
      </c>
      <c r="F34" s="115" t="s">
        <v>3263</v>
      </c>
      <c r="H34" s="119" t="s">
        <v>3313</v>
      </c>
      <c r="L34" s="149">
        <v>59.633000000000003</v>
      </c>
      <c r="M34" s="149">
        <v>58.890999999999998</v>
      </c>
      <c r="N34" s="149">
        <v>69.841999999999999</v>
      </c>
      <c r="O34" s="149">
        <v>75.484999999999999</v>
      </c>
      <c r="P34" s="149">
        <v>77.64</v>
      </c>
      <c r="Q34" s="149">
        <v>80.161000000000001</v>
      </c>
      <c r="R34" s="149">
        <v>83.221000000000004</v>
      </c>
      <c r="S34" s="149">
        <v>86.179000000000002</v>
      </c>
      <c r="T34" s="149">
        <v>88.972999999999999</v>
      </c>
      <c r="U34" s="149">
        <v>91.808000000000007</v>
      </c>
      <c r="V34" s="149">
        <v>94.674000000000007</v>
      </c>
      <c r="W34" s="149">
        <v>97.59</v>
      </c>
      <c r="X34" s="149">
        <v>100.55800000000001</v>
      </c>
      <c r="Y34" s="149">
        <v>103.575</v>
      </c>
      <c r="Z34" s="149">
        <v>106.643</v>
      </c>
      <c r="AA34" s="149">
        <v>109.76</v>
      </c>
      <c r="AB34" s="149">
        <v>112.926</v>
      </c>
      <c r="AC34" s="149">
        <v>116.14100000000001</v>
      </c>
      <c r="AD34" s="149">
        <v>119.404</v>
      </c>
      <c r="AE34" s="149">
        <v>122.714</v>
      </c>
    </row>
    <row r="35" spans="2:31" x14ac:dyDescent="0.35">
      <c r="B35" s="115" t="s">
        <v>3314</v>
      </c>
      <c r="C35" s="115" t="s">
        <v>3266</v>
      </c>
      <c r="D35" s="115" t="s">
        <v>3312</v>
      </c>
      <c r="E35" s="115" t="s">
        <v>2068</v>
      </c>
      <c r="F35" s="115" t="s">
        <v>3267</v>
      </c>
      <c r="H35" s="119" t="s">
        <v>3313</v>
      </c>
      <c r="L35" s="149">
        <v>59.633000000000003</v>
      </c>
      <c r="M35" s="149">
        <v>58.890999999999998</v>
      </c>
      <c r="N35" s="149">
        <v>69.841999999999999</v>
      </c>
      <c r="O35" s="149">
        <v>75.484999999999999</v>
      </c>
      <c r="P35" s="149">
        <v>77.64</v>
      </c>
      <c r="Q35" s="149">
        <v>80.161000000000001</v>
      </c>
      <c r="R35" s="149">
        <v>83.221000000000004</v>
      </c>
      <c r="S35" s="149">
        <v>86.179000000000002</v>
      </c>
      <c r="T35" s="149">
        <v>88.972999999999999</v>
      </c>
      <c r="U35" s="149">
        <v>91.808000000000007</v>
      </c>
      <c r="V35" s="149">
        <v>94.674000000000007</v>
      </c>
      <c r="W35" s="149">
        <v>97.59</v>
      </c>
      <c r="X35" s="149">
        <v>100.55800000000001</v>
      </c>
      <c r="Y35" s="149">
        <v>103.575</v>
      </c>
      <c r="Z35" s="149">
        <v>106.643</v>
      </c>
      <c r="AA35" s="149">
        <v>109.76</v>
      </c>
      <c r="AB35" s="149">
        <v>112.926</v>
      </c>
      <c r="AC35" s="149">
        <v>116.14100000000001</v>
      </c>
      <c r="AD35" s="149">
        <v>119.404</v>
      </c>
      <c r="AE35" s="149">
        <v>122.714</v>
      </c>
    </row>
    <row r="36" spans="2:31" x14ac:dyDescent="0.35">
      <c r="B36" s="115" t="s">
        <v>3315</v>
      </c>
      <c r="C36" s="115" t="s">
        <v>3269</v>
      </c>
      <c r="D36" s="115" t="s">
        <v>3312</v>
      </c>
      <c r="E36" s="115" t="s">
        <v>2068</v>
      </c>
      <c r="F36" s="115" t="s">
        <v>3270</v>
      </c>
      <c r="H36" s="119" t="s">
        <v>3313</v>
      </c>
      <c r="L36" s="149">
        <v>59.633000000000003</v>
      </c>
      <c r="M36" s="149">
        <v>58.890999999999998</v>
      </c>
      <c r="N36" s="149">
        <v>69.841999999999999</v>
      </c>
      <c r="O36" s="149">
        <v>75.484999999999999</v>
      </c>
      <c r="P36" s="149">
        <v>77.64</v>
      </c>
      <c r="Q36" s="149">
        <v>80.161000000000001</v>
      </c>
      <c r="R36" s="149">
        <v>83.221000000000004</v>
      </c>
      <c r="S36" s="149">
        <v>86.179000000000002</v>
      </c>
      <c r="T36" s="149">
        <v>88.972999999999999</v>
      </c>
      <c r="U36" s="149">
        <v>91.808000000000007</v>
      </c>
      <c r="V36" s="149">
        <v>94.674000000000007</v>
      </c>
      <c r="W36" s="149">
        <v>97.59</v>
      </c>
      <c r="X36" s="149">
        <v>100.55800000000001</v>
      </c>
      <c r="Y36" s="149">
        <v>103.575</v>
      </c>
      <c r="Z36" s="149">
        <v>106.643</v>
      </c>
      <c r="AA36" s="149">
        <v>109.76</v>
      </c>
      <c r="AB36" s="149">
        <v>112.926</v>
      </c>
      <c r="AC36" s="149">
        <v>116.14100000000001</v>
      </c>
      <c r="AD36" s="149">
        <v>119.404</v>
      </c>
      <c r="AE36" s="149">
        <v>122.714</v>
      </c>
    </row>
    <row r="37" spans="2:31" x14ac:dyDescent="0.35">
      <c r="B37" s="115" t="s">
        <v>3316</v>
      </c>
      <c r="C37" s="115" t="s">
        <v>3272</v>
      </c>
      <c r="D37" s="115" t="s">
        <v>3312</v>
      </c>
      <c r="E37" s="115" t="s">
        <v>2068</v>
      </c>
      <c r="F37" s="115" t="s">
        <v>3273</v>
      </c>
      <c r="H37" s="119" t="s">
        <v>3313</v>
      </c>
      <c r="L37" s="149">
        <v>59.633000000000003</v>
      </c>
      <c r="M37" s="149">
        <v>58.890999999999998</v>
      </c>
      <c r="N37" s="149">
        <v>69.841999999999999</v>
      </c>
      <c r="O37" s="149">
        <v>75.484999999999999</v>
      </c>
      <c r="P37" s="149">
        <v>77.64</v>
      </c>
      <c r="Q37" s="149">
        <v>80.161000000000001</v>
      </c>
      <c r="R37" s="149">
        <v>83.221000000000004</v>
      </c>
      <c r="S37" s="149">
        <v>86.179000000000002</v>
      </c>
      <c r="T37" s="149">
        <v>88.972999999999999</v>
      </c>
      <c r="U37" s="149">
        <v>91.808000000000007</v>
      </c>
      <c r="V37" s="149">
        <v>94.674000000000007</v>
      </c>
      <c r="W37" s="149">
        <v>97.59</v>
      </c>
      <c r="X37" s="149">
        <v>100.55800000000001</v>
      </c>
      <c r="Y37" s="149">
        <v>103.575</v>
      </c>
      <c r="Z37" s="149">
        <v>106.643</v>
      </c>
      <c r="AA37" s="149">
        <v>109.76</v>
      </c>
      <c r="AB37" s="149">
        <v>112.926</v>
      </c>
      <c r="AC37" s="149">
        <v>116.14100000000001</v>
      </c>
      <c r="AD37" s="149">
        <v>119.404</v>
      </c>
      <c r="AE37" s="149">
        <v>122.714</v>
      </c>
    </row>
    <row r="38" spans="2:31" x14ac:dyDescent="0.35">
      <c r="B38" s="115" t="s">
        <v>3317</v>
      </c>
      <c r="C38" s="115" t="s">
        <v>3260</v>
      </c>
      <c r="D38" s="115" t="s">
        <v>3318</v>
      </c>
      <c r="E38" s="115" t="s">
        <v>2068</v>
      </c>
      <c r="F38" s="115" t="s">
        <v>3263</v>
      </c>
      <c r="H38" s="119" t="s">
        <v>3319</v>
      </c>
      <c r="L38" s="149">
        <v>59.633000000000003</v>
      </c>
      <c r="M38" s="149">
        <v>58.890999999999998</v>
      </c>
      <c r="N38" s="149">
        <v>69.841999999999999</v>
      </c>
      <c r="O38" s="149">
        <v>75.484999999999999</v>
      </c>
      <c r="P38" s="149">
        <v>77.64</v>
      </c>
      <c r="Q38" s="149">
        <v>80.161000000000001</v>
      </c>
      <c r="R38" s="149">
        <v>70.804000000000002</v>
      </c>
      <c r="S38" s="149">
        <v>73.956000000000003</v>
      </c>
      <c r="T38" s="149">
        <v>76.599999999999994</v>
      </c>
      <c r="U38" s="149">
        <v>79.183000000000007</v>
      </c>
      <c r="V38" s="149">
        <v>81.760999999999996</v>
      </c>
      <c r="W38" s="149">
        <v>84.451999999999998</v>
      </c>
      <c r="X38" s="149">
        <v>87.32</v>
      </c>
      <c r="Y38" s="149">
        <v>90.337000000000003</v>
      </c>
      <c r="Z38" s="149">
        <v>93.534000000000006</v>
      </c>
      <c r="AA38" s="149">
        <v>96.991</v>
      </c>
      <c r="AB38" s="149">
        <v>100.696</v>
      </c>
      <c r="AC38" s="149">
        <v>104.649</v>
      </c>
      <c r="AD38" s="149">
        <v>108.792</v>
      </c>
      <c r="AE38" s="149">
        <v>113.107</v>
      </c>
    </row>
    <row r="39" spans="2:31" x14ac:dyDescent="0.35">
      <c r="B39" s="115" t="s">
        <v>3320</v>
      </c>
      <c r="C39" s="115" t="s">
        <v>3266</v>
      </c>
      <c r="D39" s="115" t="s">
        <v>3318</v>
      </c>
      <c r="E39" s="115" t="s">
        <v>2068</v>
      </c>
      <c r="F39" s="115" t="s">
        <v>3267</v>
      </c>
      <c r="H39" s="119" t="s">
        <v>3319</v>
      </c>
      <c r="L39" s="149">
        <v>59.633000000000003</v>
      </c>
      <c r="M39" s="149">
        <v>58.890999999999998</v>
      </c>
      <c r="N39" s="149">
        <v>69.841999999999999</v>
      </c>
      <c r="O39" s="149">
        <v>75.484999999999999</v>
      </c>
      <c r="P39" s="149">
        <v>77.64</v>
      </c>
      <c r="Q39" s="149">
        <v>80.161000000000001</v>
      </c>
      <c r="R39" s="149">
        <v>70.804000000000002</v>
      </c>
      <c r="S39" s="149">
        <v>73.650999999999996</v>
      </c>
      <c r="T39" s="149">
        <v>75.971000000000004</v>
      </c>
      <c r="U39" s="149">
        <v>78.260999999999996</v>
      </c>
      <c r="V39" s="149">
        <v>80.557000000000002</v>
      </c>
      <c r="W39" s="149">
        <v>82.918999999999997</v>
      </c>
      <c r="X39" s="149">
        <v>85.331999999999994</v>
      </c>
      <c r="Y39" s="149">
        <v>87.792000000000002</v>
      </c>
      <c r="Z39" s="149">
        <v>90.325999999999993</v>
      </c>
      <c r="AA39" s="149">
        <v>92.942999999999998</v>
      </c>
      <c r="AB39" s="149">
        <v>95.608999999999995</v>
      </c>
      <c r="AC39" s="149">
        <v>98.332999999999998</v>
      </c>
      <c r="AD39" s="149">
        <v>101.10299999999999</v>
      </c>
      <c r="AE39" s="149">
        <v>103.938</v>
      </c>
    </row>
    <row r="40" spans="2:31" x14ac:dyDescent="0.35">
      <c r="B40" s="115" t="s">
        <v>3321</v>
      </c>
      <c r="C40" s="115" t="s">
        <v>3269</v>
      </c>
      <c r="D40" s="115" t="s">
        <v>3318</v>
      </c>
      <c r="E40" s="115" t="s">
        <v>2068</v>
      </c>
      <c r="F40" s="115" t="s">
        <v>3270</v>
      </c>
      <c r="H40" s="119" t="s">
        <v>3319</v>
      </c>
      <c r="L40" s="149">
        <v>59.633000000000003</v>
      </c>
      <c r="M40" s="149">
        <v>58.890999999999998</v>
      </c>
      <c r="N40" s="149">
        <v>69.841999999999999</v>
      </c>
      <c r="O40" s="149">
        <v>75.484999999999999</v>
      </c>
      <c r="P40" s="149">
        <v>77.64</v>
      </c>
      <c r="Q40" s="149">
        <v>80.161000000000001</v>
      </c>
      <c r="R40" s="149">
        <v>80.869</v>
      </c>
      <c r="S40" s="149">
        <v>80.591999999999999</v>
      </c>
      <c r="T40" s="149">
        <v>80.421999999999997</v>
      </c>
      <c r="U40" s="149">
        <v>79.105999999999995</v>
      </c>
      <c r="V40" s="149">
        <v>77.641000000000005</v>
      </c>
      <c r="W40" s="149">
        <v>76.646000000000001</v>
      </c>
      <c r="X40" s="149">
        <v>76</v>
      </c>
      <c r="Y40" s="149">
        <v>75.599999999999994</v>
      </c>
      <c r="Z40" s="149">
        <v>75.415000000000006</v>
      </c>
      <c r="AA40" s="149">
        <v>75.397999999999996</v>
      </c>
      <c r="AB40" s="149">
        <v>75.537000000000006</v>
      </c>
      <c r="AC40" s="149">
        <v>75.813999999999993</v>
      </c>
      <c r="AD40" s="149">
        <v>76.204999999999998</v>
      </c>
      <c r="AE40" s="149">
        <v>76.695999999999998</v>
      </c>
    </row>
    <row r="41" spans="2:31" x14ac:dyDescent="0.35">
      <c r="B41" s="115" t="s">
        <v>3322</v>
      </c>
      <c r="C41" s="115" t="s">
        <v>3272</v>
      </c>
      <c r="D41" s="115" t="s">
        <v>3318</v>
      </c>
      <c r="E41" s="115" t="s">
        <v>2068</v>
      </c>
      <c r="F41" s="115" t="s">
        <v>3273</v>
      </c>
      <c r="H41" s="119" t="s">
        <v>3319</v>
      </c>
      <c r="L41" s="149">
        <v>59.633000000000003</v>
      </c>
      <c r="M41" s="149">
        <v>58.890999999999998</v>
      </c>
      <c r="N41" s="149">
        <v>69.841999999999999</v>
      </c>
      <c r="O41" s="149">
        <v>75.484999999999999</v>
      </c>
      <c r="P41" s="149">
        <v>77.64</v>
      </c>
      <c r="Q41" s="149">
        <v>80.161000000000001</v>
      </c>
      <c r="R41" s="149">
        <v>83.221000000000004</v>
      </c>
      <c r="S41" s="149">
        <v>86.213999999999999</v>
      </c>
      <c r="T41" s="149">
        <v>89.084000000000003</v>
      </c>
      <c r="U41" s="149">
        <v>92.027000000000001</v>
      </c>
      <c r="V41" s="149">
        <v>95.037999999999997</v>
      </c>
      <c r="W41" s="149">
        <v>98.183999999999997</v>
      </c>
      <c r="X41" s="149">
        <v>101.495</v>
      </c>
      <c r="Y41" s="149">
        <v>105.11</v>
      </c>
      <c r="Z41" s="149">
        <v>109.17100000000001</v>
      </c>
      <c r="AA41" s="149">
        <v>113.929</v>
      </c>
      <c r="AB41" s="149">
        <v>119.69499999999999</v>
      </c>
      <c r="AC41" s="149">
        <v>126.896</v>
      </c>
      <c r="AD41" s="149">
        <v>136.14500000000001</v>
      </c>
      <c r="AE41" s="149">
        <v>145.66</v>
      </c>
    </row>
    <row r="42" spans="2:31" x14ac:dyDescent="0.35">
      <c r="B42" s="115" t="s">
        <v>3323</v>
      </c>
      <c r="C42" s="115" t="s">
        <v>3260</v>
      </c>
      <c r="D42" s="115" t="s">
        <v>3324</v>
      </c>
      <c r="E42" s="115" t="s">
        <v>2068</v>
      </c>
      <c r="F42" s="115" t="s">
        <v>3263</v>
      </c>
      <c r="H42" s="119" t="s">
        <v>3325</v>
      </c>
      <c r="L42" s="149">
        <v>82.215000000000003</v>
      </c>
      <c r="M42" s="149">
        <v>78.986000000000004</v>
      </c>
      <c r="N42" s="149">
        <v>91.822999999999993</v>
      </c>
      <c r="O42" s="149">
        <v>97.046000000000006</v>
      </c>
      <c r="P42" s="149">
        <v>95.462000000000003</v>
      </c>
      <c r="Q42" s="149">
        <v>95.796999999999997</v>
      </c>
      <c r="R42" s="149">
        <v>98.438999999999993</v>
      </c>
      <c r="S42" s="149">
        <v>103.59699999999999</v>
      </c>
      <c r="T42" s="149">
        <v>110.247</v>
      </c>
      <c r="U42" s="149">
        <v>121.81699999999999</v>
      </c>
      <c r="V42" s="149">
        <v>147.38800000000001</v>
      </c>
      <c r="W42" s="149">
        <v>174.428</v>
      </c>
      <c r="X42" s="149">
        <v>190.286</v>
      </c>
      <c r="Y42" s="149">
        <v>208.51400000000001</v>
      </c>
      <c r="Z42" s="149">
        <v>229.43600000000001</v>
      </c>
      <c r="AA42" s="149">
        <v>253.41900000000001</v>
      </c>
      <c r="AB42" s="149">
        <v>280.88400000000001</v>
      </c>
      <c r="AC42" s="149">
        <v>312.30799999999999</v>
      </c>
      <c r="AD42" s="149">
        <v>348.23500000000001</v>
      </c>
      <c r="AE42" s="149">
        <v>389.28500000000003</v>
      </c>
    </row>
    <row r="43" spans="2:31" x14ac:dyDescent="0.35">
      <c r="B43" s="115" t="s">
        <v>3326</v>
      </c>
      <c r="C43" s="115" t="s">
        <v>3266</v>
      </c>
      <c r="D43" s="115" t="s">
        <v>3324</v>
      </c>
      <c r="E43" s="115" t="s">
        <v>2068</v>
      </c>
      <c r="F43" s="115" t="s">
        <v>3267</v>
      </c>
      <c r="H43" s="119" t="s">
        <v>3325</v>
      </c>
      <c r="L43" s="149">
        <v>82.215000000000003</v>
      </c>
      <c r="M43" s="149">
        <v>78.986000000000004</v>
      </c>
      <c r="N43" s="149">
        <v>91.822999999999993</v>
      </c>
      <c r="O43" s="149">
        <v>97.046000000000006</v>
      </c>
      <c r="P43" s="149">
        <v>95.462000000000003</v>
      </c>
      <c r="Q43" s="149">
        <v>95.796999999999997</v>
      </c>
      <c r="R43" s="149">
        <v>98.438999999999993</v>
      </c>
      <c r="S43" s="149">
        <v>103.59699999999999</v>
      </c>
      <c r="T43" s="149">
        <v>110.247</v>
      </c>
      <c r="U43" s="149">
        <v>121.81699999999999</v>
      </c>
      <c r="V43" s="149">
        <v>147.38800000000001</v>
      </c>
      <c r="W43" s="149">
        <v>174.428</v>
      </c>
      <c r="X43" s="149">
        <v>190.286</v>
      </c>
      <c r="Y43" s="149">
        <v>208.51400000000001</v>
      </c>
      <c r="Z43" s="149">
        <v>229.43600000000001</v>
      </c>
      <c r="AA43" s="149">
        <v>253.41900000000001</v>
      </c>
      <c r="AB43" s="149">
        <v>280.88400000000001</v>
      </c>
      <c r="AC43" s="149">
        <v>312.30799999999999</v>
      </c>
      <c r="AD43" s="149">
        <v>348.23500000000001</v>
      </c>
      <c r="AE43" s="149">
        <v>389.28500000000003</v>
      </c>
    </row>
    <row r="44" spans="2:31" x14ac:dyDescent="0.35">
      <c r="B44" s="115" t="s">
        <v>3327</v>
      </c>
      <c r="C44" s="115" t="s">
        <v>3269</v>
      </c>
      <c r="D44" s="115" t="s">
        <v>3324</v>
      </c>
      <c r="E44" s="115" t="s">
        <v>2068</v>
      </c>
      <c r="F44" s="115" t="s">
        <v>3270</v>
      </c>
      <c r="H44" s="119" t="s">
        <v>3325</v>
      </c>
      <c r="L44" s="149">
        <v>82.215000000000003</v>
      </c>
      <c r="M44" s="149">
        <v>78.986000000000004</v>
      </c>
      <c r="N44" s="149">
        <v>91.822999999999993</v>
      </c>
      <c r="O44" s="149">
        <v>97.046000000000006</v>
      </c>
      <c r="P44" s="149">
        <v>95.462000000000003</v>
      </c>
      <c r="Q44" s="149">
        <v>95.796999999999997</v>
      </c>
      <c r="R44" s="149">
        <v>98.438999999999993</v>
      </c>
      <c r="S44" s="149">
        <v>103.59699999999999</v>
      </c>
      <c r="T44" s="149">
        <v>110.247</v>
      </c>
      <c r="U44" s="149">
        <v>121.81699999999999</v>
      </c>
      <c r="V44" s="149">
        <v>147.38800000000001</v>
      </c>
      <c r="W44" s="149">
        <v>174.428</v>
      </c>
      <c r="X44" s="149">
        <v>190.286</v>
      </c>
      <c r="Y44" s="149">
        <v>208.51400000000001</v>
      </c>
      <c r="Z44" s="149">
        <v>229.43600000000001</v>
      </c>
      <c r="AA44" s="149">
        <v>253.41900000000001</v>
      </c>
      <c r="AB44" s="149">
        <v>280.88400000000001</v>
      </c>
      <c r="AC44" s="149">
        <v>312.30799999999999</v>
      </c>
      <c r="AD44" s="149">
        <v>348.23500000000001</v>
      </c>
      <c r="AE44" s="149">
        <v>389.28500000000003</v>
      </c>
    </row>
    <row r="45" spans="2:31" x14ac:dyDescent="0.35">
      <c r="B45" s="115" t="s">
        <v>3328</v>
      </c>
      <c r="C45" s="115" t="s">
        <v>3272</v>
      </c>
      <c r="D45" s="115" t="s">
        <v>3324</v>
      </c>
      <c r="E45" s="115" t="s">
        <v>2068</v>
      </c>
      <c r="F45" s="115" t="s">
        <v>3273</v>
      </c>
      <c r="H45" s="119" t="s">
        <v>3325</v>
      </c>
      <c r="L45" s="149">
        <v>82.215000000000003</v>
      </c>
      <c r="M45" s="149">
        <v>78.986000000000004</v>
      </c>
      <c r="N45" s="149">
        <v>91.822999999999993</v>
      </c>
      <c r="O45" s="149">
        <v>97.046000000000006</v>
      </c>
      <c r="P45" s="149">
        <v>95.462000000000003</v>
      </c>
      <c r="Q45" s="149">
        <v>95.796999999999997</v>
      </c>
      <c r="R45" s="149">
        <v>98.438999999999993</v>
      </c>
      <c r="S45" s="149">
        <v>103.59699999999999</v>
      </c>
      <c r="T45" s="149">
        <v>110.247</v>
      </c>
      <c r="U45" s="149">
        <v>121.81699999999999</v>
      </c>
      <c r="V45" s="149">
        <v>147.38800000000001</v>
      </c>
      <c r="W45" s="149">
        <v>174.428</v>
      </c>
      <c r="X45" s="149">
        <v>190.286</v>
      </c>
      <c r="Y45" s="149">
        <v>208.51400000000001</v>
      </c>
      <c r="Z45" s="149">
        <v>229.43600000000001</v>
      </c>
      <c r="AA45" s="149">
        <v>253.41900000000001</v>
      </c>
      <c r="AB45" s="149">
        <v>280.88400000000001</v>
      </c>
      <c r="AC45" s="149">
        <v>312.30799999999999</v>
      </c>
      <c r="AD45" s="149">
        <v>348.23500000000001</v>
      </c>
      <c r="AE45" s="149">
        <v>389.28500000000003</v>
      </c>
    </row>
    <row r="46" spans="2:31" x14ac:dyDescent="0.35">
      <c r="B46" s="115" t="s">
        <v>3329</v>
      </c>
      <c r="C46" s="115" t="s">
        <v>3260</v>
      </c>
      <c r="D46" s="115" t="s">
        <v>3330</v>
      </c>
      <c r="E46" s="115" t="s">
        <v>2068</v>
      </c>
      <c r="F46" s="115" t="s">
        <v>3263</v>
      </c>
      <c r="H46" s="119" t="s">
        <v>3331</v>
      </c>
      <c r="L46" s="149">
        <v>82.215000000000003</v>
      </c>
      <c r="M46" s="149">
        <v>78.887</v>
      </c>
      <c r="N46" s="149">
        <v>91.709000000000003</v>
      </c>
      <c r="O46" s="149">
        <v>96.935000000000002</v>
      </c>
      <c r="P46" s="149">
        <v>95.352000000000004</v>
      </c>
      <c r="Q46" s="149">
        <v>95.62</v>
      </c>
      <c r="R46" s="149">
        <v>98.668999999999997</v>
      </c>
      <c r="S46" s="149">
        <v>96.745000000000005</v>
      </c>
      <c r="T46" s="149">
        <v>108.517</v>
      </c>
      <c r="U46" s="149">
        <v>121.313</v>
      </c>
      <c r="V46" s="149">
        <v>153.834</v>
      </c>
      <c r="W46" s="149">
        <v>168.22</v>
      </c>
      <c r="X46" s="149">
        <v>183.80699999999999</v>
      </c>
      <c r="Y46" s="149">
        <v>201.71700000000001</v>
      </c>
      <c r="Z46" s="149">
        <v>222.27</v>
      </c>
      <c r="AA46" s="149">
        <v>245.82599999999999</v>
      </c>
      <c r="AB46" s="149">
        <v>272.79700000000003</v>
      </c>
      <c r="AC46" s="149">
        <v>303.65100000000001</v>
      </c>
      <c r="AD46" s="149">
        <v>338.92200000000003</v>
      </c>
      <c r="AE46" s="149">
        <v>379.21800000000002</v>
      </c>
    </row>
    <row r="47" spans="2:31" x14ac:dyDescent="0.35">
      <c r="B47" s="115" t="s">
        <v>3332</v>
      </c>
      <c r="C47" s="115" t="s">
        <v>3266</v>
      </c>
      <c r="D47" s="115" t="s">
        <v>3330</v>
      </c>
      <c r="E47" s="115" t="s">
        <v>2068</v>
      </c>
      <c r="F47" s="115" t="s">
        <v>3267</v>
      </c>
      <c r="H47" s="119" t="s">
        <v>3331</v>
      </c>
      <c r="L47" s="149">
        <v>82.215000000000003</v>
      </c>
      <c r="M47" s="149">
        <v>78.887</v>
      </c>
      <c r="N47" s="149">
        <v>91.709000000000003</v>
      </c>
      <c r="O47" s="149">
        <v>96.935000000000002</v>
      </c>
      <c r="P47" s="149">
        <v>95.352000000000004</v>
      </c>
      <c r="Q47" s="149">
        <v>95.62</v>
      </c>
      <c r="R47" s="149">
        <v>98.668999999999997</v>
      </c>
      <c r="S47" s="149">
        <v>96.284000000000006</v>
      </c>
      <c r="T47" s="149">
        <v>107.81100000000001</v>
      </c>
      <c r="U47" s="149">
        <v>120.015</v>
      </c>
      <c r="V47" s="149">
        <v>152.09100000000001</v>
      </c>
      <c r="W47" s="149">
        <v>167.113</v>
      </c>
      <c r="X47" s="149">
        <v>182.58799999999999</v>
      </c>
      <c r="Y47" s="149">
        <v>200.37200000000001</v>
      </c>
      <c r="Z47" s="149">
        <v>220.779</v>
      </c>
      <c r="AA47" s="149">
        <v>244.16900000000001</v>
      </c>
      <c r="AB47" s="149">
        <v>270.94900000000001</v>
      </c>
      <c r="AC47" s="149">
        <v>301.58600000000001</v>
      </c>
      <c r="AD47" s="149">
        <v>336.61</v>
      </c>
      <c r="AE47" s="149">
        <v>376.62299999999999</v>
      </c>
    </row>
    <row r="48" spans="2:31" x14ac:dyDescent="0.35">
      <c r="B48" s="115" t="s">
        <v>3333</v>
      </c>
      <c r="C48" s="115" t="s">
        <v>3269</v>
      </c>
      <c r="D48" s="115" t="s">
        <v>3330</v>
      </c>
      <c r="E48" s="115" t="s">
        <v>2068</v>
      </c>
      <c r="F48" s="115" t="s">
        <v>3270</v>
      </c>
      <c r="H48" s="119" t="s">
        <v>3331</v>
      </c>
      <c r="L48" s="149">
        <v>82.215000000000003</v>
      </c>
      <c r="M48" s="149">
        <v>78.981999999999999</v>
      </c>
      <c r="N48" s="149">
        <v>91.817999999999998</v>
      </c>
      <c r="O48" s="149">
        <v>97.042000000000002</v>
      </c>
      <c r="P48" s="149">
        <v>95.456999999999994</v>
      </c>
      <c r="Q48" s="149">
        <v>95.757999999999996</v>
      </c>
      <c r="R48" s="149">
        <v>98.605000000000004</v>
      </c>
      <c r="S48" s="149">
        <v>104.102</v>
      </c>
      <c r="T48" s="149">
        <v>111.871</v>
      </c>
      <c r="U48" s="149">
        <v>126.583</v>
      </c>
      <c r="V48" s="149">
        <v>160.98099999999999</v>
      </c>
      <c r="W48" s="149">
        <v>175.06299999999999</v>
      </c>
      <c r="X48" s="149">
        <v>191.27099999999999</v>
      </c>
      <c r="Y48" s="149">
        <v>209.89400000000001</v>
      </c>
      <c r="Z48" s="149">
        <v>231.262</v>
      </c>
      <c r="AA48" s="149">
        <v>255.751</v>
      </c>
      <c r="AB48" s="149">
        <v>283.78899999999999</v>
      </c>
      <c r="AC48" s="149">
        <v>315.86099999999999</v>
      </c>
      <c r="AD48" s="149">
        <v>352.524</v>
      </c>
      <c r="AE48" s="149">
        <v>394.40800000000002</v>
      </c>
    </row>
    <row r="49" spans="2:31" x14ac:dyDescent="0.35">
      <c r="B49" s="115" t="s">
        <v>3334</v>
      </c>
      <c r="C49" s="115" t="s">
        <v>3272</v>
      </c>
      <c r="D49" s="115" t="s">
        <v>3330</v>
      </c>
      <c r="E49" s="115" t="s">
        <v>2068</v>
      </c>
      <c r="F49" s="115" t="s">
        <v>3273</v>
      </c>
      <c r="H49" s="119" t="s">
        <v>3331</v>
      </c>
      <c r="L49" s="149">
        <v>82.215000000000003</v>
      </c>
      <c r="M49" s="149">
        <v>78.986000000000004</v>
      </c>
      <c r="N49" s="149">
        <v>91.822999999999993</v>
      </c>
      <c r="O49" s="149">
        <v>97.046000000000006</v>
      </c>
      <c r="P49" s="149">
        <v>95.462000000000003</v>
      </c>
      <c r="Q49" s="149">
        <v>95.796999999999997</v>
      </c>
      <c r="R49" s="149">
        <v>98.438999999999993</v>
      </c>
      <c r="S49" s="149">
        <v>97.522000000000006</v>
      </c>
      <c r="T49" s="149">
        <v>101.613</v>
      </c>
      <c r="U49" s="149">
        <v>111.252</v>
      </c>
      <c r="V49" s="149">
        <v>128.58699999999999</v>
      </c>
      <c r="W49" s="149">
        <v>160.40899999999999</v>
      </c>
      <c r="X49" s="149">
        <v>174.399</v>
      </c>
      <c r="Y49" s="149">
        <v>190.501</v>
      </c>
      <c r="Z49" s="149">
        <v>209.00200000000001</v>
      </c>
      <c r="AA49" s="149">
        <v>230.22800000000001</v>
      </c>
      <c r="AB49" s="149">
        <v>254.554</v>
      </c>
      <c r="AC49" s="149">
        <v>282.404</v>
      </c>
      <c r="AD49" s="149">
        <v>314.262</v>
      </c>
      <c r="AE49" s="149">
        <v>350.67899999999997</v>
      </c>
    </row>
    <row r="50" spans="2:31" x14ac:dyDescent="0.35">
      <c r="B50" s="115" t="s">
        <v>3335</v>
      </c>
      <c r="C50" s="115" t="s">
        <v>3260</v>
      </c>
      <c r="D50" s="115" t="s">
        <v>3336</v>
      </c>
      <c r="E50" s="115" t="s">
        <v>2068</v>
      </c>
      <c r="F50" s="115" t="s">
        <v>3263</v>
      </c>
      <c r="H50" s="119" t="s">
        <v>3337</v>
      </c>
      <c r="L50" s="149">
        <v>15.803000000000001</v>
      </c>
      <c r="M50" s="149">
        <v>17.442</v>
      </c>
      <c r="N50" s="149">
        <v>22.260999999999999</v>
      </c>
      <c r="O50" s="149">
        <v>22.611999999999998</v>
      </c>
      <c r="P50" s="149">
        <v>22.949000000000002</v>
      </c>
      <c r="Q50" s="149">
        <v>23.347999999999999</v>
      </c>
      <c r="R50" s="149">
        <v>23.82</v>
      </c>
      <c r="S50" s="149">
        <v>24.265999999999998</v>
      </c>
      <c r="T50" s="149">
        <v>24.675000000000001</v>
      </c>
      <c r="U50" s="149">
        <v>25.082999999999998</v>
      </c>
      <c r="V50" s="149">
        <v>25.492000000000001</v>
      </c>
      <c r="W50" s="149">
        <v>25.901</v>
      </c>
      <c r="X50" s="149">
        <v>26.311</v>
      </c>
      <c r="Y50" s="149">
        <v>26.72</v>
      </c>
      <c r="Z50" s="149">
        <v>27.13</v>
      </c>
      <c r="AA50" s="149">
        <v>27.54</v>
      </c>
      <c r="AB50" s="149">
        <v>27.95</v>
      </c>
      <c r="AC50" s="149">
        <v>28.36</v>
      </c>
      <c r="AD50" s="149">
        <v>28.768999999999998</v>
      </c>
      <c r="AE50" s="149">
        <v>29.178000000000001</v>
      </c>
    </row>
    <row r="51" spans="2:31" x14ac:dyDescent="0.35">
      <c r="B51" s="115" t="s">
        <v>3338</v>
      </c>
      <c r="C51" s="115" t="s">
        <v>3266</v>
      </c>
      <c r="D51" s="115" t="s">
        <v>3336</v>
      </c>
      <c r="E51" s="115" t="s">
        <v>2068</v>
      </c>
      <c r="F51" s="115" t="s">
        <v>3267</v>
      </c>
      <c r="H51" s="119" t="s">
        <v>3337</v>
      </c>
      <c r="L51" s="149">
        <v>15.803000000000001</v>
      </c>
      <c r="M51" s="149">
        <v>17.442</v>
      </c>
      <c r="N51" s="149">
        <v>22.260999999999999</v>
      </c>
      <c r="O51" s="149">
        <v>22.611999999999998</v>
      </c>
      <c r="P51" s="149">
        <v>22.949000000000002</v>
      </c>
      <c r="Q51" s="149">
        <v>23.347999999999999</v>
      </c>
      <c r="R51" s="149">
        <v>23.82</v>
      </c>
      <c r="S51" s="149">
        <v>24.265999999999998</v>
      </c>
      <c r="T51" s="149">
        <v>24.675000000000001</v>
      </c>
      <c r="U51" s="149">
        <v>25.082999999999998</v>
      </c>
      <c r="V51" s="149">
        <v>25.492000000000001</v>
      </c>
      <c r="W51" s="149">
        <v>25.901</v>
      </c>
      <c r="X51" s="149">
        <v>26.311</v>
      </c>
      <c r="Y51" s="149">
        <v>26.72</v>
      </c>
      <c r="Z51" s="149">
        <v>27.13</v>
      </c>
      <c r="AA51" s="149">
        <v>27.54</v>
      </c>
      <c r="AB51" s="149">
        <v>27.95</v>
      </c>
      <c r="AC51" s="149">
        <v>28.36</v>
      </c>
      <c r="AD51" s="149">
        <v>28.768999999999998</v>
      </c>
      <c r="AE51" s="149">
        <v>29.178000000000001</v>
      </c>
    </row>
    <row r="52" spans="2:31" x14ac:dyDescent="0.35">
      <c r="B52" s="115" t="s">
        <v>3339</v>
      </c>
      <c r="C52" s="115" t="s">
        <v>3269</v>
      </c>
      <c r="D52" s="115" t="s">
        <v>3336</v>
      </c>
      <c r="E52" s="115" t="s">
        <v>2068</v>
      </c>
      <c r="F52" s="115" t="s">
        <v>3270</v>
      </c>
      <c r="H52" s="119" t="s">
        <v>3337</v>
      </c>
      <c r="L52" s="149">
        <v>15.803000000000001</v>
      </c>
      <c r="M52" s="149">
        <v>17.442</v>
      </c>
      <c r="N52" s="149">
        <v>22.260999999999999</v>
      </c>
      <c r="O52" s="149">
        <v>22.611999999999998</v>
      </c>
      <c r="P52" s="149">
        <v>22.949000000000002</v>
      </c>
      <c r="Q52" s="149">
        <v>23.347999999999999</v>
      </c>
      <c r="R52" s="149">
        <v>23.82</v>
      </c>
      <c r="S52" s="149">
        <v>24.265999999999998</v>
      </c>
      <c r="T52" s="149">
        <v>24.675000000000001</v>
      </c>
      <c r="U52" s="149">
        <v>25.082999999999998</v>
      </c>
      <c r="V52" s="149">
        <v>25.492000000000001</v>
      </c>
      <c r="W52" s="149">
        <v>25.901</v>
      </c>
      <c r="X52" s="149">
        <v>26.311</v>
      </c>
      <c r="Y52" s="149">
        <v>26.72</v>
      </c>
      <c r="Z52" s="149">
        <v>27.13</v>
      </c>
      <c r="AA52" s="149">
        <v>27.54</v>
      </c>
      <c r="AB52" s="149">
        <v>27.95</v>
      </c>
      <c r="AC52" s="149">
        <v>28.36</v>
      </c>
      <c r="AD52" s="149">
        <v>28.768999999999998</v>
      </c>
      <c r="AE52" s="149">
        <v>29.178000000000001</v>
      </c>
    </row>
    <row r="53" spans="2:31" x14ac:dyDescent="0.35">
      <c r="B53" s="115" t="s">
        <v>3340</v>
      </c>
      <c r="C53" s="115" t="s">
        <v>3272</v>
      </c>
      <c r="D53" s="115" t="s">
        <v>3336</v>
      </c>
      <c r="E53" s="115" t="s">
        <v>2068</v>
      </c>
      <c r="F53" s="115" t="s">
        <v>3273</v>
      </c>
      <c r="H53" s="119" t="s">
        <v>3337</v>
      </c>
      <c r="L53" s="149">
        <v>15.803000000000001</v>
      </c>
      <c r="M53" s="149">
        <v>17.442</v>
      </c>
      <c r="N53" s="149">
        <v>22.260999999999999</v>
      </c>
      <c r="O53" s="149">
        <v>22.611999999999998</v>
      </c>
      <c r="P53" s="149">
        <v>22.949000000000002</v>
      </c>
      <c r="Q53" s="149">
        <v>23.347999999999999</v>
      </c>
      <c r="R53" s="149">
        <v>23.82</v>
      </c>
      <c r="S53" s="149">
        <v>24.265999999999998</v>
      </c>
      <c r="T53" s="149">
        <v>24.675000000000001</v>
      </c>
      <c r="U53" s="149">
        <v>25.082999999999998</v>
      </c>
      <c r="V53" s="149">
        <v>25.492000000000001</v>
      </c>
      <c r="W53" s="149">
        <v>25.901</v>
      </c>
      <c r="X53" s="149">
        <v>26.311</v>
      </c>
      <c r="Y53" s="149">
        <v>26.72</v>
      </c>
      <c r="Z53" s="149">
        <v>27.13</v>
      </c>
      <c r="AA53" s="149">
        <v>27.54</v>
      </c>
      <c r="AB53" s="149">
        <v>27.95</v>
      </c>
      <c r="AC53" s="149">
        <v>28.36</v>
      </c>
      <c r="AD53" s="149">
        <v>28.768999999999998</v>
      </c>
      <c r="AE53" s="149">
        <v>29.178000000000001</v>
      </c>
    </row>
    <row r="54" spans="2:31" x14ac:dyDescent="0.35">
      <c r="B54" s="115" t="s">
        <v>3341</v>
      </c>
      <c r="C54" s="115" t="s">
        <v>3260</v>
      </c>
      <c r="D54" s="115" t="s">
        <v>3342</v>
      </c>
      <c r="E54" s="115" t="s">
        <v>2068</v>
      </c>
      <c r="F54" s="115" t="s">
        <v>3263</v>
      </c>
      <c r="H54" s="119" t="s">
        <v>3343</v>
      </c>
      <c r="L54" s="149">
        <v>15.803000000000001</v>
      </c>
      <c r="M54" s="149">
        <v>17.442</v>
      </c>
      <c r="N54" s="149">
        <v>22.260999999999999</v>
      </c>
      <c r="O54" s="149">
        <v>22.611999999999998</v>
      </c>
      <c r="P54" s="149">
        <v>22.949000000000002</v>
      </c>
      <c r="Q54" s="149">
        <v>23.347999999999999</v>
      </c>
      <c r="R54" s="149">
        <v>18.696000000000002</v>
      </c>
      <c r="S54" s="149">
        <v>19.045999999999999</v>
      </c>
      <c r="T54" s="149">
        <v>19.359000000000002</v>
      </c>
      <c r="U54" s="149">
        <v>19.670999999999999</v>
      </c>
      <c r="V54" s="149">
        <v>19.977</v>
      </c>
      <c r="W54" s="149">
        <v>20.291</v>
      </c>
      <c r="X54" s="149">
        <v>20.620999999999999</v>
      </c>
      <c r="Y54" s="149">
        <v>20.997</v>
      </c>
      <c r="Z54" s="149">
        <v>21.388999999999999</v>
      </c>
      <c r="AA54" s="149">
        <v>21.806999999999999</v>
      </c>
      <c r="AB54" s="149">
        <v>22.248999999999999</v>
      </c>
      <c r="AC54" s="149">
        <v>22.712</v>
      </c>
      <c r="AD54" s="149">
        <v>23.189</v>
      </c>
      <c r="AE54" s="149">
        <v>23.675999999999998</v>
      </c>
    </row>
    <row r="55" spans="2:31" x14ac:dyDescent="0.35">
      <c r="B55" s="115" t="s">
        <v>3344</v>
      </c>
      <c r="C55" s="115" t="s">
        <v>3266</v>
      </c>
      <c r="D55" s="115" t="s">
        <v>3342</v>
      </c>
      <c r="E55" s="115" t="s">
        <v>2068</v>
      </c>
      <c r="F55" s="115" t="s">
        <v>3267</v>
      </c>
      <c r="H55" s="119" t="s">
        <v>3343</v>
      </c>
      <c r="L55" s="149">
        <v>15.803000000000001</v>
      </c>
      <c r="M55" s="149">
        <v>17.442</v>
      </c>
      <c r="N55" s="149">
        <v>22.260999999999999</v>
      </c>
      <c r="O55" s="149">
        <v>22.611999999999998</v>
      </c>
      <c r="P55" s="149">
        <v>22.949000000000002</v>
      </c>
      <c r="Q55" s="149">
        <v>23.347999999999999</v>
      </c>
      <c r="R55" s="149">
        <v>18.696000000000002</v>
      </c>
      <c r="S55" s="149">
        <v>19</v>
      </c>
      <c r="T55" s="149">
        <v>19.265999999999998</v>
      </c>
      <c r="U55" s="149">
        <v>19.536999999999999</v>
      </c>
      <c r="V55" s="149">
        <v>19.805</v>
      </c>
      <c r="W55" s="149">
        <v>20.074999999999999</v>
      </c>
      <c r="X55" s="149">
        <v>20.346</v>
      </c>
      <c r="Y55" s="149">
        <v>20.651</v>
      </c>
      <c r="Z55" s="149">
        <v>20.96</v>
      </c>
      <c r="AA55" s="149">
        <v>21.274999999999999</v>
      </c>
      <c r="AB55" s="149">
        <v>21.59</v>
      </c>
      <c r="AC55" s="149">
        <v>21.908000000000001</v>
      </c>
      <c r="AD55" s="149">
        <v>22.227</v>
      </c>
      <c r="AE55" s="149">
        <v>22.547999999999998</v>
      </c>
    </row>
    <row r="56" spans="2:31" x14ac:dyDescent="0.35">
      <c r="B56" s="115" t="s">
        <v>3345</v>
      </c>
      <c r="C56" s="115" t="s">
        <v>3269</v>
      </c>
      <c r="D56" s="115" t="s">
        <v>3342</v>
      </c>
      <c r="E56" s="115" t="s">
        <v>2068</v>
      </c>
      <c r="F56" s="115" t="s">
        <v>3270</v>
      </c>
      <c r="H56" s="119" t="s">
        <v>3343</v>
      </c>
      <c r="L56" s="149">
        <v>15.803000000000001</v>
      </c>
      <c r="M56" s="149">
        <v>17.442</v>
      </c>
      <c r="N56" s="149">
        <v>22.260999999999999</v>
      </c>
      <c r="O56" s="149">
        <v>22.611999999999998</v>
      </c>
      <c r="P56" s="149">
        <v>22.949000000000002</v>
      </c>
      <c r="Q56" s="149">
        <v>23.347999999999999</v>
      </c>
      <c r="R56" s="149">
        <v>23.82</v>
      </c>
      <c r="S56" s="149">
        <v>24.265999999999998</v>
      </c>
      <c r="T56" s="149">
        <v>24.675000000000001</v>
      </c>
      <c r="U56" s="149">
        <v>25.082999999999998</v>
      </c>
      <c r="V56" s="149">
        <v>25.49</v>
      </c>
      <c r="W56" s="149">
        <v>25.896999999999998</v>
      </c>
      <c r="X56" s="149">
        <v>26.306999999999999</v>
      </c>
      <c r="Y56" s="149">
        <v>26.716000000000001</v>
      </c>
      <c r="Z56" s="149">
        <v>27.131</v>
      </c>
      <c r="AA56" s="149">
        <v>27.547999999999998</v>
      </c>
      <c r="AB56" s="149">
        <v>27.972000000000001</v>
      </c>
      <c r="AC56" s="149">
        <v>28.402999999999999</v>
      </c>
      <c r="AD56" s="149">
        <v>28.841000000000001</v>
      </c>
      <c r="AE56" s="149">
        <v>29.283999999999999</v>
      </c>
    </row>
    <row r="57" spans="2:31" x14ac:dyDescent="0.35">
      <c r="B57" s="115" t="s">
        <v>3346</v>
      </c>
      <c r="C57" s="115" t="s">
        <v>3272</v>
      </c>
      <c r="D57" s="115" t="s">
        <v>3342</v>
      </c>
      <c r="E57" s="115" t="s">
        <v>2068</v>
      </c>
      <c r="F57" s="115" t="s">
        <v>3273</v>
      </c>
      <c r="H57" s="119" t="s">
        <v>3343</v>
      </c>
      <c r="L57" s="149">
        <v>15.803000000000001</v>
      </c>
      <c r="M57" s="149">
        <v>17.442</v>
      </c>
      <c r="N57" s="149">
        <v>22.260999999999999</v>
      </c>
      <c r="O57" s="149">
        <v>22.611999999999998</v>
      </c>
      <c r="P57" s="149">
        <v>22.949000000000002</v>
      </c>
      <c r="Q57" s="149">
        <v>23.347999999999999</v>
      </c>
      <c r="R57" s="149">
        <v>23.82</v>
      </c>
      <c r="S57" s="149">
        <v>24.271000000000001</v>
      </c>
      <c r="T57" s="149">
        <v>24.693000000000001</v>
      </c>
      <c r="U57" s="149">
        <v>25.117999999999999</v>
      </c>
      <c r="V57" s="149">
        <v>25.548999999999999</v>
      </c>
      <c r="W57" s="149">
        <v>25.992999999999999</v>
      </c>
      <c r="X57" s="149">
        <v>26.452999999999999</v>
      </c>
      <c r="Y57" s="149">
        <v>26.95</v>
      </c>
      <c r="Z57" s="149">
        <v>27.501999999999999</v>
      </c>
      <c r="AA57" s="149">
        <v>28.141999999999999</v>
      </c>
      <c r="AB57" s="149">
        <v>28.908999999999999</v>
      </c>
      <c r="AC57" s="149">
        <v>29.85</v>
      </c>
      <c r="AD57" s="149">
        <v>31.032</v>
      </c>
      <c r="AE57" s="149">
        <v>32.204999999999998</v>
      </c>
    </row>
    <row r="58" spans="2:31" x14ac:dyDescent="0.35">
      <c r="B58" s="115" t="s">
        <v>3347</v>
      </c>
      <c r="C58" s="115" t="s">
        <v>3260</v>
      </c>
      <c r="D58" s="115" t="s">
        <v>3348</v>
      </c>
      <c r="E58" s="115" t="s">
        <v>2068</v>
      </c>
      <c r="F58" s="115" t="s">
        <v>3263</v>
      </c>
      <c r="H58" s="119" t="s">
        <v>3349</v>
      </c>
      <c r="L58" s="149">
        <v>307.637</v>
      </c>
      <c r="M58" s="149">
        <v>321.39699999999999</v>
      </c>
      <c r="N58" s="149">
        <v>349.911</v>
      </c>
      <c r="O58" s="149">
        <v>371.78399999999999</v>
      </c>
      <c r="P58" s="149">
        <v>384.22899999999998</v>
      </c>
      <c r="Q58" s="149">
        <v>400.54599999999999</v>
      </c>
      <c r="R58" s="149">
        <v>422.363</v>
      </c>
      <c r="S58" s="149">
        <v>448.56900000000002</v>
      </c>
      <c r="T58" s="149">
        <v>479.39600000000002</v>
      </c>
      <c r="U58" s="149">
        <v>519.76700000000005</v>
      </c>
      <c r="V58" s="149">
        <v>579.49199999999996</v>
      </c>
      <c r="W58" s="149">
        <v>645.31100000000004</v>
      </c>
      <c r="X58" s="149">
        <v>703.93799999999999</v>
      </c>
      <c r="Y58" s="149">
        <v>769.35699999999997</v>
      </c>
      <c r="Z58" s="149">
        <v>841.29100000000005</v>
      </c>
      <c r="AA58" s="149">
        <v>920.35900000000004</v>
      </c>
      <c r="AB58" s="149">
        <v>1007.04</v>
      </c>
      <c r="AC58" s="149">
        <v>1101.7919999999999</v>
      </c>
      <c r="AD58" s="149">
        <v>1205.134</v>
      </c>
      <c r="AE58" s="149">
        <v>1316.65</v>
      </c>
    </row>
    <row r="59" spans="2:31" x14ac:dyDescent="0.35">
      <c r="B59" s="115" t="s">
        <v>3350</v>
      </c>
      <c r="C59" s="115" t="s">
        <v>3266</v>
      </c>
      <c r="D59" s="115" t="s">
        <v>3348</v>
      </c>
      <c r="E59" s="115" t="s">
        <v>2068</v>
      </c>
      <c r="F59" s="115" t="s">
        <v>3267</v>
      </c>
      <c r="H59" s="119" t="s">
        <v>3349</v>
      </c>
      <c r="L59" s="149">
        <v>307.637</v>
      </c>
      <c r="M59" s="149">
        <v>321.39699999999999</v>
      </c>
      <c r="N59" s="149">
        <v>349.911</v>
      </c>
      <c r="O59" s="149">
        <v>371.78399999999999</v>
      </c>
      <c r="P59" s="149">
        <v>384.22899999999998</v>
      </c>
      <c r="Q59" s="149">
        <v>400.54599999999999</v>
      </c>
      <c r="R59" s="149">
        <v>422.363</v>
      </c>
      <c r="S59" s="149">
        <v>448.56900000000002</v>
      </c>
      <c r="T59" s="149">
        <v>479.39600000000002</v>
      </c>
      <c r="U59" s="149">
        <v>519.76700000000005</v>
      </c>
      <c r="V59" s="149">
        <v>579.49199999999996</v>
      </c>
      <c r="W59" s="149">
        <v>645.31100000000004</v>
      </c>
      <c r="X59" s="149">
        <v>703.93799999999999</v>
      </c>
      <c r="Y59" s="149">
        <v>769.35699999999997</v>
      </c>
      <c r="Z59" s="149">
        <v>841.29100000000005</v>
      </c>
      <c r="AA59" s="149">
        <v>920.35900000000004</v>
      </c>
      <c r="AB59" s="149">
        <v>1007.04</v>
      </c>
      <c r="AC59" s="149">
        <v>1101.7919999999999</v>
      </c>
      <c r="AD59" s="149">
        <v>1205.134</v>
      </c>
      <c r="AE59" s="149">
        <v>1316.65</v>
      </c>
    </row>
    <row r="60" spans="2:31" x14ac:dyDescent="0.35">
      <c r="B60" s="115" t="s">
        <v>3351</v>
      </c>
      <c r="C60" s="115" t="s">
        <v>3269</v>
      </c>
      <c r="D60" s="115" t="s">
        <v>3348</v>
      </c>
      <c r="E60" s="115" t="s">
        <v>2068</v>
      </c>
      <c r="F60" s="115" t="s">
        <v>3270</v>
      </c>
      <c r="H60" s="119" t="s">
        <v>3349</v>
      </c>
      <c r="L60" s="149">
        <v>307.637</v>
      </c>
      <c r="M60" s="149">
        <v>321.39699999999999</v>
      </c>
      <c r="N60" s="149">
        <v>349.911</v>
      </c>
      <c r="O60" s="149">
        <v>371.78399999999999</v>
      </c>
      <c r="P60" s="149">
        <v>384.22899999999998</v>
      </c>
      <c r="Q60" s="149">
        <v>400.54599999999999</v>
      </c>
      <c r="R60" s="149">
        <v>422.363</v>
      </c>
      <c r="S60" s="149">
        <v>448.56900000000002</v>
      </c>
      <c r="T60" s="149">
        <v>479.39600000000002</v>
      </c>
      <c r="U60" s="149">
        <v>519.76700000000005</v>
      </c>
      <c r="V60" s="149">
        <v>579.49199999999996</v>
      </c>
      <c r="W60" s="149">
        <v>645.31100000000004</v>
      </c>
      <c r="X60" s="149">
        <v>703.93799999999999</v>
      </c>
      <c r="Y60" s="149">
        <v>769.35699999999997</v>
      </c>
      <c r="Z60" s="149">
        <v>841.29100000000005</v>
      </c>
      <c r="AA60" s="149">
        <v>920.35900000000004</v>
      </c>
      <c r="AB60" s="149">
        <v>1007.04</v>
      </c>
      <c r="AC60" s="149">
        <v>1101.7919999999999</v>
      </c>
      <c r="AD60" s="149">
        <v>1205.134</v>
      </c>
      <c r="AE60" s="149">
        <v>1316.65</v>
      </c>
    </row>
    <row r="61" spans="2:31" x14ac:dyDescent="0.35">
      <c r="B61" s="115" t="s">
        <v>3352</v>
      </c>
      <c r="C61" s="115" t="s">
        <v>3272</v>
      </c>
      <c r="D61" s="115" t="s">
        <v>3348</v>
      </c>
      <c r="E61" s="115" t="s">
        <v>2068</v>
      </c>
      <c r="F61" s="115" t="s">
        <v>3273</v>
      </c>
      <c r="H61" s="119" t="s">
        <v>3349</v>
      </c>
      <c r="L61" s="149">
        <v>307.637</v>
      </c>
      <c r="M61" s="149">
        <v>321.39699999999999</v>
      </c>
      <c r="N61" s="149">
        <v>349.911</v>
      </c>
      <c r="O61" s="149">
        <v>371.78399999999999</v>
      </c>
      <c r="P61" s="149">
        <v>384.22899999999998</v>
      </c>
      <c r="Q61" s="149">
        <v>400.54599999999999</v>
      </c>
      <c r="R61" s="149">
        <v>422.363</v>
      </c>
      <c r="S61" s="149">
        <v>448.56900000000002</v>
      </c>
      <c r="T61" s="149">
        <v>479.39600000000002</v>
      </c>
      <c r="U61" s="149">
        <v>519.76700000000005</v>
      </c>
      <c r="V61" s="149">
        <v>579.49199999999996</v>
      </c>
      <c r="W61" s="149">
        <v>645.31100000000004</v>
      </c>
      <c r="X61" s="149">
        <v>703.93799999999999</v>
      </c>
      <c r="Y61" s="149">
        <v>769.35699999999997</v>
      </c>
      <c r="Z61" s="149">
        <v>841.29100000000005</v>
      </c>
      <c r="AA61" s="149">
        <v>920.35900000000004</v>
      </c>
      <c r="AB61" s="149">
        <v>1007.04</v>
      </c>
      <c r="AC61" s="149">
        <v>1101.7919999999999</v>
      </c>
      <c r="AD61" s="149">
        <v>1205.134</v>
      </c>
      <c r="AE61" s="149">
        <v>1316.65</v>
      </c>
    </row>
    <row r="62" spans="2:31" x14ac:dyDescent="0.35">
      <c r="B62" s="115" t="s">
        <v>3353</v>
      </c>
      <c r="C62" s="115" t="s">
        <v>3260</v>
      </c>
      <c r="D62" s="115" t="s">
        <v>3354</v>
      </c>
      <c r="E62" s="115" t="s">
        <v>2068</v>
      </c>
      <c r="F62" s="115" t="s">
        <v>3263</v>
      </c>
      <c r="H62" s="119" t="s">
        <v>3355</v>
      </c>
      <c r="L62" s="149">
        <v>307.637</v>
      </c>
      <c r="M62" s="149">
        <v>321.298</v>
      </c>
      <c r="N62" s="149">
        <v>349.79700000000003</v>
      </c>
      <c r="O62" s="149">
        <v>371.673</v>
      </c>
      <c r="P62" s="149">
        <v>384.11900000000003</v>
      </c>
      <c r="Q62" s="149">
        <v>400.36900000000003</v>
      </c>
      <c r="R62" s="149">
        <v>390.697</v>
      </c>
      <c r="S62" s="149">
        <v>408.83199999999999</v>
      </c>
      <c r="T62" s="149">
        <v>443.44299999999998</v>
      </c>
      <c r="U62" s="149">
        <v>483.24599999999998</v>
      </c>
      <c r="V62" s="149">
        <v>548.13499999999999</v>
      </c>
      <c r="W62" s="149">
        <v>599.33500000000004</v>
      </c>
      <c r="X62" s="149">
        <v>656.14200000000005</v>
      </c>
      <c r="Y62" s="149">
        <v>719.56</v>
      </c>
      <c r="Z62" s="149">
        <v>789.90599999999995</v>
      </c>
      <c r="AA62" s="149">
        <v>867.66399999999999</v>
      </c>
      <c r="AB62" s="149">
        <v>953.34299999999996</v>
      </c>
      <c r="AC62" s="149">
        <v>1047.4090000000001</v>
      </c>
      <c r="AD62" s="149">
        <v>1150.2670000000001</v>
      </c>
      <c r="AE62" s="149">
        <v>1261.4749999999999</v>
      </c>
    </row>
    <row r="63" spans="2:31" x14ac:dyDescent="0.35">
      <c r="B63" s="115" t="s">
        <v>3356</v>
      </c>
      <c r="C63" s="115" t="s">
        <v>3266</v>
      </c>
      <c r="D63" s="115" t="s">
        <v>3354</v>
      </c>
      <c r="E63" s="115" t="s">
        <v>2068</v>
      </c>
      <c r="F63" s="115" t="s">
        <v>3267</v>
      </c>
      <c r="H63" s="119" t="s">
        <v>3355</v>
      </c>
      <c r="L63" s="149">
        <v>307.637</v>
      </c>
      <c r="M63" s="149">
        <v>321.298</v>
      </c>
      <c r="N63" s="149">
        <v>349.79700000000003</v>
      </c>
      <c r="O63" s="149">
        <v>371.673</v>
      </c>
      <c r="P63" s="149">
        <v>384.11900000000003</v>
      </c>
      <c r="Q63" s="149">
        <v>400.36900000000003</v>
      </c>
      <c r="R63" s="149">
        <v>390.697</v>
      </c>
      <c r="S63" s="149">
        <v>407.77499999999998</v>
      </c>
      <c r="T63" s="149">
        <v>441.50799999999998</v>
      </c>
      <c r="U63" s="149">
        <v>480.14</v>
      </c>
      <c r="V63" s="149">
        <v>544.03099999999995</v>
      </c>
      <c r="W63" s="149">
        <v>595.245</v>
      </c>
      <c r="X63" s="149">
        <v>651.04499999999996</v>
      </c>
      <c r="Y63" s="149">
        <v>713.26099999999997</v>
      </c>
      <c r="Z63" s="149">
        <v>782.18100000000004</v>
      </c>
      <c r="AA63" s="149">
        <v>858.14099999999996</v>
      </c>
      <c r="AB63" s="149">
        <v>941.61400000000003</v>
      </c>
      <c r="AC63" s="149">
        <v>1033.0820000000001</v>
      </c>
      <c r="AD63" s="149">
        <v>1133.0340000000001</v>
      </c>
      <c r="AE63" s="149">
        <v>1241.098</v>
      </c>
    </row>
    <row r="64" spans="2:31" x14ac:dyDescent="0.35">
      <c r="B64" s="115" t="s">
        <v>3357</v>
      </c>
      <c r="C64" s="115" t="s">
        <v>3269</v>
      </c>
      <c r="D64" s="115" t="s">
        <v>3354</v>
      </c>
      <c r="E64" s="115" t="s">
        <v>2068</v>
      </c>
      <c r="F64" s="115" t="s">
        <v>3270</v>
      </c>
      <c r="H64" s="119" t="s">
        <v>3355</v>
      </c>
      <c r="L64" s="149">
        <v>307.637</v>
      </c>
      <c r="M64" s="149">
        <v>321.39299999999997</v>
      </c>
      <c r="N64" s="149">
        <v>349.90699999999998</v>
      </c>
      <c r="O64" s="149">
        <v>371.78</v>
      </c>
      <c r="P64" s="149">
        <v>384.22399999999999</v>
      </c>
      <c r="Q64" s="149">
        <v>400.50700000000001</v>
      </c>
      <c r="R64" s="149">
        <v>417.12299999999999</v>
      </c>
      <c r="S64" s="149">
        <v>435.774</v>
      </c>
      <c r="T64" s="149">
        <v>459.85899999999998</v>
      </c>
      <c r="U64" s="149">
        <v>492.76</v>
      </c>
      <c r="V64" s="149">
        <v>549.81799999999998</v>
      </c>
      <c r="W64" s="149">
        <v>591.36199999999997</v>
      </c>
      <c r="X64" s="149">
        <v>639.05100000000004</v>
      </c>
      <c r="Y64" s="149">
        <v>692.96600000000001</v>
      </c>
      <c r="Z64" s="149">
        <v>753.40599999999995</v>
      </c>
      <c r="AA64" s="149">
        <v>820.58799999999997</v>
      </c>
      <c r="AB64" s="149">
        <v>895.07</v>
      </c>
      <c r="AC64" s="149">
        <v>977.34500000000003</v>
      </c>
      <c r="AD64" s="149">
        <v>1067.93</v>
      </c>
      <c r="AE64" s="149">
        <v>1166.4870000000001</v>
      </c>
    </row>
    <row r="65" spans="2:31" x14ac:dyDescent="0.35">
      <c r="B65" s="115" t="s">
        <v>3358</v>
      </c>
      <c r="C65" s="115" t="s">
        <v>3272</v>
      </c>
      <c r="D65" s="115" t="s">
        <v>3354</v>
      </c>
      <c r="E65" s="115" t="s">
        <v>2068</v>
      </c>
      <c r="F65" s="115" t="s">
        <v>3273</v>
      </c>
      <c r="H65" s="119" t="s">
        <v>3355</v>
      </c>
      <c r="L65" s="149">
        <v>307.637</v>
      </c>
      <c r="M65" s="149">
        <v>321.39699999999999</v>
      </c>
      <c r="N65" s="149">
        <v>349.911</v>
      </c>
      <c r="O65" s="149">
        <v>371.78399999999999</v>
      </c>
      <c r="P65" s="149">
        <v>384.22899999999998</v>
      </c>
      <c r="Q65" s="149">
        <v>400.54599999999999</v>
      </c>
      <c r="R65" s="149">
        <v>422.363</v>
      </c>
      <c r="S65" s="149">
        <v>442.125</v>
      </c>
      <c r="T65" s="149">
        <v>469.80700000000002</v>
      </c>
      <c r="U65" s="149">
        <v>507.23200000000003</v>
      </c>
      <c r="V65" s="149">
        <v>557.25800000000004</v>
      </c>
      <c r="W65" s="149">
        <v>625.87699999999995</v>
      </c>
      <c r="X65" s="149">
        <v>680.21</v>
      </c>
      <c r="Y65" s="149">
        <v>740.46600000000001</v>
      </c>
      <c r="Z65" s="149">
        <v>806.8</v>
      </c>
      <c r="AA65" s="149">
        <v>880.03399999999999</v>
      </c>
      <c r="AB65" s="149">
        <v>961.077</v>
      </c>
      <c r="AC65" s="149">
        <v>1051.069</v>
      </c>
      <c r="AD65" s="149">
        <v>1151.5139999999999</v>
      </c>
      <c r="AE65" s="149">
        <v>1258.481</v>
      </c>
    </row>
    <row r="66" spans="2:31" x14ac:dyDescent="0.35">
      <c r="B66" s="115" t="s">
        <v>3359</v>
      </c>
      <c r="C66" s="115" t="s">
        <v>3260</v>
      </c>
      <c r="D66" s="115" t="s">
        <v>3360</v>
      </c>
      <c r="E66" s="115" t="s">
        <v>2068</v>
      </c>
      <c r="F66" s="115" t="s">
        <v>3263</v>
      </c>
      <c r="H66" s="119" t="s">
        <v>3361</v>
      </c>
      <c r="L66" s="149">
        <v>52.970999999999997</v>
      </c>
      <c r="M66" s="149">
        <v>57.256</v>
      </c>
      <c r="N66" s="149">
        <v>48.052999999999997</v>
      </c>
      <c r="O66" s="149">
        <v>53.412999999999997</v>
      </c>
      <c r="P66" s="149">
        <v>62.460999999999999</v>
      </c>
      <c r="Q66" s="149">
        <v>72.828999999999994</v>
      </c>
      <c r="R66" s="149">
        <v>84.831000000000003</v>
      </c>
      <c r="S66" s="149">
        <v>98.88</v>
      </c>
      <c r="T66" s="149">
        <v>116.354</v>
      </c>
      <c r="U66" s="149">
        <v>138.35599999999999</v>
      </c>
      <c r="V66" s="149">
        <v>164.88900000000001</v>
      </c>
      <c r="W66" s="149">
        <v>195.12700000000001</v>
      </c>
      <c r="X66" s="149">
        <v>229.14500000000001</v>
      </c>
      <c r="Y66" s="149">
        <v>267.37</v>
      </c>
      <c r="Z66" s="149">
        <v>309.197</v>
      </c>
      <c r="AA66" s="149">
        <v>354.87400000000002</v>
      </c>
      <c r="AB66" s="149">
        <v>404.45299999999997</v>
      </c>
      <c r="AC66" s="149">
        <v>457.91300000000001</v>
      </c>
      <c r="AD66" s="149">
        <v>515.221</v>
      </c>
      <c r="AE66" s="149">
        <v>575.33799999999997</v>
      </c>
    </row>
    <row r="67" spans="2:31" x14ac:dyDescent="0.35">
      <c r="B67" s="115" t="s">
        <v>3362</v>
      </c>
      <c r="C67" s="115" t="s">
        <v>3266</v>
      </c>
      <c r="D67" s="115" t="s">
        <v>3360</v>
      </c>
      <c r="E67" s="115" t="s">
        <v>2068</v>
      </c>
      <c r="F67" s="115" t="s">
        <v>3267</v>
      </c>
      <c r="H67" s="119" t="s">
        <v>3361</v>
      </c>
      <c r="L67" s="149">
        <v>52.970999999999997</v>
      </c>
      <c r="M67" s="149">
        <v>57.256</v>
      </c>
      <c r="N67" s="149">
        <v>48.052999999999997</v>
      </c>
      <c r="O67" s="149">
        <v>53.412999999999997</v>
      </c>
      <c r="P67" s="149">
        <v>62.460999999999999</v>
      </c>
      <c r="Q67" s="149">
        <v>72.828999999999994</v>
      </c>
      <c r="R67" s="149">
        <v>84.831000000000003</v>
      </c>
      <c r="S67" s="149">
        <v>98.88</v>
      </c>
      <c r="T67" s="149">
        <v>116.354</v>
      </c>
      <c r="U67" s="149">
        <v>138.35599999999999</v>
      </c>
      <c r="V67" s="149">
        <v>164.88900000000001</v>
      </c>
      <c r="W67" s="149">
        <v>195.12700000000001</v>
      </c>
      <c r="X67" s="149">
        <v>229.14500000000001</v>
      </c>
      <c r="Y67" s="149">
        <v>267.37</v>
      </c>
      <c r="Z67" s="149">
        <v>309.197</v>
      </c>
      <c r="AA67" s="149">
        <v>354.87400000000002</v>
      </c>
      <c r="AB67" s="149">
        <v>404.45299999999997</v>
      </c>
      <c r="AC67" s="149">
        <v>457.91300000000001</v>
      </c>
      <c r="AD67" s="149">
        <v>515.221</v>
      </c>
      <c r="AE67" s="149">
        <v>575.33799999999997</v>
      </c>
    </row>
    <row r="68" spans="2:31" x14ac:dyDescent="0.35">
      <c r="B68" s="115" t="s">
        <v>3363</v>
      </c>
      <c r="C68" s="115" t="s">
        <v>3269</v>
      </c>
      <c r="D68" s="115" t="s">
        <v>3360</v>
      </c>
      <c r="E68" s="115" t="s">
        <v>2068</v>
      </c>
      <c r="F68" s="115" t="s">
        <v>3270</v>
      </c>
      <c r="H68" s="119" t="s">
        <v>3361</v>
      </c>
      <c r="L68" s="149">
        <v>52.970999999999997</v>
      </c>
      <c r="M68" s="149">
        <v>57.256</v>
      </c>
      <c r="N68" s="149">
        <v>48.052999999999997</v>
      </c>
      <c r="O68" s="149">
        <v>53.412999999999997</v>
      </c>
      <c r="P68" s="149">
        <v>62.460999999999999</v>
      </c>
      <c r="Q68" s="149">
        <v>72.828999999999994</v>
      </c>
      <c r="R68" s="149">
        <v>84.831000000000003</v>
      </c>
      <c r="S68" s="149">
        <v>98.88</v>
      </c>
      <c r="T68" s="149">
        <v>116.354</v>
      </c>
      <c r="U68" s="149">
        <v>138.35599999999999</v>
      </c>
      <c r="V68" s="149">
        <v>164.88900000000001</v>
      </c>
      <c r="W68" s="149">
        <v>195.12700000000001</v>
      </c>
      <c r="X68" s="149">
        <v>229.14500000000001</v>
      </c>
      <c r="Y68" s="149">
        <v>267.37</v>
      </c>
      <c r="Z68" s="149">
        <v>309.197</v>
      </c>
      <c r="AA68" s="149">
        <v>354.87400000000002</v>
      </c>
      <c r="AB68" s="149">
        <v>404.45299999999997</v>
      </c>
      <c r="AC68" s="149">
        <v>457.91300000000001</v>
      </c>
      <c r="AD68" s="149">
        <v>515.221</v>
      </c>
      <c r="AE68" s="149">
        <v>575.33799999999997</v>
      </c>
    </row>
    <row r="69" spans="2:31" x14ac:dyDescent="0.35">
      <c r="B69" s="115" t="s">
        <v>3364</v>
      </c>
      <c r="C69" s="115" t="s">
        <v>3272</v>
      </c>
      <c r="D69" s="115" t="s">
        <v>3360</v>
      </c>
      <c r="E69" s="115" t="s">
        <v>2068</v>
      </c>
      <c r="F69" s="115" t="s">
        <v>3273</v>
      </c>
      <c r="H69" s="119" t="s">
        <v>3361</v>
      </c>
      <c r="L69" s="149">
        <v>52.970999999999997</v>
      </c>
      <c r="M69" s="149">
        <v>57.256</v>
      </c>
      <c r="N69" s="149">
        <v>48.052999999999997</v>
      </c>
      <c r="O69" s="149">
        <v>53.412999999999997</v>
      </c>
      <c r="P69" s="149">
        <v>62.460999999999999</v>
      </c>
      <c r="Q69" s="149">
        <v>72.828999999999994</v>
      </c>
      <c r="R69" s="149">
        <v>84.831000000000003</v>
      </c>
      <c r="S69" s="149">
        <v>98.88</v>
      </c>
      <c r="T69" s="149">
        <v>116.354</v>
      </c>
      <c r="U69" s="149">
        <v>138.35599999999999</v>
      </c>
      <c r="V69" s="149">
        <v>164.88900000000001</v>
      </c>
      <c r="W69" s="149">
        <v>195.12700000000001</v>
      </c>
      <c r="X69" s="149">
        <v>229.14500000000001</v>
      </c>
      <c r="Y69" s="149">
        <v>267.37</v>
      </c>
      <c r="Z69" s="149">
        <v>309.197</v>
      </c>
      <c r="AA69" s="149">
        <v>354.87400000000002</v>
      </c>
      <c r="AB69" s="149">
        <v>404.45299999999997</v>
      </c>
      <c r="AC69" s="149">
        <v>457.91300000000001</v>
      </c>
      <c r="AD69" s="149">
        <v>515.221</v>
      </c>
      <c r="AE69" s="149">
        <v>575.33799999999997</v>
      </c>
    </row>
    <row r="70" spans="2:31" x14ac:dyDescent="0.35">
      <c r="B70" s="115" t="s">
        <v>3365</v>
      </c>
      <c r="C70" s="115" t="s">
        <v>3260</v>
      </c>
      <c r="D70" s="115" t="s">
        <v>3366</v>
      </c>
      <c r="E70" s="115" t="s">
        <v>2068</v>
      </c>
      <c r="F70" s="115" t="s">
        <v>3263</v>
      </c>
      <c r="H70" s="119" t="s">
        <v>3367</v>
      </c>
      <c r="L70" s="149">
        <v>52.970999999999997</v>
      </c>
      <c r="M70" s="149">
        <v>57.256</v>
      </c>
      <c r="N70" s="149">
        <v>48.052999999999997</v>
      </c>
      <c r="O70" s="149">
        <v>53.412999999999997</v>
      </c>
      <c r="P70" s="149">
        <v>62.460999999999999</v>
      </c>
      <c r="Q70" s="149">
        <v>72.828999999999994</v>
      </c>
      <c r="R70" s="149">
        <v>79.682000000000002</v>
      </c>
      <c r="S70" s="149">
        <v>92.488</v>
      </c>
      <c r="T70" s="149">
        <v>108.97799999999999</v>
      </c>
      <c r="U70" s="149">
        <v>129.72</v>
      </c>
      <c r="V70" s="149">
        <v>155.06899999999999</v>
      </c>
      <c r="W70" s="149">
        <v>183.83099999999999</v>
      </c>
      <c r="X70" s="149">
        <v>216.55099999999999</v>
      </c>
      <c r="Y70" s="149">
        <v>253.12899999999999</v>
      </c>
      <c r="Z70" s="149">
        <v>293.52800000000002</v>
      </c>
      <c r="AA70" s="149">
        <v>337.721</v>
      </c>
      <c r="AB70" s="149">
        <v>385.82400000000001</v>
      </c>
      <c r="AC70" s="149">
        <v>437.82799999999997</v>
      </c>
      <c r="AD70" s="149">
        <v>493.70800000000003</v>
      </c>
      <c r="AE70" s="149">
        <v>552.44399999999996</v>
      </c>
    </row>
    <row r="71" spans="2:31" x14ac:dyDescent="0.35">
      <c r="B71" s="115" t="s">
        <v>3368</v>
      </c>
      <c r="C71" s="115" t="s">
        <v>3266</v>
      </c>
      <c r="D71" s="115" t="s">
        <v>3366</v>
      </c>
      <c r="E71" s="115" t="s">
        <v>2068</v>
      </c>
      <c r="F71" s="115" t="s">
        <v>3267</v>
      </c>
      <c r="H71" s="119" t="s">
        <v>3367</v>
      </c>
      <c r="L71" s="149">
        <v>52.970999999999997</v>
      </c>
      <c r="M71" s="149">
        <v>57.256</v>
      </c>
      <c r="N71" s="149">
        <v>48.052999999999997</v>
      </c>
      <c r="O71" s="149">
        <v>53.412999999999997</v>
      </c>
      <c r="P71" s="149">
        <v>62.460999999999999</v>
      </c>
      <c r="Q71" s="149">
        <v>72.828999999999994</v>
      </c>
      <c r="R71" s="149">
        <v>79.682000000000002</v>
      </c>
      <c r="S71" s="149">
        <v>92.468999999999994</v>
      </c>
      <c r="T71" s="149">
        <v>108.937</v>
      </c>
      <c r="U71" s="149">
        <v>129.65100000000001</v>
      </c>
      <c r="V71" s="149">
        <v>154.977</v>
      </c>
      <c r="W71" s="149">
        <v>183.73400000000001</v>
      </c>
      <c r="X71" s="149">
        <v>216.40899999999999</v>
      </c>
      <c r="Y71" s="149">
        <v>252.95099999999999</v>
      </c>
      <c r="Z71" s="149">
        <v>293.30799999999999</v>
      </c>
      <c r="AA71" s="149">
        <v>337.435</v>
      </c>
      <c r="AB71" s="149">
        <v>385.45600000000002</v>
      </c>
      <c r="AC71" s="149">
        <v>437.36399999999998</v>
      </c>
      <c r="AD71" s="149">
        <v>493.13499999999999</v>
      </c>
      <c r="AE71" s="149">
        <v>551.75</v>
      </c>
    </row>
    <row r="72" spans="2:31" x14ac:dyDescent="0.35">
      <c r="B72" s="115" t="s">
        <v>3369</v>
      </c>
      <c r="C72" s="115" t="s">
        <v>3269</v>
      </c>
      <c r="D72" s="115" t="s">
        <v>3366</v>
      </c>
      <c r="E72" s="115" t="s">
        <v>2068</v>
      </c>
      <c r="F72" s="115" t="s">
        <v>3270</v>
      </c>
      <c r="H72" s="119" t="s">
        <v>3367</v>
      </c>
      <c r="L72" s="149">
        <v>52.970999999999997</v>
      </c>
      <c r="M72" s="149">
        <v>57.256</v>
      </c>
      <c r="N72" s="149">
        <v>48.052999999999997</v>
      </c>
      <c r="O72" s="149">
        <v>53.412999999999997</v>
      </c>
      <c r="P72" s="149">
        <v>62.460999999999999</v>
      </c>
      <c r="Q72" s="149">
        <v>72.828999999999994</v>
      </c>
      <c r="R72" s="149">
        <v>83.516999999999996</v>
      </c>
      <c r="S72" s="149">
        <v>95.302999999999997</v>
      </c>
      <c r="T72" s="149">
        <v>110.074</v>
      </c>
      <c r="U72" s="149">
        <v>128.72399999999999</v>
      </c>
      <c r="V72" s="149">
        <v>151.34</v>
      </c>
      <c r="W72" s="149">
        <v>177.101</v>
      </c>
      <c r="X72" s="149">
        <v>206.142</v>
      </c>
      <c r="Y72" s="149">
        <v>238.434</v>
      </c>
      <c r="Z72" s="149">
        <v>273.99299999999999</v>
      </c>
      <c r="AA72" s="149">
        <v>312.738</v>
      </c>
      <c r="AB72" s="149">
        <v>354.81099999999998</v>
      </c>
      <c r="AC72" s="149">
        <v>400.24599999999998</v>
      </c>
      <c r="AD72" s="149">
        <v>449.03800000000001</v>
      </c>
      <c r="AE72" s="149">
        <v>500.24200000000002</v>
      </c>
    </row>
    <row r="73" spans="2:31" x14ac:dyDescent="0.35">
      <c r="B73" s="115" t="s">
        <v>3370</v>
      </c>
      <c r="C73" s="115" t="s">
        <v>3272</v>
      </c>
      <c r="D73" s="115" t="s">
        <v>3366</v>
      </c>
      <c r="E73" s="115" t="s">
        <v>2068</v>
      </c>
      <c r="F73" s="115" t="s">
        <v>3273</v>
      </c>
      <c r="H73" s="119" t="s">
        <v>3367</v>
      </c>
      <c r="L73" s="149">
        <v>52.970999999999997</v>
      </c>
      <c r="M73" s="149">
        <v>57.256</v>
      </c>
      <c r="N73" s="149">
        <v>48.052999999999997</v>
      </c>
      <c r="O73" s="149">
        <v>53.412999999999997</v>
      </c>
      <c r="P73" s="149">
        <v>62.460999999999999</v>
      </c>
      <c r="Q73" s="149">
        <v>72.828999999999994</v>
      </c>
      <c r="R73" s="149">
        <v>84.831000000000003</v>
      </c>
      <c r="S73" s="149">
        <v>98.444999999999993</v>
      </c>
      <c r="T73" s="149">
        <v>115.18899999999999</v>
      </c>
      <c r="U73" s="149">
        <v>135.97</v>
      </c>
      <c r="V73" s="149">
        <v>160.76499999999999</v>
      </c>
      <c r="W73" s="149">
        <v>188.58699999999999</v>
      </c>
      <c r="X73" s="149">
        <v>219.52799999999999</v>
      </c>
      <c r="Y73" s="149">
        <v>253.59100000000001</v>
      </c>
      <c r="Z73" s="149">
        <v>290.36799999999999</v>
      </c>
      <c r="AA73" s="149">
        <v>329.87799999999999</v>
      </c>
      <c r="AB73" s="149">
        <v>372.077</v>
      </c>
      <c r="AC73" s="149">
        <v>416.87900000000002</v>
      </c>
      <c r="AD73" s="149">
        <v>464.166</v>
      </c>
      <c r="AE73" s="149">
        <v>512.798</v>
      </c>
    </row>
    <row r="74" spans="2:31" x14ac:dyDescent="0.35">
      <c r="B74" s="115" t="s">
        <v>3371</v>
      </c>
      <c r="C74" s="115" t="s">
        <v>3260</v>
      </c>
      <c r="D74" s="115" t="s">
        <v>3372</v>
      </c>
      <c r="E74" s="115" t="s">
        <v>16</v>
      </c>
      <c r="F74" s="115" t="s">
        <v>3263</v>
      </c>
      <c r="H74" s="119" t="s">
        <v>1403</v>
      </c>
      <c r="L74" s="149">
        <v>0</v>
      </c>
      <c r="M74" s="149">
        <v>0</v>
      </c>
      <c r="N74" s="149">
        <v>0</v>
      </c>
      <c r="O74" s="149">
        <v>0</v>
      </c>
      <c r="P74" s="149">
        <v>0</v>
      </c>
      <c r="Q74" s="149">
        <v>0</v>
      </c>
      <c r="R74" s="149">
        <v>20</v>
      </c>
      <c r="S74" s="149">
        <v>20</v>
      </c>
      <c r="T74" s="149">
        <v>20</v>
      </c>
      <c r="U74" s="149">
        <v>20</v>
      </c>
      <c r="V74" s="149">
        <v>20</v>
      </c>
      <c r="W74" s="149">
        <v>20</v>
      </c>
      <c r="X74" s="149">
        <v>20</v>
      </c>
      <c r="Y74" s="149">
        <v>20</v>
      </c>
      <c r="Z74" s="149">
        <v>20</v>
      </c>
      <c r="AA74" s="149">
        <v>20</v>
      </c>
      <c r="AB74" s="149">
        <v>20</v>
      </c>
      <c r="AC74" s="149">
        <v>20</v>
      </c>
      <c r="AD74" s="149">
        <v>20</v>
      </c>
      <c r="AE74" s="149">
        <v>20</v>
      </c>
    </row>
    <row r="75" spans="2:31" x14ac:dyDescent="0.35">
      <c r="B75" s="115" t="s">
        <v>3373</v>
      </c>
      <c r="C75" s="115" t="s">
        <v>3266</v>
      </c>
      <c r="D75" s="115" t="s">
        <v>3372</v>
      </c>
      <c r="E75" s="115" t="s">
        <v>16</v>
      </c>
      <c r="F75" s="115" t="s">
        <v>3267</v>
      </c>
      <c r="H75" s="119" t="s">
        <v>1403</v>
      </c>
      <c r="L75" s="149">
        <v>0</v>
      </c>
      <c r="M75" s="149">
        <v>0</v>
      </c>
      <c r="N75" s="149">
        <v>0</v>
      </c>
      <c r="O75" s="149">
        <v>0</v>
      </c>
      <c r="P75" s="149">
        <v>0</v>
      </c>
      <c r="Q75" s="149">
        <v>0</v>
      </c>
      <c r="R75" s="149">
        <v>20</v>
      </c>
      <c r="S75" s="149">
        <v>20</v>
      </c>
      <c r="T75" s="149">
        <v>20</v>
      </c>
      <c r="U75" s="149">
        <v>20</v>
      </c>
      <c r="V75" s="149">
        <v>20</v>
      </c>
      <c r="W75" s="149">
        <v>20</v>
      </c>
      <c r="X75" s="149">
        <v>20</v>
      </c>
      <c r="Y75" s="149">
        <v>20</v>
      </c>
      <c r="Z75" s="149">
        <v>20</v>
      </c>
      <c r="AA75" s="149">
        <v>20</v>
      </c>
      <c r="AB75" s="149">
        <v>20</v>
      </c>
      <c r="AC75" s="149">
        <v>20</v>
      </c>
      <c r="AD75" s="149">
        <v>20</v>
      </c>
      <c r="AE75" s="149">
        <v>20</v>
      </c>
    </row>
    <row r="76" spans="2:31" x14ac:dyDescent="0.35">
      <c r="B76" s="115" t="s">
        <v>3374</v>
      </c>
      <c r="C76" s="115" t="s">
        <v>3269</v>
      </c>
      <c r="D76" s="115" t="s">
        <v>3372</v>
      </c>
      <c r="E76" s="115" t="s">
        <v>16</v>
      </c>
      <c r="F76" s="115" t="s">
        <v>3270</v>
      </c>
      <c r="H76" s="119" t="s">
        <v>1403</v>
      </c>
      <c r="L76" s="149">
        <v>0</v>
      </c>
      <c r="M76" s="149">
        <v>0</v>
      </c>
      <c r="N76" s="149">
        <v>0</v>
      </c>
      <c r="O76" s="149">
        <v>0</v>
      </c>
      <c r="P76" s="149">
        <v>0</v>
      </c>
      <c r="Q76" s="149">
        <v>0</v>
      </c>
      <c r="R76" s="149">
        <v>5</v>
      </c>
      <c r="S76" s="149">
        <v>12.5</v>
      </c>
      <c r="T76" s="149">
        <v>20</v>
      </c>
      <c r="U76" s="149">
        <v>27.5</v>
      </c>
      <c r="V76" s="149">
        <v>35</v>
      </c>
      <c r="W76" s="149">
        <v>42.5</v>
      </c>
      <c r="X76" s="149">
        <v>50</v>
      </c>
      <c r="Y76" s="149">
        <v>57.5</v>
      </c>
      <c r="Z76" s="149">
        <v>65</v>
      </c>
      <c r="AA76" s="149">
        <v>72.5</v>
      </c>
      <c r="AB76" s="149">
        <v>80</v>
      </c>
      <c r="AC76" s="149">
        <v>87.5</v>
      </c>
      <c r="AD76" s="149">
        <v>95</v>
      </c>
      <c r="AE76" s="149">
        <v>102.5</v>
      </c>
    </row>
    <row r="77" spans="2:31" x14ac:dyDescent="0.35">
      <c r="B77" s="115" t="s">
        <v>3375</v>
      </c>
      <c r="C77" s="115" t="s">
        <v>3272</v>
      </c>
      <c r="D77" s="115" t="s">
        <v>3372</v>
      </c>
      <c r="E77" s="115" t="s">
        <v>16</v>
      </c>
      <c r="F77" s="115" t="s">
        <v>3273</v>
      </c>
      <c r="H77" s="119" t="s">
        <v>1403</v>
      </c>
      <c r="L77" s="149">
        <v>0</v>
      </c>
      <c r="M77" s="149">
        <v>0</v>
      </c>
      <c r="N77" s="149">
        <v>0</v>
      </c>
      <c r="O77" s="149">
        <v>0</v>
      </c>
      <c r="P77" s="149">
        <v>0</v>
      </c>
      <c r="Q77" s="149">
        <v>0</v>
      </c>
      <c r="R77" s="149">
        <v>0</v>
      </c>
      <c r="S77" s="149">
        <v>0</v>
      </c>
      <c r="T77" s="149">
        <v>0</v>
      </c>
      <c r="U77" s="149">
        <v>0</v>
      </c>
      <c r="V77" s="149">
        <v>0</v>
      </c>
      <c r="W77" s="149">
        <v>0</v>
      </c>
      <c r="X77" s="149">
        <v>0</v>
      </c>
      <c r="Y77" s="149">
        <v>0</v>
      </c>
      <c r="Z77" s="149">
        <v>0</v>
      </c>
      <c r="AA77" s="149">
        <v>0</v>
      </c>
      <c r="AB77" s="149">
        <v>0</v>
      </c>
      <c r="AC77" s="149">
        <v>0</v>
      </c>
      <c r="AD77" s="149">
        <v>0</v>
      </c>
      <c r="AE77" s="149">
        <v>0</v>
      </c>
    </row>
    <row r="78" spans="2:31" x14ac:dyDescent="0.35">
      <c r="B78" s="115" t="s">
        <v>3376</v>
      </c>
      <c r="C78" s="115" t="s">
        <v>3260</v>
      </c>
      <c r="D78" s="115" t="s">
        <v>3377</v>
      </c>
      <c r="E78" s="115" t="s">
        <v>16</v>
      </c>
      <c r="F78" s="115" t="s">
        <v>3263</v>
      </c>
      <c r="H78" s="119" t="s">
        <v>3378</v>
      </c>
      <c r="L78" s="149">
        <v>0</v>
      </c>
      <c r="M78" s="149">
        <v>0</v>
      </c>
      <c r="N78" s="149">
        <v>0</v>
      </c>
      <c r="O78" s="149">
        <v>0</v>
      </c>
      <c r="P78" s="149">
        <v>0</v>
      </c>
      <c r="Q78" s="149">
        <v>0</v>
      </c>
      <c r="R78" s="149">
        <v>19.783999999999999</v>
      </c>
      <c r="S78" s="149">
        <v>19.786000000000001</v>
      </c>
      <c r="T78" s="149">
        <v>19.8</v>
      </c>
      <c r="U78" s="149">
        <v>19.814</v>
      </c>
      <c r="V78" s="149">
        <v>19.835999999999999</v>
      </c>
      <c r="W78" s="149">
        <v>19.847000000000001</v>
      </c>
      <c r="X78" s="149">
        <v>19.856999999999999</v>
      </c>
      <c r="Y78" s="149">
        <v>19.867000000000001</v>
      </c>
      <c r="Z78" s="149">
        <v>19.876000000000001</v>
      </c>
      <c r="AA78" s="149">
        <v>19.884</v>
      </c>
      <c r="AB78" s="149">
        <v>19.890999999999998</v>
      </c>
      <c r="AC78" s="149">
        <v>19.896999999999998</v>
      </c>
      <c r="AD78" s="149">
        <v>19.902999999999999</v>
      </c>
      <c r="AE78" s="149">
        <v>19.908999999999999</v>
      </c>
    </row>
    <row r="79" spans="2:31" x14ac:dyDescent="0.35">
      <c r="B79" s="115" t="s">
        <v>3379</v>
      </c>
      <c r="C79" s="115" t="s">
        <v>3266</v>
      </c>
      <c r="D79" s="115" t="s">
        <v>3377</v>
      </c>
      <c r="E79" s="115" t="s">
        <v>16</v>
      </c>
      <c r="F79" s="115" t="s">
        <v>3267</v>
      </c>
      <c r="H79" s="119" t="s">
        <v>3378</v>
      </c>
      <c r="L79" s="149">
        <v>0</v>
      </c>
      <c r="M79" s="149">
        <v>0</v>
      </c>
      <c r="N79" s="149">
        <v>0</v>
      </c>
      <c r="O79" s="149">
        <v>0</v>
      </c>
      <c r="P79" s="149">
        <v>0</v>
      </c>
      <c r="Q79" s="149">
        <v>0</v>
      </c>
      <c r="R79" s="149">
        <v>19.783999999999999</v>
      </c>
      <c r="S79" s="149">
        <v>19.786000000000001</v>
      </c>
      <c r="T79" s="149">
        <v>19.800999999999998</v>
      </c>
      <c r="U79" s="149">
        <v>19.815000000000001</v>
      </c>
      <c r="V79" s="149">
        <v>19.838000000000001</v>
      </c>
      <c r="W79" s="149">
        <v>19.849</v>
      </c>
      <c r="X79" s="149">
        <v>19.86</v>
      </c>
      <c r="Y79" s="149">
        <v>19.87</v>
      </c>
      <c r="Z79" s="149">
        <v>19.88</v>
      </c>
      <c r="AA79" s="149">
        <v>19.888000000000002</v>
      </c>
      <c r="AB79" s="149">
        <v>19.896000000000001</v>
      </c>
      <c r="AC79" s="149">
        <v>19.904</v>
      </c>
      <c r="AD79" s="149">
        <v>19.91</v>
      </c>
      <c r="AE79" s="149">
        <v>19.917000000000002</v>
      </c>
    </row>
    <row r="80" spans="2:31" x14ac:dyDescent="0.35">
      <c r="B80" s="115" t="s">
        <v>3380</v>
      </c>
      <c r="C80" s="115" t="s">
        <v>3269</v>
      </c>
      <c r="D80" s="115" t="s">
        <v>3377</v>
      </c>
      <c r="E80" s="115" t="s">
        <v>16</v>
      </c>
      <c r="F80" s="115" t="s">
        <v>3270</v>
      </c>
      <c r="H80" s="119" t="s">
        <v>3378</v>
      </c>
      <c r="L80" s="149">
        <v>0</v>
      </c>
      <c r="M80" s="149">
        <v>0</v>
      </c>
      <c r="N80" s="149">
        <v>0</v>
      </c>
      <c r="O80" s="149">
        <v>0</v>
      </c>
      <c r="P80" s="149">
        <v>0</v>
      </c>
      <c r="Q80" s="149">
        <v>0</v>
      </c>
      <c r="R80" s="149">
        <v>0.84199999999999997</v>
      </c>
      <c r="S80" s="149">
        <v>1.931</v>
      </c>
      <c r="T80" s="149">
        <v>2.8069999999999999</v>
      </c>
      <c r="U80" s="149">
        <v>3.4319999999999999</v>
      </c>
      <c r="V80" s="149">
        <v>3.7040000000000002</v>
      </c>
      <c r="W80" s="149">
        <v>4.0430000000000001</v>
      </c>
      <c r="X80" s="149">
        <v>4.2709999999999999</v>
      </c>
      <c r="Y80" s="149">
        <v>4.41</v>
      </c>
      <c r="Z80" s="149">
        <v>4.4800000000000004</v>
      </c>
      <c r="AA80" s="149">
        <v>4.4950000000000001</v>
      </c>
      <c r="AB80" s="149">
        <v>4.4690000000000003</v>
      </c>
      <c r="AC80" s="149">
        <v>4.4119999999999999</v>
      </c>
      <c r="AD80" s="149">
        <v>4.3310000000000004</v>
      </c>
      <c r="AE80" s="149">
        <v>4.2370000000000001</v>
      </c>
    </row>
    <row r="81" spans="2:31" x14ac:dyDescent="0.35">
      <c r="B81" s="115" t="s">
        <v>3381</v>
      </c>
      <c r="C81" s="115" t="s">
        <v>3272</v>
      </c>
      <c r="D81" s="115" t="s">
        <v>3377</v>
      </c>
      <c r="E81" s="115" t="s">
        <v>16</v>
      </c>
      <c r="F81" s="115" t="s">
        <v>3273</v>
      </c>
      <c r="H81" s="119" t="s">
        <v>3378</v>
      </c>
      <c r="L81" s="149">
        <v>0</v>
      </c>
      <c r="M81" s="149">
        <v>0</v>
      </c>
      <c r="N81" s="149">
        <v>0</v>
      </c>
      <c r="O81" s="149">
        <v>0</v>
      </c>
      <c r="P81" s="149">
        <v>0</v>
      </c>
      <c r="Q81" s="149">
        <v>0</v>
      </c>
      <c r="R81" s="149">
        <v>0</v>
      </c>
      <c r="S81" s="149">
        <v>0</v>
      </c>
      <c r="T81" s="149">
        <v>0</v>
      </c>
      <c r="U81" s="149">
        <v>0</v>
      </c>
      <c r="V81" s="149">
        <v>0</v>
      </c>
      <c r="W81" s="149">
        <v>0</v>
      </c>
      <c r="X81" s="149">
        <v>0</v>
      </c>
      <c r="Y81" s="149">
        <v>0</v>
      </c>
      <c r="Z81" s="149">
        <v>0</v>
      </c>
      <c r="AA81" s="149">
        <v>0</v>
      </c>
      <c r="AB81" s="149">
        <v>0</v>
      </c>
      <c r="AC81" s="149">
        <v>0</v>
      </c>
      <c r="AD81" s="149">
        <v>0</v>
      </c>
      <c r="AE81" s="149">
        <v>0</v>
      </c>
    </row>
    <row r="82" spans="2:31" x14ac:dyDescent="0.35">
      <c r="B82" s="115" t="s">
        <v>3382</v>
      </c>
      <c r="C82" s="115" t="s">
        <v>3260</v>
      </c>
      <c r="D82" s="115" t="s">
        <v>3383</v>
      </c>
      <c r="E82" s="115" t="s">
        <v>1852</v>
      </c>
      <c r="F82" s="115" t="s">
        <v>3263</v>
      </c>
      <c r="H82" s="119" t="s">
        <v>3384</v>
      </c>
      <c r="L82" s="149">
        <v>52.2</v>
      </c>
      <c r="M82" s="149">
        <v>56.902999999999999</v>
      </c>
      <c r="N82" s="149">
        <v>67.484999999999999</v>
      </c>
      <c r="O82" s="149">
        <v>72.938000000000002</v>
      </c>
      <c r="P82" s="149">
        <v>75.02</v>
      </c>
      <c r="Q82" s="149">
        <v>77.454999999999998</v>
      </c>
      <c r="R82" s="149">
        <v>80.412000000000006</v>
      </c>
      <c r="S82" s="149">
        <v>83.271000000000001</v>
      </c>
      <c r="T82" s="149">
        <v>85.97</v>
      </c>
      <c r="U82" s="149">
        <v>88.71</v>
      </c>
      <c r="V82" s="149">
        <v>91.478999999999999</v>
      </c>
      <c r="W82" s="149">
        <v>94.296999999999997</v>
      </c>
      <c r="X82" s="149">
        <v>97.164000000000001</v>
      </c>
      <c r="Y82" s="149">
        <v>100.08</v>
      </c>
      <c r="Z82" s="149">
        <v>103.044</v>
      </c>
      <c r="AA82" s="149">
        <v>106.056</v>
      </c>
      <c r="AB82" s="149">
        <v>109.11499999999999</v>
      </c>
      <c r="AC82" s="149">
        <v>112.221</v>
      </c>
      <c r="AD82" s="149">
        <v>115.374</v>
      </c>
      <c r="AE82" s="149">
        <v>118.57299999999999</v>
      </c>
    </row>
    <row r="83" spans="2:31" x14ac:dyDescent="0.35">
      <c r="B83" s="115" t="s">
        <v>3385</v>
      </c>
      <c r="C83" s="115" t="s">
        <v>3266</v>
      </c>
      <c r="D83" s="115" t="s">
        <v>3383</v>
      </c>
      <c r="E83" s="115" t="s">
        <v>1852</v>
      </c>
      <c r="F83" s="115" t="s">
        <v>3267</v>
      </c>
      <c r="H83" s="119" t="s">
        <v>3384</v>
      </c>
      <c r="L83" s="149">
        <v>52.2</v>
      </c>
      <c r="M83" s="149">
        <v>56.902999999999999</v>
      </c>
      <c r="N83" s="149">
        <v>67.484999999999999</v>
      </c>
      <c r="O83" s="149">
        <v>72.938000000000002</v>
      </c>
      <c r="P83" s="149">
        <v>75.02</v>
      </c>
      <c r="Q83" s="149">
        <v>77.454999999999998</v>
      </c>
      <c r="R83" s="149">
        <v>80.412000000000006</v>
      </c>
      <c r="S83" s="149">
        <v>83.271000000000001</v>
      </c>
      <c r="T83" s="149">
        <v>85.97</v>
      </c>
      <c r="U83" s="149">
        <v>88.71</v>
      </c>
      <c r="V83" s="149">
        <v>91.478999999999999</v>
      </c>
      <c r="W83" s="149">
        <v>94.296999999999997</v>
      </c>
      <c r="X83" s="149">
        <v>97.164000000000001</v>
      </c>
      <c r="Y83" s="149">
        <v>100.08</v>
      </c>
      <c r="Z83" s="149">
        <v>103.044</v>
      </c>
      <c r="AA83" s="149">
        <v>106.056</v>
      </c>
      <c r="AB83" s="149">
        <v>109.11499999999999</v>
      </c>
      <c r="AC83" s="149">
        <v>112.221</v>
      </c>
      <c r="AD83" s="149">
        <v>115.374</v>
      </c>
      <c r="AE83" s="149">
        <v>118.57299999999999</v>
      </c>
    </row>
    <row r="84" spans="2:31" x14ac:dyDescent="0.35">
      <c r="B84" s="115" t="s">
        <v>3386</v>
      </c>
      <c r="C84" s="115" t="s">
        <v>3269</v>
      </c>
      <c r="D84" s="115" t="s">
        <v>3383</v>
      </c>
      <c r="E84" s="115" t="s">
        <v>1852</v>
      </c>
      <c r="F84" s="115" t="s">
        <v>3270</v>
      </c>
      <c r="H84" s="119" t="s">
        <v>3384</v>
      </c>
      <c r="L84" s="149">
        <v>52.2</v>
      </c>
      <c r="M84" s="149">
        <v>56.902999999999999</v>
      </c>
      <c r="N84" s="149">
        <v>67.484999999999999</v>
      </c>
      <c r="O84" s="149">
        <v>72.938000000000002</v>
      </c>
      <c r="P84" s="149">
        <v>75.02</v>
      </c>
      <c r="Q84" s="149">
        <v>77.454999999999998</v>
      </c>
      <c r="R84" s="149">
        <v>80.412000000000006</v>
      </c>
      <c r="S84" s="149">
        <v>83.271000000000001</v>
      </c>
      <c r="T84" s="149">
        <v>85.97</v>
      </c>
      <c r="U84" s="149">
        <v>88.71</v>
      </c>
      <c r="V84" s="149">
        <v>91.478999999999999</v>
      </c>
      <c r="W84" s="149">
        <v>94.296999999999997</v>
      </c>
      <c r="X84" s="149">
        <v>97.164000000000001</v>
      </c>
      <c r="Y84" s="149">
        <v>100.08</v>
      </c>
      <c r="Z84" s="149">
        <v>103.044</v>
      </c>
      <c r="AA84" s="149">
        <v>106.056</v>
      </c>
      <c r="AB84" s="149">
        <v>109.11499999999999</v>
      </c>
      <c r="AC84" s="149">
        <v>112.221</v>
      </c>
      <c r="AD84" s="149">
        <v>115.374</v>
      </c>
      <c r="AE84" s="149">
        <v>118.57299999999999</v>
      </c>
    </row>
    <row r="85" spans="2:31" x14ac:dyDescent="0.35">
      <c r="B85" s="115" t="s">
        <v>3387</v>
      </c>
      <c r="C85" s="115" t="s">
        <v>3272</v>
      </c>
      <c r="D85" s="115" t="s">
        <v>3383</v>
      </c>
      <c r="E85" s="115" t="s">
        <v>1852</v>
      </c>
      <c r="F85" s="115" t="s">
        <v>3273</v>
      </c>
      <c r="H85" s="119" t="s">
        <v>3384</v>
      </c>
      <c r="L85" s="149">
        <v>52.2</v>
      </c>
      <c r="M85" s="149">
        <v>56.902999999999999</v>
      </c>
      <c r="N85" s="149">
        <v>67.484999999999999</v>
      </c>
      <c r="O85" s="149">
        <v>72.938000000000002</v>
      </c>
      <c r="P85" s="149">
        <v>75.02</v>
      </c>
      <c r="Q85" s="149">
        <v>77.454999999999998</v>
      </c>
      <c r="R85" s="149">
        <v>80.412000000000006</v>
      </c>
      <c r="S85" s="149">
        <v>83.271000000000001</v>
      </c>
      <c r="T85" s="149">
        <v>85.97</v>
      </c>
      <c r="U85" s="149">
        <v>88.71</v>
      </c>
      <c r="V85" s="149">
        <v>91.478999999999999</v>
      </c>
      <c r="W85" s="149">
        <v>94.296999999999997</v>
      </c>
      <c r="X85" s="149">
        <v>97.164000000000001</v>
      </c>
      <c r="Y85" s="149">
        <v>100.08</v>
      </c>
      <c r="Z85" s="149">
        <v>103.044</v>
      </c>
      <c r="AA85" s="149">
        <v>106.056</v>
      </c>
      <c r="AB85" s="149">
        <v>109.11499999999999</v>
      </c>
      <c r="AC85" s="149">
        <v>112.221</v>
      </c>
      <c r="AD85" s="149">
        <v>115.374</v>
      </c>
      <c r="AE85" s="149">
        <v>118.57299999999999</v>
      </c>
    </row>
    <row r="86" spans="2:31" x14ac:dyDescent="0.35">
      <c r="B86" s="115" t="s">
        <v>3388</v>
      </c>
      <c r="C86" s="115" t="s">
        <v>3260</v>
      </c>
      <c r="D86" s="115" t="s">
        <v>3389</v>
      </c>
      <c r="E86" s="115" t="s">
        <v>1852</v>
      </c>
      <c r="F86" s="115" t="s">
        <v>3263</v>
      </c>
      <c r="H86" s="119" t="s">
        <v>3390</v>
      </c>
      <c r="L86" s="149">
        <v>52.2</v>
      </c>
      <c r="M86" s="149">
        <v>56.902999999999999</v>
      </c>
      <c r="N86" s="149">
        <v>67.484999999999999</v>
      </c>
      <c r="O86" s="149">
        <v>72.938000000000002</v>
      </c>
      <c r="P86" s="149">
        <v>75.02</v>
      </c>
      <c r="Q86" s="149">
        <v>77.454999999999998</v>
      </c>
      <c r="R86" s="149">
        <v>68.415000000000006</v>
      </c>
      <c r="S86" s="149">
        <v>71.459999999999994</v>
      </c>
      <c r="T86" s="149">
        <v>74.015000000000001</v>
      </c>
      <c r="U86" s="149">
        <v>76.510999999999996</v>
      </c>
      <c r="V86" s="149">
        <v>79.001999999999995</v>
      </c>
      <c r="W86" s="149">
        <v>81.600999999999999</v>
      </c>
      <c r="X86" s="149">
        <v>84.373999999999995</v>
      </c>
      <c r="Y86" s="149">
        <v>87.287999999999997</v>
      </c>
      <c r="Z86" s="149">
        <v>90.378</v>
      </c>
      <c r="AA86" s="149">
        <v>93.718000000000004</v>
      </c>
      <c r="AB86" s="149">
        <v>97.298000000000002</v>
      </c>
      <c r="AC86" s="149">
        <v>101.117</v>
      </c>
      <c r="AD86" s="149">
        <v>105.121</v>
      </c>
      <c r="AE86" s="149">
        <v>109.29</v>
      </c>
    </row>
    <row r="87" spans="2:31" x14ac:dyDescent="0.35">
      <c r="B87" s="115" t="s">
        <v>3391</v>
      </c>
      <c r="C87" s="115" t="s">
        <v>3266</v>
      </c>
      <c r="D87" s="115" t="s">
        <v>3389</v>
      </c>
      <c r="E87" s="115" t="s">
        <v>1852</v>
      </c>
      <c r="F87" s="115" t="s">
        <v>3267</v>
      </c>
      <c r="H87" s="119" t="s">
        <v>3390</v>
      </c>
      <c r="L87" s="149">
        <v>52.2</v>
      </c>
      <c r="M87" s="149">
        <v>56.902999999999999</v>
      </c>
      <c r="N87" s="149">
        <v>67.484999999999999</v>
      </c>
      <c r="O87" s="149">
        <v>72.938000000000002</v>
      </c>
      <c r="P87" s="149">
        <v>75.02</v>
      </c>
      <c r="Q87" s="149">
        <v>77.454999999999998</v>
      </c>
      <c r="R87" s="149">
        <v>68.415000000000006</v>
      </c>
      <c r="S87" s="149">
        <v>71.165000000000006</v>
      </c>
      <c r="T87" s="149">
        <v>73.406999999999996</v>
      </c>
      <c r="U87" s="149">
        <v>75.62</v>
      </c>
      <c r="V87" s="149">
        <v>77.837999999999994</v>
      </c>
      <c r="W87" s="149">
        <v>80.12</v>
      </c>
      <c r="X87" s="149">
        <v>82.451999999999998</v>
      </c>
      <c r="Y87" s="149">
        <v>84.828999999999994</v>
      </c>
      <c r="Z87" s="149">
        <v>87.278000000000006</v>
      </c>
      <c r="AA87" s="149">
        <v>89.807000000000002</v>
      </c>
      <c r="AB87" s="149">
        <v>92.382000000000005</v>
      </c>
      <c r="AC87" s="149">
        <v>95.015000000000001</v>
      </c>
      <c r="AD87" s="149">
        <v>97.691000000000003</v>
      </c>
      <c r="AE87" s="149">
        <v>100.43</v>
      </c>
    </row>
    <row r="88" spans="2:31" x14ac:dyDescent="0.35">
      <c r="B88" s="115" t="s">
        <v>3392</v>
      </c>
      <c r="C88" s="115" t="s">
        <v>3269</v>
      </c>
      <c r="D88" s="115" t="s">
        <v>3389</v>
      </c>
      <c r="E88" s="115" t="s">
        <v>1852</v>
      </c>
      <c r="F88" s="115" t="s">
        <v>3270</v>
      </c>
      <c r="H88" s="119" t="s">
        <v>3390</v>
      </c>
      <c r="L88" s="149">
        <v>52.2</v>
      </c>
      <c r="M88" s="149">
        <v>56.902999999999999</v>
      </c>
      <c r="N88" s="149">
        <v>67.484999999999999</v>
      </c>
      <c r="O88" s="149">
        <v>72.938000000000002</v>
      </c>
      <c r="P88" s="149">
        <v>75.02</v>
      </c>
      <c r="Q88" s="149">
        <v>77.454999999999998</v>
      </c>
      <c r="R88" s="149">
        <v>78.14</v>
      </c>
      <c r="S88" s="149">
        <v>77.872</v>
      </c>
      <c r="T88" s="149">
        <v>77.707999999999998</v>
      </c>
      <c r="U88" s="149">
        <v>76.436000000000007</v>
      </c>
      <c r="V88" s="149">
        <v>75.021000000000001</v>
      </c>
      <c r="W88" s="149">
        <v>74.06</v>
      </c>
      <c r="X88" s="149">
        <v>73.435000000000002</v>
      </c>
      <c r="Y88" s="149">
        <v>73.049000000000007</v>
      </c>
      <c r="Z88" s="149">
        <v>72.87</v>
      </c>
      <c r="AA88" s="149">
        <v>72.853999999999999</v>
      </c>
      <c r="AB88" s="149">
        <v>72.988</v>
      </c>
      <c r="AC88" s="149">
        <v>73.254999999999995</v>
      </c>
      <c r="AD88" s="149">
        <v>73.632999999999996</v>
      </c>
      <c r="AE88" s="149">
        <v>74.106999999999999</v>
      </c>
    </row>
    <row r="89" spans="2:31" x14ac:dyDescent="0.35">
      <c r="B89" s="115" t="s">
        <v>3393</v>
      </c>
      <c r="C89" s="115" t="s">
        <v>3272</v>
      </c>
      <c r="D89" s="115" t="s">
        <v>3389</v>
      </c>
      <c r="E89" s="115" t="s">
        <v>1852</v>
      </c>
      <c r="F89" s="115" t="s">
        <v>3273</v>
      </c>
      <c r="H89" s="119" t="s">
        <v>3390</v>
      </c>
      <c r="L89" s="149">
        <v>52.2</v>
      </c>
      <c r="M89" s="149">
        <v>56.902999999999999</v>
      </c>
      <c r="N89" s="149">
        <v>67.484999999999999</v>
      </c>
      <c r="O89" s="149">
        <v>72.938000000000002</v>
      </c>
      <c r="P89" s="149">
        <v>75.02</v>
      </c>
      <c r="Q89" s="149">
        <v>77.454999999999998</v>
      </c>
      <c r="R89" s="149">
        <v>80.412000000000006</v>
      </c>
      <c r="S89" s="149">
        <v>83.305000000000007</v>
      </c>
      <c r="T89" s="149">
        <v>86.076999999999998</v>
      </c>
      <c r="U89" s="149">
        <v>88.921000000000006</v>
      </c>
      <c r="V89" s="149">
        <v>91.831000000000003</v>
      </c>
      <c r="W89" s="149">
        <v>94.87</v>
      </c>
      <c r="X89" s="149">
        <v>98.07</v>
      </c>
      <c r="Y89" s="149">
        <v>101.562</v>
      </c>
      <c r="Z89" s="149">
        <v>105.486</v>
      </c>
      <c r="AA89" s="149">
        <v>110.08499999999999</v>
      </c>
      <c r="AB89" s="149">
        <v>115.65600000000001</v>
      </c>
      <c r="AC89" s="149">
        <v>122.614</v>
      </c>
      <c r="AD89" s="149">
        <v>131.55000000000001</v>
      </c>
      <c r="AE89" s="149">
        <v>140.744</v>
      </c>
    </row>
    <row r="90" spans="2:31" x14ac:dyDescent="0.35">
      <c r="B90" s="115" t="s">
        <v>3394</v>
      </c>
      <c r="C90" s="115" t="s">
        <v>3260</v>
      </c>
      <c r="D90" s="115" t="s">
        <v>3395</v>
      </c>
      <c r="E90" s="115" t="s">
        <v>1852</v>
      </c>
      <c r="F90" s="115" t="s">
        <v>3263</v>
      </c>
      <c r="H90" s="119" t="s">
        <v>3396</v>
      </c>
      <c r="L90" s="149">
        <v>400.91199999999998</v>
      </c>
      <c r="M90" s="149">
        <v>417.87799999999999</v>
      </c>
      <c r="N90" s="149">
        <v>450.28</v>
      </c>
      <c r="O90" s="149">
        <v>474.66800000000001</v>
      </c>
      <c r="P90" s="149">
        <v>488.83699999999999</v>
      </c>
      <c r="Q90" s="149">
        <v>507.334</v>
      </c>
      <c r="R90" s="149">
        <v>531.74699999999996</v>
      </c>
      <c r="S90" s="149">
        <v>560.63599999999997</v>
      </c>
      <c r="T90" s="149">
        <v>594.15599999999995</v>
      </c>
      <c r="U90" s="149">
        <v>637.81200000000001</v>
      </c>
      <c r="V90" s="149">
        <v>701.79399999999998</v>
      </c>
      <c r="W90" s="149">
        <v>772.31500000000005</v>
      </c>
      <c r="X90" s="149">
        <v>835.74800000000005</v>
      </c>
      <c r="Y90" s="149">
        <v>906.16600000000005</v>
      </c>
      <c r="Z90" s="149">
        <v>983.29399999999998</v>
      </c>
      <c r="AA90" s="149">
        <v>1067.761</v>
      </c>
      <c r="AB90" s="149">
        <v>1160.0530000000001</v>
      </c>
      <c r="AC90" s="149">
        <v>1260.6389999999999</v>
      </c>
      <c r="AD90" s="149">
        <v>1370.0440000000001</v>
      </c>
      <c r="AE90" s="149">
        <v>1487.8579999999999</v>
      </c>
    </row>
    <row r="91" spans="2:31" x14ac:dyDescent="0.35">
      <c r="B91" s="115" t="s">
        <v>3397</v>
      </c>
      <c r="C91" s="115" t="s">
        <v>3266</v>
      </c>
      <c r="D91" s="115" t="s">
        <v>3395</v>
      </c>
      <c r="E91" s="115" t="s">
        <v>1852</v>
      </c>
      <c r="F91" s="115" t="s">
        <v>3267</v>
      </c>
      <c r="H91" s="119" t="s">
        <v>3396</v>
      </c>
      <c r="L91" s="149">
        <v>400.91199999999998</v>
      </c>
      <c r="M91" s="149">
        <v>417.87799999999999</v>
      </c>
      <c r="N91" s="149">
        <v>450.28</v>
      </c>
      <c r="O91" s="149">
        <v>474.66800000000001</v>
      </c>
      <c r="P91" s="149">
        <v>488.83699999999999</v>
      </c>
      <c r="Q91" s="149">
        <v>507.334</v>
      </c>
      <c r="R91" s="149">
        <v>531.74699999999996</v>
      </c>
      <c r="S91" s="149">
        <v>560.63599999999997</v>
      </c>
      <c r="T91" s="149">
        <v>594.15599999999995</v>
      </c>
      <c r="U91" s="149">
        <v>637.81200000000001</v>
      </c>
      <c r="V91" s="149">
        <v>701.79399999999998</v>
      </c>
      <c r="W91" s="149">
        <v>772.31500000000005</v>
      </c>
      <c r="X91" s="149">
        <v>835.74800000000005</v>
      </c>
      <c r="Y91" s="149">
        <v>906.16600000000005</v>
      </c>
      <c r="Z91" s="149">
        <v>983.29399999999998</v>
      </c>
      <c r="AA91" s="149">
        <v>1067.761</v>
      </c>
      <c r="AB91" s="149">
        <v>1160.0530000000001</v>
      </c>
      <c r="AC91" s="149">
        <v>1260.6389999999999</v>
      </c>
      <c r="AD91" s="149">
        <v>1370.0440000000001</v>
      </c>
      <c r="AE91" s="149">
        <v>1487.8579999999999</v>
      </c>
    </row>
    <row r="92" spans="2:31" x14ac:dyDescent="0.35">
      <c r="B92" s="115" t="s">
        <v>3398</v>
      </c>
      <c r="C92" s="115" t="s">
        <v>3269</v>
      </c>
      <c r="D92" s="115" t="s">
        <v>3395</v>
      </c>
      <c r="E92" s="115" t="s">
        <v>1852</v>
      </c>
      <c r="F92" s="115" t="s">
        <v>3270</v>
      </c>
      <c r="H92" s="119" t="s">
        <v>3396</v>
      </c>
      <c r="L92" s="149">
        <v>400.91199999999998</v>
      </c>
      <c r="M92" s="149">
        <v>417.87799999999999</v>
      </c>
      <c r="N92" s="149">
        <v>450.28</v>
      </c>
      <c r="O92" s="149">
        <v>474.66800000000001</v>
      </c>
      <c r="P92" s="149">
        <v>488.83699999999999</v>
      </c>
      <c r="Q92" s="149">
        <v>507.334</v>
      </c>
      <c r="R92" s="149">
        <v>531.74699999999996</v>
      </c>
      <c r="S92" s="149">
        <v>560.63599999999997</v>
      </c>
      <c r="T92" s="149">
        <v>594.15599999999995</v>
      </c>
      <c r="U92" s="149">
        <v>637.81200000000001</v>
      </c>
      <c r="V92" s="149">
        <v>701.79399999999998</v>
      </c>
      <c r="W92" s="149">
        <v>772.31500000000005</v>
      </c>
      <c r="X92" s="149">
        <v>835.74800000000005</v>
      </c>
      <c r="Y92" s="149">
        <v>906.16600000000005</v>
      </c>
      <c r="Z92" s="149">
        <v>983.29399999999998</v>
      </c>
      <c r="AA92" s="149">
        <v>1067.761</v>
      </c>
      <c r="AB92" s="149">
        <v>1160.0530000000001</v>
      </c>
      <c r="AC92" s="149">
        <v>1260.6389999999999</v>
      </c>
      <c r="AD92" s="149">
        <v>1370.0440000000001</v>
      </c>
      <c r="AE92" s="149">
        <v>1487.8579999999999</v>
      </c>
    </row>
    <row r="93" spans="2:31" x14ac:dyDescent="0.35">
      <c r="B93" s="115" t="s">
        <v>3399</v>
      </c>
      <c r="C93" s="115" t="s">
        <v>3272</v>
      </c>
      <c r="D93" s="115" t="s">
        <v>3395</v>
      </c>
      <c r="E93" s="115" t="s">
        <v>1852</v>
      </c>
      <c r="F93" s="115" t="s">
        <v>3273</v>
      </c>
      <c r="H93" s="119" t="s">
        <v>3396</v>
      </c>
      <c r="L93" s="149">
        <v>400.91199999999998</v>
      </c>
      <c r="M93" s="149">
        <v>417.87799999999999</v>
      </c>
      <c r="N93" s="149">
        <v>450.28</v>
      </c>
      <c r="O93" s="149">
        <v>474.66800000000001</v>
      </c>
      <c r="P93" s="149">
        <v>488.83699999999999</v>
      </c>
      <c r="Q93" s="149">
        <v>507.334</v>
      </c>
      <c r="R93" s="149">
        <v>531.74699999999996</v>
      </c>
      <c r="S93" s="149">
        <v>560.63599999999997</v>
      </c>
      <c r="T93" s="149">
        <v>594.15599999999995</v>
      </c>
      <c r="U93" s="149">
        <v>637.81200000000001</v>
      </c>
      <c r="V93" s="149">
        <v>701.79399999999998</v>
      </c>
      <c r="W93" s="149">
        <v>772.31500000000005</v>
      </c>
      <c r="X93" s="149">
        <v>835.74800000000005</v>
      </c>
      <c r="Y93" s="149">
        <v>906.16600000000005</v>
      </c>
      <c r="Z93" s="149">
        <v>983.29399999999998</v>
      </c>
      <c r="AA93" s="149">
        <v>1067.761</v>
      </c>
      <c r="AB93" s="149">
        <v>1160.0530000000001</v>
      </c>
      <c r="AC93" s="149">
        <v>1260.6389999999999</v>
      </c>
      <c r="AD93" s="149">
        <v>1370.0440000000001</v>
      </c>
      <c r="AE93" s="149">
        <v>1487.8579999999999</v>
      </c>
    </row>
    <row r="94" spans="2:31" x14ac:dyDescent="0.35">
      <c r="B94" s="115" t="s">
        <v>3400</v>
      </c>
      <c r="C94" s="115" t="s">
        <v>3260</v>
      </c>
      <c r="D94" s="115" t="s">
        <v>3401</v>
      </c>
      <c r="E94" s="115" t="s">
        <v>1852</v>
      </c>
      <c r="F94" s="115" t="s">
        <v>3263</v>
      </c>
      <c r="H94" s="119" t="s">
        <v>3402</v>
      </c>
      <c r="L94" s="149">
        <v>400.91199999999998</v>
      </c>
      <c r="M94" s="149">
        <v>417.779</v>
      </c>
      <c r="N94" s="149">
        <v>450.16500000000002</v>
      </c>
      <c r="O94" s="149">
        <v>474.55700000000002</v>
      </c>
      <c r="P94" s="149">
        <v>488.72800000000001</v>
      </c>
      <c r="Q94" s="149">
        <v>507.15600000000001</v>
      </c>
      <c r="R94" s="149">
        <v>497.15</v>
      </c>
      <c r="S94" s="149">
        <v>517.96299999999997</v>
      </c>
      <c r="T94" s="149">
        <v>555.279</v>
      </c>
      <c r="U94" s="149">
        <v>598.30100000000004</v>
      </c>
      <c r="V94" s="149">
        <v>667.41700000000003</v>
      </c>
      <c r="W94" s="149">
        <v>723.178</v>
      </c>
      <c r="X94" s="149">
        <v>784.76800000000003</v>
      </c>
      <c r="Y94" s="149">
        <v>853.19</v>
      </c>
      <c r="Z94" s="149">
        <v>928.76499999999999</v>
      </c>
      <c r="AA94" s="149">
        <v>1012.0069999999999</v>
      </c>
      <c r="AB94" s="149">
        <v>1103.4390000000001</v>
      </c>
      <c r="AC94" s="149">
        <v>1203.5229999999999</v>
      </c>
      <c r="AD94" s="149">
        <v>1312.6610000000001</v>
      </c>
      <c r="AE94" s="149">
        <v>1430.405</v>
      </c>
    </row>
    <row r="95" spans="2:31" x14ac:dyDescent="0.35">
      <c r="B95" s="115" t="s">
        <v>3403</v>
      </c>
      <c r="C95" s="115" t="s">
        <v>3266</v>
      </c>
      <c r="D95" s="115" t="s">
        <v>3401</v>
      </c>
      <c r="E95" s="115" t="s">
        <v>1852</v>
      </c>
      <c r="F95" s="115" t="s">
        <v>3267</v>
      </c>
      <c r="H95" s="119" t="s">
        <v>3402</v>
      </c>
      <c r="L95" s="149">
        <v>400.91199999999998</v>
      </c>
      <c r="M95" s="149">
        <v>417.779</v>
      </c>
      <c r="N95" s="149">
        <v>450.16500000000002</v>
      </c>
      <c r="O95" s="149">
        <v>474.55700000000002</v>
      </c>
      <c r="P95" s="149">
        <v>488.72800000000001</v>
      </c>
      <c r="Q95" s="149">
        <v>507.15600000000001</v>
      </c>
      <c r="R95" s="149">
        <v>497.15</v>
      </c>
      <c r="S95" s="149">
        <v>516.83199999999999</v>
      </c>
      <c r="T95" s="149">
        <v>553.154</v>
      </c>
      <c r="U95" s="149">
        <v>594.93200000000002</v>
      </c>
      <c r="V95" s="149">
        <v>662.98599999999999</v>
      </c>
      <c r="W95" s="149">
        <v>718.69100000000003</v>
      </c>
      <c r="X95" s="149">
        <v>779.16200000000003</v>
      </c>
      <c r="Y95" s="149">
        <v>846.23800000000006</v>
      </c>
      <c r="Z95" s="149">
        <v>920.21900000000005</v>
      </c>
      <c r="AA95" s="149">
        <v>1001.454</v>
      </c>
      <c r="AB95" s="149">
        <v>1090.415</v>
      </c>
      <c r="AC95" s="149">
        <v>1187.5920000000001</v>
      </c>
      <c r="AD95" s="149">
        <v>1293.482</v>
      </c>
      <c r="AE95" s="149">
        <v>1407.72</v>
      </c>
    </row>
    <row r="96" spans="2:31" x14ac:dyDescent="0.35">
      <c r="B96" s="115" t="s">
        <v>3404</v>
      </c>
      <c r="C96" s="115" t="s">
        <v>3269</v>
      </c>
      <c r="D96" s="115" t="s">
        <v>3401</v>
      </c>
      <c r="E96" s="115" t="s">
        <v>1852</v>
      </c>
      <c r="F96" s="115" t="s">
        <v>3270</v>
      </c>
      <c r="H96" s="119" t="s">
        <v>3402</v>
      </c>
      <c r="L96" s="149">
        <v>400.91199999999998</v>
      </c>
      <c r="M96" s="149">
        <v>417.87400000000002</v>
      </c>
      <c r="N96" s="149">
        <v>450.27499999999998</v>
      </c>
      <c r="O96" s="149">
        <v>474.66300000000001</v>
      </c>
      <c r="P96" s="149">
        <v>488.83300000000003</v>
      </c>
      <c r="Q96" s="149">
        <v>507.29399999999998</v>
      </c>
      <c r="R96" s="149">
        <v>525.95600000000002</v>
      </c>
      <c r="S96" s="149">
        <v>546.53</v>
      </c>
      <c r="T96" s="149">
        <v>572.61400000000003</v>
      </c>
      <c r="U96" s="149">
        <v>607.83799999999997</v>
      </c>
      <c r="V96" s="149">
        <v>668.18</v>
      </c>
      <c r="W96" s="149">
        <v>713.41800000000001</v>
      </c>
      <c r="X96" s="149">
        <v>765.05</v>
      </c>
      <c r="Y96" s="149">
        <v>823.14400000000001</v>
      </c>
      <c r="Z96" s="149">
        <v>887.99400000000003</v>
      </c>
      <c r="AA96" s="149">
        <v>959.81799999999998</v>
      </c>
      <c r="AB96" s="149">
        <v>1039.175</v>
      </c>
      <c r="AC96" s="149">
        <v>1126.569</v>
      </c>
      <c r="AD96" s="149">
        <v>1222.5160000000001</v>
      </c>
      <c r="AE96" s="149">
        <v>1326.681</v>
      </c>
    </row>
    <row r="97" spans="2:31" x14ac:dyDescent="0.35">
      <c r="B97" s="115" t="s">
        <v>3405</v>
      </c>
      <c r="C97" s="115" t="s">
        <v>3272</v>
      </c>
      <c r="D97" s="115" t="s">
        <v>3401</v>
      </c>
      <c r="E97" s="115" t="s">
        <v>1852</v>
      </c>
      <c r="F97" s="115" t="s">
        <v>3273</v>
      </c>
      <c r="H97" s="119" t="s">
        <v>3402</v>
      </c>
      <c r="L97" s="149">
        <v>400.91199999999998</v>
      </c>
      <c r="M97" s="149">
        <v>417.87799999999999</v>
      </c>
      <c r="N97" s="149">
        <v>450.28</v>
      </c>
      <c r="O97" s="149">
        <v>474.66800000000001</v>
      </c>
      <c r="P97" s="149">
        <v>488.83699999999999</v>
      </c>
      <c r="Q97" s="149">
        <v>507.334</v>
      </c>
      <c r="R97" s="149">
        <v>531.74699999999996</v>
      </c>
      <c r="S97" s="149">
        <v>554.16099999999994</v>
      </c>
      <c r="T97" s="149">
        <v>584.53899999999999</v>
      </c>
      <c r="U97" s="149">
        <v>625.25900000000001</v>
      </c>
      <c r="V97" s="149">
        <v>679.52499999999998</v>
      </c>
      <c r="W97" s="149">
        <v>752.91800000000001</v>
      </c>
      <c r="X97" s="149">
        <v>812.11800000000005</v>
      </c>
      <c r="Y97" s="149">
        <v>877.48900000000003</v>
      </c>
      <c r="Z97" s="149">
        <v>949.23500000000001</v>
      </c>
      <c r="AA97" s="149">
        <v>1028.2429999999999</v>
      </c>
      <c r="AB97" s="149">
        <v>1115.5139999999999</v>
      </c>
      <c r="AC97" s="149">
        <v>1212.299</v>
      </c>
      <c r="AD97" s="149">
        <v>1320.2629999999999</v>
      </c>
      <c r="AE97" s="149">
        <v>1435.0740000000001</v>
      </c>
    </row>
    <row r="98" spans="2:31" x14ac:dyDescent="0.35">
      <c r="B98" s="115" t="s">
        <v>3406</v>
      </c>
      <c r="C98" s="115" t="s">
        <v>3260</v>
      </c>
      <c r="D98" s="115" t="s">
        <v>3407</v>
      </c>
      <c r="E98" s="115" t="s">
        <v>3408</v>
      </c>
      <c r="F98" s="115" t="s">
        <v>3263</v>
      </c>
      <c r="H98" s="119" t="s">
        <v>3409</v>
      </c>
      <c r="L98" s="149">
        <v>0</v>
      </c>
      <c r="M98" s="149">
        <v>0</v>
      </c>
      <c r="N98" s="149">
        <v>0</v>
      </c>
      <c r="O98" s="149">
        <v>0</v>
      </c>
      <c r="P98" s="149">
        <v>0</v>
      </c>
      <c r="Q98" s="149">
        <v>0</v>
      </c>
      <c r="R98" s="149">
        <v>0.15</v>
      </c>
      <c r="S98" s="149">
        <v>0.15</v>
      </c>
      <c r="T98" s="149">
        <v>0.16</v>
      </c>
      <c r="U98" s="149">
        <v>0.16</v>
      </c>
      <c r="V98" s="149">
        <v>0.16</v>
      </c>
      <c r="W98" s="149">
        <v>0.17</v>
      </c>
      <c r="X98" s="149">
        <v>0.17</v>
      </c>
      <c r="Y98" s="149">
        <v>0.17</v>
      </c>
      <c r="Z98" s="149">
        <v>0.18</v>
      </c>
      <c r="AA98" s="149">
        <v>0.18</v>
      </c>
      <c r="AB98" s="149">
        <v>0.18</v>
      </c>
      <c r="AC98" s="149">
        <v>0.19</v>
      </c>
      <c r="AD98" s="149">
        <v>0.19</v>
      </c>
      <c r="AE98" s="149">
        <v>0.2</v>
      </c>
    </row>
    <row r="99" spans="2:31" x14ac:dyDescent="0.35">
      <c r="B99" s="115" t="s">
        <v>3410</v>
      </c>
      <c r="C99" s="115" t="s">
        <v>3266</v>
      </c>
      <c r="D99" s="115" t="s">
        <v>3407</v>
      </c>
      <c r="E99" s="115" t="s">
        <v>3408</v>
      </c>
      <c r="F99" s="115" t="s">
        <v>3267</v>
      </c>
      <c r="H99" s="119" t="s">
        <v>3409</v>
      </c>
      <c r="L99" s="149">
        <v>0</v>
      </c>
      <c r="M99" s="149">
        <v>0</v>
      </c>
      <c r="N99" s="149">
        <v>0</v>
      </c>
      <c r="O99" s="149">
        <v>0</v>
      </c>
      <c r="P99" s="149">
        <v>0</v>
      </c>
      <c r="Q99" s="149">
        <v>0</v>
      </c>
      <c r="R99" s="149">
        <v>0.15</v>
      </c>
      <c r="S99" s="149">
        <v>0.15</v>
      </c>
      <c r="T99" s="149">
        <v>0.16</v>
      </c>
      <c r="U99" s="149">
        <v>0.16</v>
      </c>
      <c r="V99" s="149">
        <v>0.16</v>
      </c>
      <c r="W99" s="149">
        <v>0.16</v>
      </c>
      <c r="X99" s="149">
        <v>0.17</v>
      </c>
      <c r="Y99" s="149">
        <v>0.17</v>
      </c>
      <c r="Z99" s="149">
        <v>0.17</v>
      </c>
      <c r="AA99" s="149">
        <v>0.18</v>
      </c>
      <c r="AB99" s="149">
        <v>0.18</v>
      </c>
      <c r="AC99" s="149">
        <v>0.18</v>
      </c>
      <c r="AD99" s="149">
        <v>0.18</v>
      </c>
      <c r="AE99" s="149">
        <v>0.19</v>
      </c>
    </row>
    <row r="100" spans="2:31" x14ac:dyDescent="0.35">
      <c r="B100" s="115" t="s">
        <v>3411</v>
      </c>
      <c r="C100" s="115" t="s">
        <v>3269</v>
      </c>
      <c r="D100" s="115" t="s">
        <v>3407</v>
      </c>
      <c r="E100" s="115" t="s">
        <v>3408</v>
      </c>
      <c r="F100" s="115" t="s">
        <v>3270</v>
      </c>
      <c r="H100" s="119" t="s">
        <v>3409</v>
      </c>
      <c r="L100" s="149">
        <v>0</v>
      </c>
      <c r="M100" s="149">
        <v>0</v>
      </c>
      <c r="N100" s="149">
        <v>0</v>
      </c>
      <c r="O100" s="149">
        <v>0</v>
      </c>
      <c r="P100" s="149">
        <v>0</v>
      </c>
      <c r="Q100" s="149">
        <v>0</v>
      </c>
      <c r="R100" s="149">
        <v>0.04</v>
      </c>
      <c r="S100" s="149">
        <v>0.1</v>
      </c>
      <c r="T100" s="149">
        <v>0.16</v>
      </c>
      <c r="U100" s="149">
        <v>0.21</v>
      </c>
      <c r="V100" s="149">
        <v>0.26</v>
      </c>
      <c r="W100" s="149">
        <v>0.31</v>
      </c>
      <c r="X100" s="149">
        <v>0.35</v>
      </c>
      <c r="Y100" s="149">
        <v>0.4</v>
      </c>
      <c r="Z100" s="149">
        <v>0.45</v>
      </c>
      <c r="AA100" s="149">
        <v>0.49</v>
      </c>
      <c r="AB100" s="149">
        <v>0.54</v>
      </c>
      <c r="AC100" s="149">
        <v>0.57999999999999996</v>
      </c>
      <c r="AD100" s="149">
        <v>0.62</v>
      </c>
      <c r="AE100" s="149">
        <v>0.67</v>
      </c>
    </row>
    <row r="101" spans="2:31" x14ac:dyDescent="0.35">
      <c r="B101" s="115" t="s">
        <v>3412</v>
      </c>
      <c r="C101" s="115" t="s">
        <v>3272</v>
      </c>
      <c r="D101" s="115" t="s">
        <v>3407</v>
      </c>
      <c r="E101" s="115" t="s">
        <v>3408</v>
      </c>
      <c r="F101" s="115" t="s">
        <v>3273</v>
      </c>
      <c r="H101" s="119" t="s">
        <v>3409</v>
      </c>
      <c r="L101" s="149">
        <v>0</v>
      </c>
      <c r="M101" s="149">
        <v>0</v>
      </c>
      <c r="N101" s="149">
        <v>0</v>
      </c>
      <c r="O101" s="149">
        <v>0</v>
      </c>
      <c r="P101" s="149">
        <v>0</v>
      </c>
      <c r="Q101" s="149">
        <v>0</v>
      </c>
      <c r="R101" s="149">
        <v>0</v>
      </c>
      <c r="S101" s="149">
        <v>0</v>
      </c>
      <c r="T101" s="149">
        <v>0</v>
      </c>
      <c r="U101" s="149">
        <v>0</v>
      </c>
      <c r="V101" s="149">
        <v>0</v>
      </c>
      <c r="W101" s="149">
        <v>0</v>
      </c>
      <c r="X101" s="149">
        <v>0</v>
      </c>
      <c r="Y101" s="149">
        <v>0</v>
      </c>
      <c r="Z101" s="149">
        <v>0</v>
      </c>
      <c r="AA101" s="149">
        <v>0</v>
      </c>
      <c r="AB101" s="149">
        <v>0</v>
      </c>
      <c r="AC101" s="149">
        <v>0</v>
      </c>
      <c r="AD101" s="149">
        <v>0</v>
      </c>
      <c r="AE101" s="149">
        <v>0</v>
      </c>
    </row>
    <row r="102" spans="2:31" x14ac:dyDescent="0.35">
      <c r="B102" s="115" t="s">
        <v>3413</v>
      </c>
      <c r="C102" s="115" t="s">
        <v>3260</v>
      </c>
      <c r="D102" s="115" t="s">
        <v>3414</v>
      </c>
      <c r="E102" s="115" t="s">
        <v>3408</v>
      </c>
      <c r="F102" s="115" t="s">
        <v>3263</v>
      </c>
      <c r="H102" s="119" t="s">
        <v>3415</v>
      </c>
      <c r="L102" s="149">
        <v>0</v>
      </c>
      <c r="M102" s="149">
        <v>0</v>
      </c>
      <c r="N102" s="149">
        <v>0</v>
      </c>
      <c r="O102" s="149">
        <v>0</v>
      </c>
      <c r="P102" s="149">
        <v>0</v>
      </c>
      <c r="Q102" s="149">
        <v>0</v>
      </c>
      <c r="R102" s="149">
        <v>1.33</v>
      </c>
      <c r="S102" s="149">
        <v>1.5</v>
      </c>
      <c r="T102" s="149">
        <v>1.72</v>
      </c>
      <c r="U102" s="149">
        <v>1.99</v>
      </c>
      <c r="V102" s="149">
        <v>2.3199999999999998</v>
      </c>
      <c r="W102" s="149">
        <v>2.7</v>
      </c>
      <c r="X102" s="149">
        <v>3.13</v>
      </c>
      <c r="Y102" s="149">
        <v>3.61</v>
      </c>
      <c r="Z102" s="149">
        <v>4.1399999999999997</v>
      </c>
      <c r="AA102" s="149">
        <v>4.7300000000000004</v>
      </c>
      <c r="AB102" s="149">
        <v>5.37</v>
      </c>
      <c r="AC102" s="149">
        <v>6.06</v>
      </c>
      <c r="AD102" s="149">
        <v>6.81</v>
      </c>
      <c r="AE102" s="149">
        <v>7.6</v>
      </c>
    </row>
    <row r="103" spans="2:31" x14ac:dyDescent="0.35">
      <c r="B103" s="115" t="s">
        <v>3416</v>
      </c>
      <c r="C103" s="115" t="s">
        <v>3266</v>
      </c>
      <c r="D103" s="115" t="s">
        <v>3414</v>
      </c>
      <c r="E103" s="115" t="s">
        <v>3408</v>
      </c>
      <c r="F103" s="115" t="s">
        <v>3267</v>
      </c>
      <c r="H103" s="119" t="s">
        <v>3415</v>
      </c>
      <c r="L103" s="149">
        <v>0</v>
      </c>
      <c r="M103" s="149">
        <v>0</v>
      </c>
      <c r="N103" s="149">
        <v>0</v>
      </c>
      <c r="O103" s="149">
        <v>0</v>
      </c>
      <c r="P103" s="149">
        <v>0</v>
      </c>
      <c r="Q103" s="149">
        <v>0</v>
      </c>
      <c r="R103" s="149">
        <v>1.33</v>
      </c>
      <c r="S103" s="149">
        <v>1.5</v>
      </c>
      <c r="T103" s="149">
        <v>1.71</v>
      </c>
      <c r="U103" s="149">
        <v>1.98</v>
      </c>
      <c r="V103" s="149">
        <v>2.31</v>
      </c>
      <c r="W103" s="149">
        <v>2.69</v>
      </c>
      <c r="X103" s="149">
        <v>3.12</v>
      </c>
      <c r="Y103" s="149">
        <v>3.6</v>
      </c>
      <c r="Z103" s="149">
        <v>4.13</v>
      </c>
      <c r="AA103" s="149">
        <v>4.72</v>
      </c>
      <c r="AB103" s="149">
        <v>5.35</v>
      </c>
      <c r="AC103" s="149">
        <v>6.04</v>
      </c>
      <c r="AD103" s="149">
        <v>6.78</v>
      </c>
      <c r="AE103" s="149">
        <v>7.57</v>
      </c>
    </row>
    <row r="104" spans="2:31" x14ac:dyDescent="0.35">
      <c r="B104" s="115" t="s">
        <v>3417</v>
      </c>
      <c r="C104" s="115" t="s">
        <v>3269</v>
      </c>
      <c r="D104" s="115" t="s">
        <v>3414</v>
      </c>
      <c r="E104" s="115" t="s">
        <v>3408</v>
      </c>
      <c r="F104" s="115" t="s">
        <v>3270</v>
      </c>
      <c r="H104" s="119" t="s">
        <v>3415</v>
      </c>
      <c r="L104" s="149">
        <v>0</v>
      </c>
      <c r="M104" s="149">
        <v>0</v>
      </c>
      <c r="N104" s="149">
        <v>0</v>
      </c>
      <c r="O104" s="149">
        <v>0</v>
      </c>
      <c r="P104" s="149">
        <v>0</v>
      </c>
      <c r="Q104" s="149">
        <v>0</v>
      </c>
      <c r="R104" s="149">
        <v>0.02</v>
      </c>
      <c r="S104" s="149">
        <v>0.04</v>
      </c>
      <c r="T104" s="149">
        <v>7.0000000000000007E-2</v>
      </c>
      <c r="U104" s="149">
        <v>0.08</v>
      </c>
      <c r="V104" s="149">
        <v>0.1</v>
      </c>
      <c r="W104" s="149">
        <v>0.12</v>
      </c>
      <c r="X104" s="149">
        <v>0.13</v>
      </c>
      <c r="Y104" s="149">
        <v>0.15</v>
      </c>
      <c r="Z104" s="149">
        <v>0.16</v>
      </c>
      <c r="AA104" s="149">
        <v>0.18</v>
      </c>
      <c r="AB104" s="149">
        <v>0.19</v>
      </c>
      <c r="AC104" s="149">
        <v>0.2</v>
      </c>
      <c r="AD104" s="149">
        <v>0.21</v>
      </c>
      <c r="AE104" s="149">
        <v>0.22</v>
      </c>
    </row>
    <row r="105" spans="2:31" x14ac:dyDescent="0.35">
      <c r="B105" s="115" t="s">
        <v>3418</v>
      </c>
      <c r="C105" s="115" t="s">
        <v>3272</v>
      </c>
      <c r="D105" s="115" t="s">
        <v>3414</v>
      </c>
      <c r="E105" s="115" t="s">
        <v>3408</v>
      </c>
      <c r="F105" s="115" t="s">
        <v>3273</v>
      </c>
      <c r="H105" s="119" t="s">
        <v>3415</v>
      </c>
      <c r="L105" s="149">
        <v>0</v>
      </c>
      <c r="M105" s="149">
        <v>0</v>
      </c>
      <c r="N105" s="149">
        <v>0</v>
      </c>
      <c r="O105" s="149">
        <v>0</v>
      </c>
      <c r="P105" s="149">
        <v>0</v>
      </c>
      <c r="Q105" s="149">
        <v>0</v>
      </c>
      <c r="R105" s="149">
        <v>0</v>
      </c>
      <c r="S105" s="149">
        <v>0</v>
      </c>
      <c r="T105" s="149">
        <v>0</v>
      </c>
      <c r="U105" s="149">
        <v>0</v>
      </c>
      <c r="V105" s="149">
        <v>0</v>
      </c>
      <c r="W105" s="149">
        <v>0</v>
      </c>
      <c r="X105" s="149">
        <v>0</v>
      </c>
      <c r="Y105" s="149">
        <v>0</v>
      </c>
      <c r="Z105" s="149">
        <v>0</v>
      </c>
      <c r="AA105" s="149">
        <v>0</v>
      </c>
      <c r="AB105" s="149">
        <v>0</v>
      </c>
      <c r="AC105" s="149">
        <v>0</v>
      </c>
      <c r="AD105" s="149">
        <v>0</v>
      </c>
      <c r="AE105" s="149">
        <v>0</v>
      </c>
    </row>
    <row r="106" spans="2:31" x14ac:dyDescent="0.35">
      <c r="B106" s="115" t="s">
        <v>3419</v>
      </c>
      <c r="C106" s="115" t="s">
        <v>3260</v>
      </c>
      <c r="D106" s="115" t="s">
        <v>3420</v>
      </c>
      <c r="E106" s="115" t="s">
        <v>3408</v>
      </c>
      <c r="F106" s="115" t="s">
        <v>3263</v>
      </c>
      <c r="H106" s="119" t="s">
        <v>3421</v>
      </c>
      <c r="L106" s="149">
        <v>0</v>
      </c>
      <c r="M106" s="149">
        <v>0</v>
      </c>
      <c r="N106" s="149">
        <v>0</v>
      </c>
      <c r="O106" s="149">
        <v>0</v>
      </c>
      <c r="P106" s="149">
        <v>0</v>
      </c>
      <c r="Q106" s="149">
        <v>0</v>
      </c>
      <c r="R106" s="149">
        <v>0.47</v>
      </c>
      <c r="S106" s="149">
        <v>0.52</v>
      </c>
      <c r="T106" s="149">
        <v>0.59</v>
      </c>
      <c r="U106" s="149">
        <v>0.67</v>
      </c>
      <c r="V106" s="149">
        <v>0.75</v>
      </c>
      <c r="W106" s="149">
        <v>0.84</v>
      </c>
      <c r="X106" s="149">
        <v>0.93</v>
      </c>
      <c r="Y106" s="149">
        <v>1.02</v>
      </c>
      <c r="Z106" s="149">
        <v>1.1100000000000001</v>
      </c>
      <c r="AA106" s="149">
        <v>1.2</v>
      </c>
      <c r="AB106" s="149">
        <v>1.28</v>
      </c>
      <c r="AC106" s="149">
        <v>1.37</v>
      </c>
      <c r="AD106" s="149">
        <v>1.44</v>
      </c>
      <c r="AE106" s="149">
        <v>1.52</v>
      </c>
    </row>
    <row r="107" spans="2:31" x14ac:dyDescent="0.35">
      <c r="B107" s="115" t="s">
        <v>3422</v>
      </c>
      <c r="C107" s="115" t="s">
        <v>3266</v>
      </c>
      <c r="D107" s="115" t="s">
        <v>3420</v>
      </c>
      <c r="E107" s="115" t="s">
        <v>3408</v>
      </c>
      <c r="F107" s="115" t="s">
        <v>3267</v>
      </c>
      <c r="H107" s="119" t="s">
        <v>3421</v>
      </c>
      <c r="L107" s="149">
        <v>0</v>
      </c>
      <c r="M107" s="149">
        <v>0</v>
      </c>
      <c r="N107" s="149">
        <v>0</v>
      </c>
      <c r="O107" s="149">
        <v>0</v>
      </c>
      <c r="P107" s="149">
        <v>0</v>
      </c>
      <c r="Q107" s="149">
        <v>0</v>
      </c>
      <c r="R107" s="149">
        <v>0.47</v>
      </c>
      <c r="S107" s="149">
        <v>0.52</v>
      </c>
      <c r="T107" s="149">
        <v>0.59</v>
      </c>
      <c r="U107" s="149">
        <v>0.67</v>
      </c>
      <c r="V107" s="149">
        <v>0.75</v>
      </c>
      <c r="W107" s="149">
        <v>0.84</v>
      </c>
      <c r="X107" s="149">
        <v>0.93</v>
      </c>
      <c r="Y107" s="149">
        <v>1.02</v>
      </c>
      <c r="Z107" s="149">
        <v>1.1100000000000001</v>
      </c>
      <c r="AA107" s="149">
        <v>1.2</v>
      </c>
      <c r="AB107" s="149">
        <v>1.28</v>
      </c>
      <c r="AC107" s="149">
        <v>1.37</v>
      </c>
      <c r="AD107" s="149">
        <v>1.44</v>
      </c>
      <c r="AE107" s="149">
        <v>1.52</v>
      </c>
    </row>
    <row r="108" spans="2:31" x14ac:dyDescent="0.35">
      <c r="B108" s="115" t="s">
        <v>3423</v>
      </c>
      <c r="C108" s="115" t="s">
        <v>3269</v>
      </c>
      <c r="D108" s="115" t="s">
        <v>3420</v>
      </c>
      <c r="E108" s="115" t="s">
        <v>3408</v>
      </c>
      <c r="F108" s="115" t="s">
        <v>3270</v>
      </c>
      <c r="H108" s="119" t="s">
        <v>3421</v>
      </c>
      <c r="L108" s="149">
        <v>0</v>
      </c>
      <c r="M108" s="149">
        <v>0</v>
      </c>
      <c r="N108" s="149">
        <v>0</v>
      </c>
      <c r="O108" s="149">
        <v>0</v>
      </c>
      <c r="P108" s="149">
        <v>0</v>
      </c>
      <c r="Q108" s="149">
        <v>0</v>
      </c>
      <c r="R108" s="149">
        <v>0</v>
      </c>
      <c r="S108" s="149">
        <v>0</v>
      </c>
      <c r="T108" s="149">
        <v>0</v>
      </c>
      <c r="U108" s="149">
        <v>0</v>
      </c>
      <c r="V108" s="149">
        <v>0</v>
      </c>
      <c r="W108" s="149">
        <v>0</v>
      </c>
      <c r="X108" s="149">
        <v>0</v>
      </c>
      <c r="Y108" s="149">
        <v>0</v>
      </c>
      <c r="Z108" s="149">
        <v>0</v>
      </c>
      <c r="AA108" s="149">
        <v>0</v>
      </c>
      <c r="AB108" s="149">
        <v>0</v>
      </c>
      <c r="AC108" s="149">
        <v>0</v>
      </c>
      <c r="AD108" s="149">
        <v>0</v>
      </c>
      <c r="AE108" s="149">
        <v>0</v>
      </c>
    </row>
    <row r="109" spans="2:31" x14ac:dyDescent="0.35">
      <c r="B109" s="115" t="s">
        <v>3424</v>
      </c>
      <c r="C109" s="115" t="s">
        <v>3272</v>
      </c>
      <c r="D109" s="115" t="s">
        <v>3420</v>
      </c>
      <c r="E109" s="115" t="s">
        <v>3408</v>
      </c>
      <c r="F109" s="115" t="s">
        <v>3273</v>
      </c>
      <c r="H109" s="119" t="s">
        <v>3421</v>
      </c>
      <c r="L109" s="149">
        <v>0</v>
      </c>
      <c r="M109" s="149">
        <v>0</v>
      </c>
      <c r="N109" s="149">
        <v>0</v>
      </c>
      <c r="O109" s="149">
        <v>0</v>
      </c>
      <c r="P109" s="149">
        <v>0</v>
      </c>
      <c r="Q109" s="149">
        <v>0</v>
      </c>
      <c r="R109" s="149">
        <v>0</v>
      </c>
      <c r="S109" s="149">
        <v>0</v>
      </c>
      <c r="T109" s="149">
        <v>0</v>
      </c>
      <c r="U109" s="149">
        <v>0</v>
      </c>
      <c r="V109" s="149">
        <v>0</v>
      </c>
      <c r="W109" s="149">
        <v>0</v>
      </c>
      <c r="X109" s="149">
        <v>0</v>
      </c>
      <c r="Y109" s="149">
        <v>0</v>
      </c>
      <c r="Z109" s="149">
        <v>0</v>
      </c>
      <c r="AA109" s="149">
        <v>0</v>
      </c>
      <c r="AB109" s="149">
        <v>0</v>
      </c>
      <c r="AC109" s="149">
        <v>0</v>
      </c>
      <c r="AD109" s="149">
        <v>0</v>
      </c>
      <c r="AE109" s="149">
        <v>0</v>
      </c>
    </row>
    <row r="110" spans="2:31" x14ac:dyDescent="0.35">
      <c r="B110" s="115" t="s">
        <v>3425</v>
      </c>
      <c r="C110" s="115" t="s">
        <v>3260</v>
      </c>
      <c r="D110" s="115" t="s">
        <v>3426</v>
      </c>
      <c r="E110" s="115" t="s">
        <v>3408</v>
      </c>
      <c r="F110" s="115" t="s">
        <v>3263</v>
      </c>
      <c r="H110" s="119" t="s">
        <v>3427</v>
      </c>
      <c r="L110" s="149">
        <v>0</v>
      </c>
      <c r="M110" s="149">
        <v>0</v>
      </c>
      <c r="N110" s="149">
        <v>0</v>
      </c>
      <c r="O110" s="149">
        <v>0</v>
      </c>
      <c r="P110" s="149">
        <v>0</v>
      </c>
      <c r="Q110" s="149">
        <v>0</v>
      </c>
      <c r="R110" s="149">
        <v>0.37</v>
      </c>
      <c r="S110" s="149">
        <v>0.39</v>
      </c>
      <c r="T110" s="149">
        <v>0.4</v>
      </c>
      <c r="U110" s="149">
        <v>0.41</v>
      </c>
      <c r="V110" s="149">
        <v>0.42</v>
      </c>
      <c r="W110" s="149">
        <v>0.43</v>
      </c>
      <c r="X110" s="149">
        <v>0.44</v>
      </c>
      <c r="Y110" s="149">
        <v>0.45</v>
      </c>
      <c r="Z110" s="149">
        <v>0.47</v>
      </c>
      <c r="AA110" s="149">
        <v>0.48</v>
      </c>
      <c r="AB110" s="149">
        <v>0.49</v>
      </c>
      <c r="AC110" s="149">
        <v>0.51</v>
      </c>
      <c r="AD110" s="149">
        <v>0.53</v>
      </c>
      <c r="AE110" s="149">
        <v>0.54</v>
      </c>
    </row>
    <row r="111" spans="2:31" x14ac:dyDescent="0.35">
      <c r="B111" s="115" t="s">
        <v>3428</v>
      </c>
      <c r="C111" s="115" t="s">
        <v>3266</v>
      </c>
      <c r="D111" s="115" t="s">
        <v>3426</v>
      </c>
      <c r="E111" s="115" t="s">
        <v>3408</v>
      </c>
      <c r="F111" s="115" t="s">
        <v>3267</v>
      </c>
      <c r="H111" s="119" t="s">
        <v>3427</v>
      </c>
      <c r="L111" s="149">
        <v>0</v>
      </c>
      <c r="M111" s="149">
        <v>0</v>
      </c>
      <c r="N111" s="149">
        <v>0</v>
      </c>
      <c r="O111" s="149">
        <v>0</v>
      </c>
      <c r="P111" s="149">
        <v>0</v>
      </c>
      <c r="Q111" s="149">
        <v>0</v>
      </c>
      <c r="R111" s="149">
        <v>0.37</v>
      </c>
      <c r="S111" s="149">
        <v>0.38</v>
      </c>
      <c r="T111" s="149">
        <v>0.39</v>
      </c>
      <c r="U111" s="149">
        <v>0.4</v>
      </c>
      <c r="V111" s="149">
        <v>0.41</v>
      </c>
      <c r="W111" s="149">
        <v>0.42</v>
      </c>
      <c r="X111" s="149">
        <v>0.43</v>
      </c>
      <c r="Y111" s="149">
        <v>0.44</v>
      </c>
      <c r="Z111" s="149">
        <v>0.45</v>
      </c>
      <c r="AA111" s="149">
        <v>0.46</v>
      </c>
      <c r="AB111" s="149">
        <v>0.47</v>
      </c>
      <c r="AC111" s="149">
        <v>0.49</v>
      </c>
      <c r="AD111" s="149">
        <v>0.5</v>
      </c>
      <c r="AE111" s="149">
        <v>0.51</v>
      </c>
    </row>
    <row r="112" spans="2:31" x14ac:dyDescent="0.35">
      <c r="B112" s="115" t="s">
        <v>3429</v>
      </c>
      <c r="C112" s="115" t="s">
        <v>3269</v>
      </c>
      <c r="D112" s="115" t="s">
        <v>3426</v>
      </c>
      <c r="E112" s="115" t="s">
        <v>3408</v>
      </c>
      <c r="F112" s="115" t="s">
        <v>3270</v>
      </c>
      <c r="H112" s="119" t="s">
        <v>3427</v>
      </c>
      <c r="L112" s="149">
        <v>0</v>
      </c>
      <c r="M112" s="149">
        <v>0</v>
      </c>
      <c r="N112" s="149">
        <v>0</v>
      </c>
      <c r="O112" s="149">
        <v>0</v>
      </c>
      <c r="P112" s="149">
        <v>0</v>
      </c>
      <c r="Q112" s="149">
        <v>0</v>
      </c>
      <c r="R112" s="149">
        <v>0.05</v>
      </c>
      <c r="S112" s="149">
        <v>0.12</v>
      </c>
      <c r="T112" s="149">
        <v>0.18</v>
      </c>
      <c r="U112" s="149">
        <v>0.24</v>
      </c>
      <c r="V112" s="149">
        <v>0.28999999999999998</v>
      </c>
      <c r="W112" s="149">
        <v>0.34</v>
      </c>
      <c r="X112" s="149">
        <v>0.39</v>
      </c>
      <c r="Y112" s="149">
        <v>0.44</v>
      </c>
      <c r="Z112" s="149">
        <v>0.49</v>
      </c>
      <c r="AA112" s="149">
        <v>0.54</v>
      </c>
      <c r="AB112" s="149">
        <v>0.59</v>
      </c>
      <c r="AC112" s="149">
        <v>0.64</v>
      </c>
      <c r="AD112" s="149">
        <v>0.69</v>
      </c>
      <c r="AE112" s="149">
        <v>0.74</v>
      </c>
    </row>
    <row r="113" spans="2:31" x14ac:dyDescent="0.35">
      <c r="B113" s="115" t="s">
        <v>3430</v>
      </c>
      <c r="C113" s="115" t="s">
        <v>3272</v>
      </c>
      <c r="D113" s="115" t="s">
        <v>3426</v>
      </c>
      <c r="E113" s="115" t="s">
        <v>3408</v>
      </c>
      <c r="F113" s="115" t="s">
        <v>3273</v>
      </c>
      <c r="H113" s="119" t="s">
        <v>3427</v>
      </c>
      <c r="L113" s="149">
        <v>0</v>
      </c>
      <c r="M113" s="149">
        <v>0</v>
      </c>
      <c r="N113" s="149">
        <v>0</v>
      </c>
      <c r="O113" s="149">
        <v>0</v>
      </c>
      <c r="P113" s="149">
        <v>0</v>
      </c>
      <c r="Q113" s="149">
        <v>0</v>
      </c>
      <c r="R113" s="149">
        <v>0</v>
      </c>
      <c r="S113" s="149">
        <v>0</v>
      </c>
      <c r="T113" s="149">
        <v>0</v>
      </c>
      <c r="U113" s="149">
        <v>0</v>
      </c>
      <c r="V113" s="149">
        <v>0</v>
      </c>
      <c r="W113" s="149">
        <v>0</v>
      </c>
      <c r="X113" s="149">
        <v>0</v>
      </c>
      <c r="Y113" s="149">
        <v>0</v>
      </c>
      <c r="Z113" s="149">
        <v>0</v>
      </c>
      <c r="AA113" s="149">
        <v>0</v>
      </c>
      <c r="AB113" s="149">
        <v>0</v>
      </c>
      <c r="AC113" s="149">
        <v>0</v>
      </c>
      <c r="AD113" s="149">
        <v>0</v>
      </c>
      <c r="AE113" s="149">
        <v>0</v>
      </c>
    </row>
    <row r="114" spans="2:31" x14ac:dyDescent="0.35">
      <c r="B114" s="115" t="s">
        <v>3431</v>
      </c>
      <c r="C114" s="115" t="s">
        <v>3260</v>
      </c>
      <c r="D114" s="115" t="s">
        <v>3432</v>
      </c>
      <c r="E114" s="115" t="s">
        <v>3408</v>
      </c>
      <c r="F114" s="115" t="s">
        <v>3263</v>
      </c>
      <c r="H114" s="119" t="s">
        <v>3433</v>
      </c>
      <c r="L114" s="149">
        <v>0</v>
      </c>
      <c r="M114" s="149">
        <v>0</v>
      </c>
      <c r="N114" s="149">
        <v>0</v>
      </c>
      <c r="O114" s="149">
        <v>0</v>
      </c>
      <c r="P114" s="149">
        <v>0</v>
      </c>
      <c r="Q114" s="149">
        <v>0</v>
      </c>
      <c r="R114" s="149">
        <v>2.34</v>
      </c>
      <c r="S114" s="149">
        <v>2.38</v>
      </c>
      <c r="T114" s="149">
        <v>2.7</v>
      </c>
      <c r="U114" s="149">
        <v>3.04</v>
      </c>
      <c r="V114" s="149">
        <v>3.71</v>
      </c>
      <c r="W114" s="149">
        <v>4.0199999999999996</v>
      </c>
      <c r="X114" s="149">
        <v>4.38</v>
      </c>
      <c r="Y114" s="149">
        <v>4.79</v>
      </c>
      <c r="Z114" s="149">
        <v>5.26</v>
      </c>
      <c r="AA114" s="149">
        <v>5.81</v>
      </c>
      <c r="AB114" s="149">
        <v>6.42</v>
      </c>
      <c r="AC114" s="149">
        <v>7.13</v>
      </c>
      <c r="AD114" s="149">
        <v>7.92</v>
      </c>
      <c r="AE114" s="149">
        <v>8.7899999999999991</v>
      </c>
    </row>
    <row r="115" spans="2:31" x14ac:dyDescent="0.35">
      <c r="B115" s="115" t="s">
        <v>3434</v>
      </c>
      <c r="C115" s="115" t="s">
        <v>3266</v>
      </c>
      <c r="D115" s="115" t="s">
        <v>3432</v>
      </c>
      <c r="E115" s="115" t="s">
        <v>3408</v>
      </c>
      <c r="F115" s="115" t="s">
        <v>3267</v>
      </c>
      <c r="H115" s="119" t="s">
        <v>3433</v>
      </c>
      <c r="L115" s="149">
        <v>0</v>
      </c>
      <c r="M115" s="149">
        <v>0</v>
      </c>
      <c r="N115" s="149">
        <v>0</v>
      </c>
      <c r="O115" s="149">
        <v>0</v>
      </c>
      <c r="P115" s="149">
        <v>0</v>
      </c>
      <c r="Q115" s="149">
        <v>0</v>
      </c>
      <c r="R115" s="149">
        <v>2.34</v>
      </c>
      <c r="S115" s="149">
        <v>2.36</v>
      </c>
      <c r="T115" s="149">
        <v>2.68</v>
      </c>
      <c r="U115" s="149">
        <v>3.02</v>
      </c>
      <c r="V115" s="149">
        <v>3.67</v>
      </c>
      <c r="W115" s="149">
        <v>4</v>
      </c>
      <c r="X115" s="149">
        <v>4.3499999999999996</v>
      </c>
      <c r="Y115" s="149">
        <v>4.75</v>
      </c>
      <c r="Z115" s="149">
        <v>5.21</v>
      </c>
      <c r="AA115" s="149">
        <v>5.75</v>
      </c>
      <c r="AB115" s="149">
        <v>6.35</v>
      </c>
      <c r="AC115" s="149">
        <v>7.04</v>
      </c>
      <c r="AD115" s="149">
        <v>7.81</v>
      </c>
      <c r="AE115" s="149">
        <v>8.67</v>
      </c>
    </row>
    <row r="116" spans="2:31" x14ac:dyDescent="0.35">
      <c r="B116" s="115" t="s">
        <v>3435</v>
      </c>
      <c r="C116" s="115" t="s">
        <v>3269</v>
      </c>
      <c r="D116" s="115" t="s">
        <v>3432</v>
      </c>
      <c r="E116" s="115" t="s">
        <v>3408</v>
      </c>
      <c r="F116" s="115" t="s">
        <v>3270</v>
      </c>
      <c r="H116" s="119" t="s">
        <v>3433</v>
      </c>
      <c r="L116" s="149">
        <v>0</v>
      </c>
      <c r="M116" s="149">
        <v>0</v>
      </c>
      <c r="N116" s="149">
        <v>0</v>
      </c>
      <c r="O116" s="149">
        <v>0</v>
      </c>
      <c r="P116" s="149">
        <v>0</v>
      </c>
      <c r="Q116" s="149">
        <v>0</v>
      </c>
      <c r="R116" s="149">
        <v>0.12</v>
      </c>
      <c r="S116" s="149">
        <v>0.31</v>
      </c>
      <c r="T116" s="149">
        <v>0.49</v>
      </c>
      <c r="U116" s="149">
        <v>0.66</v>
      </c>
      <c r="V116" s="149">
        <v>0.84</v>
      </c>
      <c r="W116" s="149">
        <v>1.01</v>
      </c>
      <c r="X116" s="149">
        <v>1.19</v>
      </c>
      <c r="Y116" s="149">
        <v>1.37</v>
      </c>
      <c r="Z116" s="149">
        <v>1.55</v>
      </c>
      <c r="AA116" s="149">
        <v>1.73</v>
      </c>
      <c r="AB116" s="149">
        <v>1.91</v>
      </c>
      <c r="AC116" s="149">
        <v>2.1</v>
      </c>
      <c r="AD116" s="149">
        <v>2.2999999999999998</v>
      </c>
      <c r="AE116" s="149">
        <v>2.5</v>
      </c>
    </row>
    <row r="117" spans="2:31" x14ac:dyDescent="0.35">
      <c r="B117" s="115" t="s">
        <v>3436</v>
      </c>
      <c r="C117" s="115" t="s">
        <v>3272</v>
      </c>
      <c r="D117" s="115" t="s">
        <v>3432</v>
      </c>
      <c r="E117" s="115" t="s">
        <v>3408</v>
      </c>
      <c r="F117" s="115" t="s">
        <v>3273</v>
      </c>
      <c r="H117" s="119" t="s">
        <v>3433</v>
      </c>
      <c r="L117" s="149">
        <v>0</v>
      </c>
      <c r="M117" s="149">
        <v>0</v>
      </c>
      <c r="N117" s="149">
        <v>0</v>
      </c>
      <c r="O117" s="149">
        <v>0</v>
      </c>
      <c r="P117" s="149">
        <v>0</v>
      </c>
      <c r="Q117" s="149">
        <v>0</v>
      </c>
      <c r="R117" s="149">
        <v>0</v>
      </c>
      <c r="S117" s="149">
        <v>0</v>
      </c>
      <c r="T117" s="149">
        <v>0</v>
      </c>
      <c r="U117" s="149">
        <v>0</v>
      </c>
      <c r="V117" s="149">
        <v>0</v>
      </c>
      <c r="W117" s="149">
        <v>0</v>
      </c>
      <c r="X117" s="149">
        <v>0</v>
      </c>
      <c r="Y117" s="149">
        <v>0</v>
      </c>
      <c r="Z117" s="149">
        <v>0</v>
      </c>
      <c r="AA117" s="149">
        <v>0</v>
      </c>
      <c r="AB117" s="149">
        <v>0</v>
      </c>
      <c r="AC117" s="149">
        <v>0</v>
      </c>
      <c r="AD117" s="149">
        <v>0</v>
      </c>
      <c r="AE117" s="149">
        <v>0</v>
      </c>
    </row>
    <row r="118" spans="2:31" x14ac:dyDescent="0.35">
      <c r="B118" s="115" t="s">
        <v>3437</v>
      </c>
      <c r="C118" s="115" t="s">
        <v>3260</v>
      </c>
      <c r="D118" s="115" t="s">
        <v>3438</v>
      </c>
      <c r="E118" s="115" t="s">
        <v>3408</v>
      </c>
      <c r="F118" s="115" t="s">
        <v>3263</v>
      </c>
      <c r="H118" s="119" t="s">
        <v>3439</v>
      </c>
      <c r="L118" s="149">
        <v>0</v>
      </c>
      <c r="M118" s="149">
        <v>0</v>
      </c>
      <c r="N118" s="149">
        <v>0</v>
      </c>
      <c r="O118" s="149">
        <v>0</v>
      </c>
      <c r="P118" s="149">
        <v>0</v>
      </c>
      <c r="Q118" s="149">
        <v>0</v>
      </c>
      <c r="R118" s="149">
        <v>0.64</v>
      </c>
      <c r="S118" s="149">
        <v>0.66</v>
      </c>
      <c r="T118" s="149">
        <v>0.66</v>
      </c>
      <c r="U118" s="149">
        <v>0.68</v>
      </c>
      <c r="V118" s="149">
        <v>0.79</v>
      </c>
      <c r="W118" s="149">
        <v>0.92</v>
      </c>
      <c r="X118" s="149">
        <v>1.06</v>
      </c>
      <c r="Y118" s="149">
        <v>1.21</v>
      </c>
      <c r="Z118" s="149">
        <v>1.39</v>
      </c>
      <c r="AA118" s="149">
        <v>1.58</v>
      </c>
      <c r="AB118" s="149">
        <v>1.8</v>
      </c>
      <c r="AC118" s="149">
        <v>2.04</v>
      </c>
      <c r="AD118" s="149">
        <v>2.3199999999999998</v>
      </c>
      <c r="AE118" s="149">
        <v>2.63</v>
      </c>
    </row>
    <row r="119" spans="2:31" x14ac:dyDescent="0.35">
      <c r="B119" s="115" t="s">
        <v>3440</v>
      </c>
      <c r="C119" s="115" t="s">
        <v>3266</v>
      </c>
      <c r="D119" s="115" t="s">
        <v>3438</v>
      </c>
      <c r="E119" s="115" t="s">
        <v>3408</v>
      </c>
      <c r="F119" s="115" t="s">
        <v>3267</v>
      </c>
      <c r="H119" s="119" t="s">
        <v>3439</v>
      </c>
      <c r="L119" s="149">
        <v>0</v>
      </c>
      <c r="M119" s="149">
        <v>0</v>
      </c>
      <c r="N119" s="149">
        <v>0</v>
      </c>
      <c r="O119" s="149">
        <v>0</v>
      </c>
      <c r="P119" s="149">
        <v>0</v>
      </c>
      <c r="Q119" s="149">
        <v>0</v>
      </c>
      <c r="R119" s="149">
        <v>0.64</v>
      </c>
      <c r="S119" s="149">
        <v>0.65</v>
      </c>
      <c r="T119" s="149">
        <v>0.66</v>
      </c>
      <c r="U119" s="149">
        <v>0.67</v>
      </c>
      <c r="V119" s="149">
        <v>0.78</v>
      </c>
      <c r="W119" s="149">
        <v>0.9</v>
      </c>
      <c r="X119" s="149">
        <v>1.04</v>
      </c>
      <c r="Y119" s="149">
        <v>1.19</v>
      </c>
      <c r="Z119" s="149">
        <v>1.36</v>
      </c>
      <c r="AA119" s="149">
        <v>1.55</v>
      </c>
      <c r="AB119" s="149">
        <v>1.76</v>
      </c>
      <c r="AC119" s="149">
        <v>2</v>
      </c>
      <c r="AD119" s="149">
        <v>2.27</v>
      </c>
      <c r="AE119" s="149">
        <v>2.57</v>
      </c>
    </row>
    <row r="120" spans="2:31" x14ac:dyDescent="0.35">
      <c r="B120" s="115" t="s">
        <v>3441</v>
      </c>
      <c r="C120" s="115" t="s">
        <v>3269</v>
      </c>
      <c r="D120" s="115" t="s">
        <v>3438</v>
      </c>
      <c r="E120" s="115" t="s">
        <v>3408</v>
      </c>
      <c r="F120" s="115" t="s">
        <v>3270</v>
      </c>
      <c r="H120" s="119" t="s">
        <v>3439</v>
      </c>
      <c r="L120" s="149">
        <v>0</v>
      </c>
      <c r="M120" s="149">
        <v>0</v>
      </c>
      <c r="N120" s="149">
        <v>0</v>
      </c>
      <c r="O120" s="149">
        <v>0</v>
      </c>
      <c r="P120" s="149">
        <v>0</v>
      </c>
      <c r="Q120" s="149">
        <v>0</v>
      </c>
      <c r="R120" s="149">
        <v>0.01</v>
      </c>
      <c r="S120" s="149">
        <v>0.02</v>
      </c>
      <c r="T120" s="149">
        <v>0.03</v>
      </c>
      <c r="U120" s="149">
        <v>0.04</v>
      </c>
      <c r="V120" s="149">
        <v>0.05</v>
      </c>
      <c r="W120" s="149">
        <v>0.06</v>
      </c>
      <c r="X120" s="149">
        <v>0.06</v>
      </c>
      <c r="Y120" s="149">
        <v>7.0000000000000007E-2</v>
      </c>
      <c r="Z120" s="149">
        <v>0.08</v>
      </c>
      <c r="AA120" s="149">
        <v>0.08</v>
      </c>
      <c r="AB120" s="149">
        <v>0.09</v>
      </c>
      <c r="AC120" s="149">
        <v>0.1</v>
      </c>
      <c r="AD120" s="149">
        <v>0.1</v>
      </c>
      <c r="AE120" s="149">
        <v>0.11</v>
      </c>
    </row>
    <row r="121" spans="2:31" x14ac:dyDescent="0.35">
      <c r="B121" s="115" t="s">
        <v>3442</v>
      </c>
      <c r="C121" s="115" t="s">
        <v>3272</v>
      </c>
      <c r="D121" s="115" t="s">
        <v>3438</v>
      </c>
      <c r="E121" s="115" t="s">
        <v>3408</v>
      </c>
      <c r="F121" s="115" t="s">
        <v>3273</v>
      </c>
      <c r="H121" s="119" t="s">
        <v>3439</v>
      </c>
      <c r="L121" s="149">
        <v>0</v>
      </c>
      <c r="M121" s="149">
        <v>0</v>
      </c>
      <c r="N121" s="149">
        <v>0</v>
      </c>
      <c r="O121" s="149">
        <v>0</v>
      </c>
      <c r="P121" s="149">
        <v>0</v>
      </c>
      <c r="Q121" s="149">
        <v>0</v>
      </c>
      <c r="R121" s="149">
        <v>0</v>
      </c>
      <c r="S121" s="149">
        <v>0</v>
      </c>
      <c r="T121" s="149">
        <v>0</v>
      </c>
      <c r="U121" s="149">
        <v>0</v>
      </c>
      <c r="V121" s="149">
        <v>0</v>
      </c>
      <c r="W121" s="149">
        <v>0</v>
      </c>
      <c r="X121" s="149">
        <v>0</v>
      </c>
      <c r="Y121" s="149">
        <v>0</v>
      </c>
      <c r="Z121" s="149">
        <v>0</v>
      </c>
      <c r="AA121" s="149">
        <v>0</v>
      </c>
      <c r="AB121" s="149">
        <v>0</v>
      </c>
      <c r="AC121" s="149">
        <v>0</v>
      </c>
      <c r="AD121" s="149">
        <v>0</v>
      </c>
      <c r="AE121" s="149">
        <v>0</v>
      </c>
    </row>
    <row r="122" spans="2:31" x14ac:dyDescent="0.35">
      <c r="B122" s="115" t="s">
        <v>3443</v>
      </c>
      <c r="C122" s="115" t="s">
        <v>3260</v>
      </c>
      <c r="D122" s="115" t="s">
        <v>3444</v>
      </c>
      <c r="E122" s="115" t="s">
        <v>3408</v>
      </c>
      <c r="F122" s="115" t="s">
        <v>3263</v>
      </c>
      <c r="H122" s="119" t="s">
        <v>3445</v>
      </c>
      <c r="L122" s="149">
        <v>-47.34</v>
      </c>
      <c r="M122" s="149">
        <v>-37.57</v>
      </c>
      <c r="N122" s="149">
        <v>-38.57</v>
      </c>
      <c r="O122" s="149">
        <v>-37.1</v>
      </c>
      <c r="P122" s="149">
        <v>-39.97</v>
      </c>
      <c r="Q122" s="149">
        <v>-40.03</v>
      </c>
      <c r="R122" s="149">
        <v>-41.63</v>
      </c>
      <c r="S122" s="149">
        <v>-44.25</v>
      </c>
      <c r="T122" s="149">
        <v>-47.61</v>
      </c>
      <c r="U122" s="149">
        <v>-52.24</v>
      </c>
      <c r="V122" s="149">
        <v>-60.25</v>
      </c>
      <c r="W122" s="149">
        <v>-69.819999999999993</v>
      </c>
      <c r="X122" s="149">
        <v>-80.180000000000007</v>
      </c>
      <c r="Y122" s="149">
        <v>-93.62</v>
      </c>
      <c r="Z122" s="149">
        <v>-110.58</v>
      </c>
      <c r="AA122" s="149">
        <v>-131.65</v>
      </c>
      <c r="AB122" s="149">
        <v>-157.4</v>
      </c>
      <c r="AC122" s="149">
        <v>-188.37</v>
      </c>
      <c r="AD122" s="149">
        <v>-225.08</v>
      </c>
      <c r="AE122" s="149">
        <v>-266.72000000000003</v>
      </c>
    </row>
    <row r="123" spans="2:31" x14ac:dyDescent="0.35">
      <c r="B123" s="115" t="s">
        <v>3446</v>
      </c>
      <c r="C123" s="115" t="s">
        <v>3266</v>
      </c>
      <c r="D123" s="115" t="s">
        <v>3444</v>
      </c>
      <c r="E123" s="115" t="s">
        <v>3408</v>
      </c>
      <c r="F123" s="115" t="s">
        <v>3267</v>
      </c>
      <c r="H123" s="119" t="s">
        <v>3445</v>
      </c>
      <c r="L123" s="149">
        <v>-47.34</v>
      </c>
      <c r="M123" s="149">
        <v>-37.57</v>
      </c>
      <c r="N123" s="149">
        <v>-38.57</v>
      </c>
      <c r="O123" s="149">
        <v>-37.1</v>
      </c>
      <c r="P123" s="149">
        <v>-39.97</v>
      </c>
      <c r="Q123" s="149">
        <v>-40.03</v>
      </c>
      <c r="R123" s="149">
        <v>-41.63</v>
      </c>
      <c r="S123" s="149">
        <v>-44.25</v>
      </c>
      <c r="T123" s="149">
        <v>-47.61</v>
      </c>
      <c r="U123" s="149">
        <v>-52.24</v>
      </c>
      <c r="V123" s="149">
        <v>-60.25</v>
      </c>
      <c r="W123" s="149">
        <v>-69.819999999999993</v>
      </c>
      <c r="X123" s="149">
        <v>-80.180000000000007</v>
      </c>
      <c r="Y123" s="149">
        <v>-93.62</v>
      </c>
      <c r="Z123" s="149">
        <v>-110.58</v>
      </c>
      <c r="AA123" s="149">
        <v>-131.65</v>
      </c>
      <c r="AB123" s="149">
        <v>-157.4</v>
      </c>
      <c r="AC123" s="149">
        <v>-188.37</v>
      </c>
      <c r="AD123" s="149">
        <v>-225.08</v>
      </c>
      <c r="AE123" s="149">
        <v>-266.72000000000003</v>
      </c>
    </row>
    <row r="124" spans="2:31" x14ac:dyDescent="0.35">
      <c r="B124" s="115" t="s">
        <v>3447</v>
      </c>
      <c r="C124" s="115" t="s">
        <v>3269</v>
      </c>
      <c r="D124" s="115" t="s">
        <v>3444</v>
      </c>
      <c r="E124" s="115" t="s">
        <v>3408</v>
      </c>
      <c r="F124" s="115" t="s">
        <v>3270</v>
      </c>
      <c r="H124" s="119" t="s">
        <v>3445</v>
      </c>
      <c r="L124" s="149">
        <v>-47.34</v>
      </c>
      <c r="M124" s="149">
        <v>-37.57</v>
      </c>
      <c r="N124" s="149">
        <v>-38.57</v>
      </c>
      <c r="O124" s="149">
        <v>-37.1</v>
      </c>
      <c r="P124" s="149">
        <v>-39.97</v>
      </c>
      <c r="Q124" s="149">
        <v>-40.03</v>
      </c>
      <c r="R124" s="149">
        <v>-41.63</v>
      </c>
      <c r="S124" s="149">
        <v>-44.25</v>
      </c>
      <c r="T124" s="149">
        <v>-47.61</v>
      </c>
      <c r="U124" s="149">
        <v>-52.24</v>
      </c>
      <c r="V124" s="149">
        <v>-60.25</v>
      </c>
      <c r="W124" s="149">
        <v>-69.819999999999993</v>
      </c>
      <c r="X124" s="149">
        <v>-80.180000000000007</v>
      </c>
      <c r="Y124" s="149">
        <v>-93.62</v>
      </c>
      <c r="Z124" s="149">
        <v>-110.58</v>
      </c>
      <c r="AA124" s="149">
        <v>-131.65</v>
      </c>
      <c r="AB124" s="149">
        <v>-157.4</v>
      </c>
      <c r="AC124" s="149">
        <v>-188.37</v>
      </c>
      <c r="AD124" s="149">
        <v>-225.08</v>
      </c>
      <c r="AE124" s="149">
        <v>-266.72000000000003</v>
      </c>
    </row>
    <row r="125" spans="2:31" x14ac:dyDescent="0.35">
      <c r="B125" s="115" t="s">
        <v>3448</v>
      </c>
      <c r="C125" s="115" t="s">
        <v>3272</v>
      </c>
      <c r="D125" s="115" t="s">
        <v>3444</v>
      </c>
      <c r="E125" s="115" t="s">
        <v>3408</v>
      </c>
      <c r="F125" s="115" t="s">
        <v>3273</v>
      </c>
      <c r="H125" s="119" t="s">
        <v>3445</v>
      </c>
      <c r="L125" s="149">
        <v>-47.34</v>
      </c>
      <c r="M125" s="149">
        <v>-37.57</v>
      </c>
      <c r="N125" s="149">
        <v>-38.57</v>
      </c>
      <c r="O125" s="149">
        <v>-37.1</v>
      </c>
      <c r="P125" s="149">
        <v>-39.97</v>
      </c>
      <c r="Q125" s="149">
        <v>-40.03</v>
      </c>
      <c r="R125" s="149">
        <v>-41.63</v>
      </c>
      <c r="S125" s="149">
        <v>-44.25</v>
      </c>
      <c r="T125" s="149">
        <v>-47.61</v>
      </c>
      <c r="U125" s="149">
        <v>-52.24</v>
      </c>
      <c r="V125" s="149">
        <v>-60.25</v>
      </c>
      <c r="W125" s="149">
        <v>-69.819999999999993</v>
      </c>
      <c r="X125" s="149">
        <v>-80.180000000000007</v>
      </c>
      <c r="Y125" s="149">
        <v>-93.62</v>
      </c>
      <c r="Z125" s="149">
        <v>-110.58</v>
      </c>
      <c r="AA125" s="149">
        <v>-131.65</v>
      </c>
      <c r="AB125" s="149">
        <v>-157.4</v>
      </c>
      <c r="AC125" s="149">
        <v>-188.37</v>
      </c>
      <c r="AD125" s="149">
        <v>-225.08</v>
      </c>
      <c r="AE125" s="149">
        <v>-266.72000000000003</v>
      </c>
    </row>
    <row r="126" spans="2:31" x14ac:dyDescent="0.35">
      <c r="B126" s="115" t="s">
        <v>3449</v>
      </c>
      <c r="C126" s="115" t="s">
        <v>3260</v>
      </c>
      <c r="D126" s="115" t="s">
        <v>3450</v>
      </c>
      <c r="E126" s="115" t="s">
        <v>3408</v>
      </c>
      <c r="F126" s="115" t="s">
        <v>3263</v>
      </c>
      <c r="H126" s="119" t="s">
        <v>3451</v>
      </c>
      <c r="L126" s="149">
        <v>-47.34</v>
      </c>
      <c r="M126" s="149">
        <v>-37.56</v>
      </c>
      <c r="N126" s="149">
        <v>-38.56</v>
      </c>
      <c r="O126" s="149">
        <v>-37.090000000000003</v>
      </c>
      <c r="P126" s="149">
        <v>-39.96</v>
      </c>
      <c r="Q126" s="149">
        <v>-40.01</v>
      </c>
      <c r="R126" s="149">
        <v>-32.83</v>
      </c>
      <c r="S126" s="149">
        <v>-33.979999999999997</v>
      </c>
      <c r="T126" s="149">
        <v>-37.18</v>
      </c>
      <c r="U126" s="149">
        <v>-41.11</v>
      </c>
      <c r="V126" s="149">
        <v>-48.65</v>
      </c>
      <c r="W126" s="149">
        <v>-55.9</v>
      </c>
      <c r="X126" s="149">
        <v>-65.36</v>
      </c>
      <c r="Y126" s="149">
        <v>-77.8</v>
      </c>
      <c r="Z126" s="149">
        <v>-93.74</v>
      </c>
      <c r="AA126" s="149">
        <v>-113.69</v>
      </c>
      <c r="AB126" s="149">
        <v>-138.22</v>
      </c>
      <c r="AC126" s="149">
        <v>-167.84</v>
      </c>
      <c r="AD126" s="149">
        <v>-203.04</v>
      </c>
      <c r="AE126" s="149">
        <v>-243.01</v>
      </c>
    </row>
    <row r="127" spans="2:31" x14ac:dyDescent="0.35">
      <c r="B127" s="115" t="s">
        <v>3452</v>
      </c>
      <c r="C127" s="115" t="s">
        <v>3266</v>
      </c>
      <c r="D127" s="115" t="s">
        <v>3450</v>
      </c>
      <c r="E127" s="115" t="s">
        <v>3408</v>
      </c>
      <c r="F127" s="115" t="s">
        <v>3267</v>
      </c>
      <c r="H127" s="119" t="s">
        <v>3451</v>
      </c>
      <c r="L127" s="149">
        <v>-47.34</v>
      </c>
      <c r="M127" s="149">
        <v>-37.56</v>
      </c>
      <c r="N127" s="149">
        <v>-38.56</v>
      </c>
      <c r="O127" s="149">
        <v>-37.090000000000003</v>
      </c>
      <c r="P127" s="149">
        <v>-39.96</v>
      </c>
      <c r="Q127" s="149">
        <v>-40.01</v>
      </c>
      <c r="R127" s="149">
        <v>-32.83</v>
      </c>
      <c r="S127" s="149">
        <v>-33.880000000000003</v>
      </c>
      <c r="T127" s="149">
        <v>-36.99</v>
      </c>
      <c r="U127" s="149">
        <v>-40.799999999999997</v>
      </c>
      <c r="V127" s="149">
        <v>-48.24</v>
      </c>
      <c r="W127" s="149">
        <v>-55.49</v>
      </c>
      <c r="X127" s="149">
        <v>-64.849999999999994</v>
      </c>
      <c r="Y127" s="149">
        <v>-77.150000000000006</v>
      </c>
      <c r="Z127" s="149">
        <v>-92.93</v>
      </c>
      <c r="AA127" s="149">
        <v>-112.69</v>
      </c>
      <c r="AB127" s="149">
        <v>-136.97</v>
      </c>
      <c r="AC127" s="149">
        <v>-166.29</v>
      </c>
      <c r="AD127" s="149">
        <v>-201.15</v>
      </c>
      <c r="AE127" s="149">
        <v>-240.75</v>
      </c>
    </row>
    <row r="128" spans="2:31" x14ac:dyDescent="0.35">
      <c r="B128" s="115" t="s">
        <v>3453</v>
      </c>
      <c r="C128" s="115" t="s">
        <v>3269</v>
      </c>
      <c r="D128" s="115" t="s">
        <v>3450</v>
      </c>
      <c r="E128" s="115" t="s">
        <v>3408</v>
      </c>
      <c r="F128" s="115" t="s">
        <v>3270</v>
      </c>
      <c r="H128" s="119" t="s">
        <v>3451</v>
      </c>
      <c r="L128" s="149">
        <v>-47.34</v>
      </c>
      <c r="M128" s="149">
        <v>-37.57</v>
      </c>
      <c r="N128" s="149">
        <v>-38.57</v>
      </c>
      <c r="O128" s="149">
        <v>-37.1</v>
      </c>
      <c r="P128" s="149">
        <v>-39.97</v>
      </c>
      <c r="Q128" s="149">
        <v>-40.020000000000003</v>
      </c>
      <c r="R128" s="149">
        <v>-40.909999999999997</v>
      </c>
      <c r="S128" s="149">
        <v>-42.48</v>
      </c>
      <c r="T128" s="149">
        <v>-44.92</v>
      </c>
      <c r="U128" s="149">
        <v>-48.7</v>
      </c>
      <c r="V128" s="149">
        <v>-56.59</v>
      </c>
      <c r="W128" s="149">
        <v>-63.98</v>
      </c>
      <c r="X128" s="149">
        <v>-74.05</v>
      </c>
      <c r="Y128" s="149">
        <v>-87.56</v>
      </c>
      <c r="Z128" s="149">
        <v>-104.99</v>
      </c>
      <c r="AA128" s="149">
        <v>-126.78</v>
      </c>
      <c r="AB128" s="149">
        <v>-153.47999999999999</v>
      </c>
      <c r="AC128" s="149">
        <v>-185.57</v>
      </c>
      <c r="AD128" s="149">
        <v>-223.55</v>
      </c>
      <c r="AE128" s="149">
        <v>-266.55</v>
      </c>
    </row>
    <row r="129" spans="2:31" x14ac:dyDescent="0.35">
      <c r="B129" s="115" t="s">
        <v>3454</v>
      </c>
      <c r="C129" s="115" t="s">
        <v>3272</v>
      </c>
      <c r="D129" s="115" t="s">
        <v>3450</v>
      </c>
      <c r="E129" s="115" t="s">
        <v>3408</v>
      </c>
      <c r="F129" s="115" t="s">
        <v>3273</v>
      </c>
      <c r="H129" s="119" t="s">
        <v>3451</v>
      </c>
      <c r="L129" s="149">
        <v>-47.34</v>
      </c>
      <c r="M129" s="149">
        <v>-37.57</v>
      </c>
      <c r="N129" s="149">
        <v>-38.57</v>
      </c>
      <c r="O129" s="149">
        <v>-37.1</v>
      </c>
      <c r="P129" s="149">
        <v>-39.97</v>
      </c>
      <c r="Q129" s="149">
        <v>-40.03</v>
      </c>
      <c r="R129" s="149">
        <v>-40.03</v>
      </c>
      <c r="S129" s="149">
        <v>-40.020000000000003</v>
      </c>
      <c r="T129" s="149">
        <v>-40.909999999999997</v>
      </c>
      <c r="U129" s="149">
        <v>-42.54</v>
      </c>
      <c r="V129" s="149">
        <v>-45.43</v>
      </c>
      <c r="W129" s="149">
        <v>-48.77</v>
      </c>
      <c r="X129" s="149">
        <v>-47.11</v>
      </c>
      <c r="Y129" s="149">
        <v>-39.799999999999997</v>
      </c>
      <c r="Z129" s="149">
        <v>-23.6</v>
      </c>
      <c r="AA129" s="149">
        <v>5.51</v>
      </c>
      <c r="AB129" s="149">
        <v>52.16</v>
      </c>
      <c r="AC129" s="149">
        <v>121.59</v>
      </c>
      <c r="AD129" s="149">
        <v>219.69</v>
      </c>
      <c r="AE129" s="149">
        <v>346.84</v>
      </c>
    </row>
    <row r="130" spans="2:31" x14ac:dyDescent="0.35">
      <c r="B130" s="115" t="s">
        <v>3455</v>
      </c>
      <c r="C130" s="115" t="s">
        <v>3260</v>
      </c>
      <c r="D130" s="115" t="s">
        <v>3456</v>
      </c>
      <c r="E130" s="115" t="s">
        <v>2068</v>
      </c>
      <c r="F130" s="115" t="s">
        <v>3263</v>
      </c>
      <c r="H130" s="119" t="s">
        <v>3457</v>
      </c>
      <c r="L130" s="149">
        <v>0</v>
      </c>
      <c r="M130" s="149">
        <v>0</v>
      </c>
      <c r="N130" s="149">
        <v>0</v>
      </c>
      <c r="O130" s="149">
        <v>0</v>
      </c>
      <c r="P130" s="149">
        <v>0</v>
      </c>
      <c r="Q130" s="149">
        <v>-1.0000000000000001E-5</v>
      </c>
      <c r="R130" s="149">
        <v>1.1900000000000001E-3</v>
      </c>
      <c r="S130" s="149">
        <v>1.2800000000000001E-3</v>
      </c>
      <c r="T130" s="149">
        <v>1.2999999999999999E-3</v>
      </c>
      <c r="U130" s="149">
        <v>1.1999999999999999E-3</v>
      </c>
      <c r="V130" s="149">
        <v>1.24E-3</v>
      </c>
      <c r="W130" s="149">
        <v>1.4499999999999999E-3</v>
      </c>
      <c r="X130" s="149">
        <v>1.2099999999999999E-3</v>
      </c>
      <c r="Y130" s="149">
        <v>1.32E-3</v>
      </c>
      <c r="Z130" s="149">
        <v>1.01E-3</v>
      </c>
      <c r="AA130" s="149">
        <v>1.0200000000000001E-3</v>
      </c>
      <c r="AB130" s="149">
        <v>9.5E-4</v>
      </c>
      <c r="AC130" s="149">
        <v>8.7000000000000001E-4</v>
      </c>
      <c r="AD130" s="149">
        <v>8.4000000000000003E-4</v>
      </c>
      <c r="AE130" s="149">
        <v>8.0000000000000004E-4</v>
      </c>
    </row>
    <row r="131" spans="2:31" x14ac:dyDescent="0.35">
      <c r="B131" s="115" t="s">
        <v>3458</v>
      </c>
      <c r="C131" s="115" t="s">
        <v>3266</v>
      </c>
      <c r="D131" s="115" t="s">
        <v>3456</v>
      </c>
      <c r="E131" s="115" t="s">
        <v>2068</v>
      </c>
      <c r="F131" s="115" t="s">
        <v>3267</v>
      </c>
      <c r="H131" s="119" t="s">
        <v>3457</v>
      </c>
      <c r="L131" s="149">
        <v>0</v>
      </c>
      <c r="M131" s="149">
        <v>0</v>
      </c>
      <c r="N131" s="149">
        <v>0</v>
      </c>
      <c r="O131" s="149">
        <v>0</v>
      </c>
      <c r="P131" s="149">
        <v>0</v>
      </c>
      <c r="Q131" s="149">
        <v>-1.0000000000000001E-5</v>
      </c>
      <c r="R131" s="149">
        <v>1.1900000000000001E-3</v>
      </c>
      <c r="S131" s="149">
        <v>1.31E-3</v>
      </c>
      <c r="T131" s="149">
        <v>1.3600000000000001E-3</v>
      </c>
      <c r="U131" s="149">
        <v>1.42E-3</v>
      </c>
      <c r="V131" s="149">
        <v>1.5E-3</v>
      </c>
      <c r="W131" s="149">
        <v>1.73E-3</v>
      </c>
      <c r="X131" s="149">
        <v>1.4400000000000001E-3</v>
      </c>
      <c r="Y131" s="149">
        <v>1.58E-3</v>
      </c>
      <c r="Z131" s="149">
        <v>1.31E-3</v>
      </c>
      <c r="AA131" s="149">
        <v>1.25E-3</v>
      </c>
      <c r="AB131" s="149">
        <v>1.2199999999999999E-3</v>
      </c>
      <c r="AC131" s="149">
        <v>1.1100000000000001E-3</v>
      </c>
      <c r="AD131" s="149">
        <v>1.06E-3</v>
      </c>
      <c r="AE131" s="149">
        <v>1.0200000000000001E-3</v>
      </c>
    </row>
    <row r="132" spans="2:31" x14ac:dyDescent="0.35">
      <c r="B132" s="115" t="s">
        <v>3459</v>
      </c>
      <c r="C132" s="115" t="s">
        <v>3269</v>
      </c>
      <c r="D132" s="115" t="s">
        <v>3456</v>
      </c>
      <c r="E132" s="115" t="s">
        <v>2068</v>
      </c>
      <c r="F132" s="115" t="s">
        <v>3270</v>
      </c>
      <c r="H132" s="119" t="s">
        <v>3457</v>
      </c>
      <c r="L132" s="149">
        <v>0</v>
      </c>
      <c r="M132" s="149">
        <v>0</v>
      </c>
      <c r="N132" s="149">
        <v>0</v>
      </c>
      <c r="O132" s="149">
        <v>0</v>
      </c>
      <c r="P132" s="149">
        <v>0</v>
      </c>
      <c r="Q132" s="149">
        <v>1.0000000000000001E-5</v>
      </c>
      <c r="R132" s="149">
        <v>1.1E-4</v>
      </c>
      <c r="S132" s="149">
        <v>2.7E-4</v>
      </c>
      <c r="T132" s="149">
        <v>4.4999999999999999E-4</v>
      </c>
      <c r="U132" s="149">
        <v>9.2000000000000003E-4</v>
      </c>
      <c r="V132" s="149">
        <v>1.3600000000000001E-3</v>
      </c>
      <c r="W132" s="149">
        <v>1.9499999999999999E-3</v>
      </c>
      <c r="X132" s="149">
        <v>1.8400000000000001E-3</v>
      </c>
      <c r="Y132" s="149">
        <v>2.2200000000000002E-3</v>
      </c>
      <c r="Z132" s="149">
        <v>2.1900000000000001E-3</v>
      </c>
      <c r="AA132" s="149">
        <v>2.0300000000000001E-3</v>
      </c>
      <c r="AB132" s="149">
        <v>2.1700000000000001E-3</v>
      </c>
      <c r="AC132" s="149">
        <v>2E-3</v>
      </c>
      <c r="AD132" s="149">
        <v>1.92E-3</v>
      </c>
      <c r="AE132" s="149">
        <v>1.8400000000000001E-3</v>
      </c>
    </row>
    <row r="133" spans="2:31" x14ac:dyDescent="0.35">
      <c r="B133" s="115" t="s">
        <v>3460</v>
      </c>
      <c r="C133" s="115" t="s">
        <v>3272</v>
      </c>
      <c r="D133" s="115" t="s">
        <v>3456</v>
      </c>
      <c r="E133" s="115" t="s">
        <v>2068</v>
      </c>
      <c r="F133" s="115" t="s">
        <v>3273</v>
      </c>
      <c r="H133" s="119" t="s">
        <v>3457</v>
      </c>
      <c r="L133" s="149">
        <v>0</v>
      </c>
      <c r="M133" s="149">
        <v>0</v>
      </c>
      <c r="N133" s="149">
        <v>0</v>
      </c>
      <c r="O133" s="149">
        <v>0</v>
      </c>
      <c r="P133" s="149">
        <v>0</v>
      </c>
      <c r="Q133" s="149">
        <v>0</v>
      </c>
      <c r="R133" s="149">
        <v>0</v>
      </c>
      <c r="S133" s="149">
        <v>9.0000000000000006E-5</v>
      </c>
      <c r="T133" s="149">
        <v>1.8000000000000001E-4</v>
      </c>
      <c r="U133" s="149">
        <v>2.7999999999999998E-4</v>
      </c>
      <c r="V133" s="149">
        <v>1.8600000000000001E-3</v>
      </c>
      <c r="W133" s="149">
        <v>1.9599999999999999E-3</v>
      </c>
      <c r="X133" s="149">
        <v>1.6999999999999999E-3</v>
      </c>
      <c r="Y133" s="149">
        <v>1.97E-3</v>
      </c>
      <c r="Z133" s="149">
        <v>1.8799999999999999E-3</v>
      </c>
      <c r="AA133" s="149">
        <v>1.7799999999999999E-3</v>
      </c>
      <c r="AB133" s="149">
        <v>1.91E-3</v>
      </c>
      <c r="AC133" s="149">
        <v>1.7799999999999999E-3</v>
      </c>
      <c r="AD133" s="149">
        <v>1.7099999999999999E-3</v>
      </c>
      <c r="AE133" s="149">
        <v>1.64E-3</v>
      </c>
    </row>
    <row r="135" spans="2:31" x14ac:dyDescent="0.35">
      <c r="B135" s="115" t="s">
        <v>3461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4201-9D89-4A84-8301-DC9F2EA929AE}">
  <dimension ref="A1:AI112"/>
  <sheetViews>
    <sheetView topLeftCell="I1" workbookViewId="0">
      <pane xSplit="3" ySplit="5" topLeftCell="L39" activePane="bottomRight" state="frozen"/>
      <selection activeCell="I1" sqref="I1"/>
      <selection pane="topRight" activeCell="L1" sqref="L1"/>
      <selection pane="bottomLeft" activeCell="I6" sqref="I6"/>
      <selection pane="bottomRight" activeCell="A54" sqref="A54:XFD54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33.7304687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31.2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3462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3463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1726</v>
      </c>
      <c r="C5" s="7" t="s">
        <v>1727</v>
      </c>
      <c r="D5" s="6" t="s">
        <v>3464</v>
      </c>
      <c r="E5" s="7" t="s">
        <v>3465</v>
      </c>
      <c r="F5" s="7" t="s">
        <v>39</v>
      </c>
      <c r="G5" s="7"/>
      <c r="H5" s="12"/>
      <c r="I5" s="6"/>
      <c r="J5" s="48"/>
      <c r="K5" s="6"/>
      <c r="L5" s="4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x14ac:dyDescent="0.35">
      <c r="B6" s="115" t="str">
        <f>Scenarios!$B$17</f>
        <v>LEGACY</v>
      </c>
      <c r="C6" s="115" t="str">
        <f>Scenarios!$C$17</f>
        <v>CPAT default policy scenario (regression)</v>
      </c>
      <c r="D6" s="150" t="s">
        <v>77</v>
      </c>
      <c r="E6" s="115" t="str">
        <f>Scenarios!$L$17</f>
        <v>All sectors</v>
      </c>
      <c r="F6" s="151" t="s">
        <v>3466</v>
      </c>
    </row>
    <row r="7" spans="1:35" x14ac:dyDescent="0.35">
      <c r="B7" s="115" t="str">
        <f>Scenarios!$B$18</f>
        <v>1A</v>
      </c>
      <c r="C7" s="115" t="str">
        <f>Scenarios!$C$18</f>
        <v>Comprehensive levy + CBAM process fee</v>
      </c>
      <c r="D7" s="150" t="s">
        <v>3260</v>
      </c>
      <c r="E7" s="115" t="str">
        <f>Scenarios!$L$18</f>
        <v>All sectors</v>
      </c>
      <c r="F7" s="115" t="s">
        <v>3467</v>
      </c>
    </row>
    <row r="8" spans="1:35" x14ac:dyDescent="0.35">
      <c r="B8" s="115" t="str">
        <f>Scenarios!$B$19</f>
        <v>2A</v>
      </c>
      <c r="C8" s="115" t="str">
        <f>Scenarios!$C$19</f>
        <v>Upstream levy, public investment</v>
      </c>
      <c r="D8" s="150" t="s">
        <v>3260</v>
      </c>
      <c r="E8" s="115" t="str">
        <f>Scenarios!$L$19</f>
        <v>All sectors</v>
      </c>
      <c r="F8" s="115" t="s">
        <v>3467</v>
      </c>
    </row>
    <row r="9" spans="1:35" x14ac:dyDescent="0.35">
      <c r="B9" s="115" t="str">
        <f>Scenarios!$B$20</f>
        <v>2B</v>
      </c>
      <c r="C9" s="115" t="str">
        <f>Scenarios!$C$20</f>
        <v>Upstream levy, households</v>
      </c>
      <c r="D9" s="150" t="s">
        <v>3266</v>
      </c>
      <c r="E9" s="115" t="str">
        <f>Scenarios!$L$20</f>
        <v>All sectors</v>
      </c>
      <c r="F9" s="115" t="s">
        <v>3467</v>
      </c>
    </row>
    <row r="10" spans="1:35" x14ac:dyDescent="0.35">
      <c r="B10" s="115" t="str">
        <f>Scenarios!$B$21</f>
        <v>3A</v>
      </c>
      <c r="C10" s="115" t="str">
        <f>Scenarios!$C$21</f>
        <v>Downstream heavy industry, households</v>
      </c>
      <c r="D10" s="150" t="s">
        <v>3269</v>
      </c>
      <c r="E10" s="115" t="str">
        <f>Scenarios!$L$21</f>
        <v>Industry only</v>
      </c>
      <c r="F10" s="115" t="s">
        <v>3467</v>
      </c>
    </row>
    <row r="11" spans="1:35" x14ac:dyDescent="0.35">
      <c r="B11" s="115" t="str">
        <f>Scenarios!$B$22</f>
        <v>3B</v>
      </c>
      <c r="C11" s="115" t="str">
        <f>Scenarios!$C$22</f>
        <v>Downstream heavy industry, free allocation (benchmark)</v>
      </c>
      <c r="D11" s="150" t="s">
        <v>3269</v>
      </c>
      <c r="E11" s="115" t="str">
        <f>Scenarios!$L$22</f>
        <v>Industry only</v>
      </c>
      <c r="F11" s="115" t="s">
        <v>3467</v>
      </c>
    </row>
    <row r="12" spans="1:35" x14ac:dyDescent="0.35">
      <c r="B12" s="115" t="str">
        <f>Scenarios!$B$23</f>
        <v>3C</v>
      </c>
      <c r="C12" s="115" t="str">
        <f>Scenarios!$C$23</f>
        <v>Downstream heavy industry, abatement rebate</v>
      </c>
      <c r="D12" s="150" t="s">
        <v>3269</v>
      </c>
      <c r="E12" s="115" t="str">
        <f>Scenarios!$L$23</f>
        <v>Industry only</v>
      </c>
      <c r="F12" s="115" t="s">
        <v>3467</v>
      </c>
    </row>
    <row r="14" spans="1:35" x14ac:dyDescent="0.35">
      <c r="C14" s="115" t="s">
        <v>3468</v>
      </c>
      <c r="D14" s="115" t="str">
        <f>Scenarios!$B$27</f>
        <v>LEGACY</v>
      </c>
    </row>
    <row r="15" spans="1:35" x14ac:dyDescent="0.35">
      <c r="C15" s="115" t="s">
        <v>3464</v>
      </c>
      <c r="D15" s="115" t="str">
        <f>INDEX($D$6:$D$12,MATCH(D14,$B$6:$B$12,0))</f>
        <v>-</v>
      </c>
    </row>
    <row r="16" spans="1:35" x14ac:dyDescent="0.35">
      <c r="C16" s="115" t="s">
        <v>3469</v>
      </c>
      <c r="D16" s="115" t="str">
        <f>Scenarios!$L$27</f>
        <v>All sectors</v>
      </c>
    </row>
    <row r="17" spans="1:35" x14ac:dyDescent="0.35">
      <c r="C17" s="115" t="s">
        <v>1731</v>
      </c>
      <c r="D17" s="115">
        <f>Scenarios!$G$27</f>
        <v>0</v>
      </c>
    </row>
    <row r="18" spans="1:35" x14ac:dyDescent="0.35">
      <c r="C18" s="115" t="s">
        <v>3470</v>
      </c>
      <c r="D18" s="115" t="str">
        <f>Scenarios!$K$27</f>
        <v>CPAT default</v>
      </c>
    </row>
    <row r="19" spans="1:35" x14ac:dyDescent="0.35">
      <c r="C19" s="115" t="s">
        <v>3471</v>
      </c>
      <c r="D19" s="150">
        <v>2030</v>
      </c>
      <c r="E19" s="115" t="s">
        <v>3472</v>
      </c>
    </row>
    <row r="22" spans="1:35" customFormat="1" ht="18" customHeight="1" x14ac:dyDescent="0.45">
      <c r="A22" s="8"/>
      <c r="B22" s="9" t="s">
        <v>3473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4" spans="1:35" customFormat="1" ht="14.25" x14ac:dyDescent="0.45">
      <c r="A24" s="11"/>
      <c r="B24" s="6" t="s">
        <v>1488</v>
      </c>
      <c r="C24" s="7" t="s">
        <v>33</v>
      </c>
      <c r="D24" s="6" t="s">
        <v>34</v>
      </c>
      <c r="E24" s="7" t="s">
        <v>35</v>
      </c>
      <c r="F24" s="7" t="s">
        <v>36</v>
      </c>
      <c r="G24" s="7" t="s">
        <v>37</v>
      </c>
      <c r="H24" s="12" t="s">
        <v>38</v>
      </c>
      <c r="I24" s="6" t="s">
        <v>39</v>
      </c>
      <c r="J24" s="48"/>
      <c r="K24" s="6">
        <v>2021</v>
      </c>
      <c r="L24" s="46">
        <v>2022</v>
      </c>
      <c r="M24" s="6">
        <v>2023</v>
      </c>
      <c r="N24" s="6">
        <v>2024</v>
      </c>
      <c r="O24" s="6">
        <v>2025</v>
      </c>
      <c r="P24" s="6">
        <v>2026</v>
      </c>
      <c r="Q24" s="6">
        <v>2027</v>
      </c>
      <c r="R24" s="6">
        <v>2028</v>
      </c>
      <c r="S24" s="6">
        <v>2029</v>
      </c>
      <c r="T24" s="6">
        <v>2030</v>
      </c>
      <c r="U24" s="6">
        <v>2031</v>
      </c>
      <c r="V24" s="6">
        <v>2032</v>
      </c>
      <c r="W24" s="6">
        <v>2033</v>
      </c>
      <c r="X24" s="6">
        <v>2034</v>
      </c>
      <c r="Y24" s="6">
        <v>2035</v>
      </c>
      <c r="Z24" s="6">
        <v>2036</v>
      </c>
      <c r="AA24" s="6">
        <v>2037</v>
      </c>
      <c r="AB24" s="6">
        <v>2038</v>
      </c>
      <c r="AC24" s="6">
        <v>2039</v>
      </c>
      <c r="AD24" s="6">
        <v>2040</v>
      </c>
      <c r="AE24" s="6">
        <v>2041</v>
      </c>
      <c r="AF24" s="6">
        <v>2042</v>
      </c>
      <c r="AG24" s="6">
        <v>2043</v>
      </c>
      <c r="AH24" s="6">
        <v>2044</v>
      </c>
      <c r="AI24" s="6">
        <v>2045</v>
      </c>
    </row>
    <row r="25" spans="1:35" x14ac:dyDescent="0.35">
      <c r="B25" s="115" t="s">
        <v>3474</v>
      </c>
      <c r="C25" s="115" t="s">
        <v>3475</v>
      </c>
      <c r="D25" s="115" t="s">
        <v>3476</v>
      </c>
      <c r="E25" s="115" t="s">
        <v>1852</v>
      </c>
      <c r="F25" s="115" t="s">
        <v>3477</v>
      </c>
      <c r="G25" s="115" t="s">
        <v>3396</v>
      </c>
      <c r="H25" s="119" t="str">
        <f>Settings!$B$3&amp;".mit.t2.ghg1"</f>
        <v>egy.mit.t2.ghg1</v>
      </c>
      <c r="L25" s="152">
        <f>IF($D$15="-",0,INDEX(CPAT_National!L$6:L$133,MATCH($G25&amp;"|"&amp;$D$15,CPAT_National!$B$6:$B$133,0)))</f>
        <v>0</v>
      </c>
      <c r="M25" s="152">
        <f>IF($D$15="-",0,INDEX(CPAT_National!M$6:M$133,MATCH($G25&amp;"|"&amp;$D$15,CPAT_National!$B$6:$B$133,0)))</f>
        <v>0</v>
      </c>
      <c r="N25" s="152">
        <f>IF($D$15="-",0,INDEX(CPAT_National!N$6:N$133,MATCH($G25&amp;"|"&amp;$D$15,CPAT_National!$B$6:$B$133,0)))</f>
        <v>0</v>
      </c>
      <c r="O25" s="152">
        <f>IF($D$15="-",0,INDEX(CPAT_National!O$6:O$133,MATCH($G25&amp;"|"&amp;$D$15,CPAT_National!$B$6:$B$133,0)))</f>
        <v>0</v>
      </c>
      <c r="P25" s="152">
        <f>IF($D$15="-",0,INDEX(CPAT_National!P$6:P$133,MATCH($G25&amp;"|"&amp;$D$15,CPAT_National!$B$6:$B$133,0)))</f>
        <v>0</v>
      </c>
      <c r="Q25" s="152">
        <f>IF($D$15="-",0,INDEX(CPAT_National!Q$6:Q$133,MATCH($G25&amp;"|"&amp;$D$15,CPAT_National!$B$6:$B$133,0)))</f>
        <v>0</v>
      </c>
      <c r="R25" s="152">
        <f>IF($D$15="-",0,INDEX(CPAT_National!R$6:R$133,MATCH($G25&amp;"|"&amp;$D$15,CPAT_National!$B$6:$B$133,0)))</f>
        <v>0</v>
      </c>
      <c r="S25" s="152">
        <f>IF($D$15="-",0,INDEX(CPAT_National!S$6:S$133,MATCH($G25&amp;"|"&amp;$D$15,CPAT_National!$B$6:$B$133,0)))</f>
        <v>0</v>
      </c>
      <c r="T25" s="152">
        <f>IF($D$15="-",0,INDEX(CPAT_National!T$6:T$133,MATCH($G25&amp;"|"&amp;$D$15,CPAT_National!$B$6:$B$133,0)))</f>
        <v>0</v>
      </c>
      <c r="U25" s="152">
        <f>IF($D$15="-",0,INDEX(CPAT_National!U$6:U$133,MATCH($G25&amp;"|"&amp;$D$15,CPAT_National!$B$6:$B$133,0)))</f>
        <v>0</v>
      </c>
      <c r="V25" s="152">
        <f>IF($D$15="-",0,INDEX(CPAT_National!V$6:V$133,MATCH($G25&amp;"|"&amp;$D$15,CPAT_National!$B$6:$B$133,0)))</f>
        <v>0</v>
      </c>
      <c r="W25" s="152">
        <f>IF($D$15="-",0,INDEX(CPAT_National!W$6:W$133,MATCH($G25&amp;"|"&amp;$D$15,CPAT_National!$B$6:$B$133,0)))</f>
        <v>0</v>
      </c>
      <c r="X25" s="152">
        <f>IF($D$15="-",0,INDEX(CPAT_National!X$6:X$133,MATCH($G25&amp;"|"&amp;$D$15,CPAT_National!$B$6:$B$133,0)))</f>
        <v>0</v>
      </c>
      <c r="Y25" s="152">
        <f>IF($D$15="-",0,INDEX(CPAT_National!Y$6:Y$133,MATCH($G25&amp;"|"&amp;$D$15,CPAT_National!$B$6:$B$133,0)))</f>
        <v>0</v>
      </c>
      <c r="Z25" s="152">
        <f>IF($D$15="-",0,INDEX(CPAT_National!Z$6:Z$133,MATCH($G25&amp;"|"&amp;$D$15,CPAT_National!$B$6:$B$133,0)))</f>
        <v>0</v>
      </c>
      <c r="AA25" s="152">
        <f>IF($D$15="-",0,INDEX(CPAT_National!AA$6:AA$133,MATCH($G25&amp;"|"&amp;$D$15,CPAT_National!$B$6:$B$133,0)))</f>
        <v>0</v>
      </c>
      <c r="AB25" s="152">
        <f>IF($D$15="-",0,INDEX(CPAT_National!AB$6:AB$133,MATCH($G25&amp;"|"&amp;$D$15,CPAT_National!$B$6:$B$133,0)))</f>
        <v>0</v>
      </c>
      <c r="AC25" s="152">
        <f>IF($D$15="-",0,INDEX(CPAT_National!AC$6:AC$133,MATCH($G25&amp;"|"&amp;$D$15,CPAT_National!$B$6:$B$133,0)))</f>
        <v>0</v>
      </c>
      <c r="AD25" s="152">
        <f>IF($D$15="-",0,INDEX(CPAT_National!AD$6:AD$133,MATCH($G25&amp;"|"&amp;$D$15,CPAT_National!$B$6:$B$133,0)))</f>
        <v>0</v>
      </c>
      <c r="AE25" s="152">
        <f>IF($D$15="-",0,INDEX(CPAT_National!AE$6:AE$133,MATCH($G25&amp;"|"&amp;$D$15,CPAT_National!$B$6:$B$133,0)))</f>
        <v>0</v>
      </c>
    </row>
    <row r="26" spans="1:35" x14ac:dyDescent="0.35">
      <c r="B26" s="115" t="s">
        <v>3474</v>
      </c>
      <c r="C26" s="115" t="s">
        <v>3475</v>
      </c>
      <c r="D26" s="115" t="s">
        <v>3478</v>
      </c>
      <c r="E26" s="115" t="s">
        <v>1852</v>
      </c>
      <c r="F26" s="115" t="s">
        <v>3477</v>
      </c>
      <c r="G26" s="115" t="s">
        <v>3402</v>
      </c>
      <c r="H26" s="119" t="str">
        <f>Settings!$B$3&amp;".mit.t2.ghg2"</f>
        <v>egy.mit.t2.ghg2</v>
      </c>
      <c r="L26" s="152">
        <f>IF($D$15="-",0,INDEX(CPAT_National!L$6:L$133,MATCH($G26&amp;"|"&amp;$D$15,CPAT_National!$B$6:$B$133,0)))</f>
        <v>0</v>
      </c>
      <c r="M26" s="152">
        <f>IF($D$15="-",0,INDEX(CPAT_National!M$6:M$133,MATCH($G26&amp;"|"&amp;$D$15,CPAT_National!$B$6:$B$133,0)))</f>
        <v>0</v>
      </c>
      <c r="N26" s="152">
        <f>IF($D$15="-",0,INDEX(CPAT_National!N$6:N$133,MATCH($G26&amp;"|"&amp;$D$15,CPAT_National!$B$6:$B$133,0)))</f>
        <v>0</v>
      </c>
      <c r="O26" s="152">
        <f>IF($D$15="-",0,INDEX(CPAT_National!O$6:O$133,MATCH($G26&amp;"|"&amp;$D$15,CPAT_National!$B$6:$B$133,0)))</f>
        <v>0</v>
      </c>
      <c r="P26" s="152">
        <f>IF($D$15="-",0,INDEX(CPAT_National!P$6:P$133,MATCH($G26&amp;"|"&amp;$D$15,CPAT_National!$B$6:$B$133,0)))</f>
        <v>0</v>
      </c>
      <c r="Q26" s="152">
        <f>IF($D$15="-",0,INDEX(CPAT_National!Q$6:Q$133,MATCH($G26&amp;"|"&amp;$D$15,CPAT_National!$B$6:$B$133,0)))</f>
        <v>0</v>
      </c>
      <c r="R26" s="152">
        <f>IF($D$15="-",0,INDEX(CPAT_National!R$6:R$133,MATCH($G26&amp;"|"&amp;$D$15,CPAT_National!$B$6:$B$133,0)))</f>
        <v>0</v>
      </c>
      <c r="S26" s="152">
        <f>IF($D$15="-",0,INDEX(CPAT_National!S$6:S$133,MATCH($G26&amp;"|"&amp;$D$15,CPAT_National!$B$6:$B$133,0)))</f>
        <v>0</v>
      </c>
      <c r="T26" s="152">
        <f>IF($D$15="-",0,INDEX(CPAT_National!T$6:T$133,MATCH($G26&amp;"|"&amp;$D$15,CPAT_National!$B$6:$B$133,0)))</f>
        <v>0</v>
      </c>
      <c r="U26" s="152">
        <f>IF($D$15="-",0,INDEX(CPAT_National!U$6:U$133,MATCH($G26&amp;"|"&amp;$D$15,CPAT_National!$B$6:$B$133,0)))</f>
        <v>0</v>
      </c>
      <c r="V26" s="152">
        <f>IF($D$15="-",0,INDEX(CPAT_National!V$6:V$133,MATCH($G26&amp;"|"&amp;$D$15,CPAT_National!$B$6:$B$133,0)))</f>
        <v>0</v>
      </c>
      <c r="W26" s="152">
        <f>IF($D$15="-",0,INDEX(CPAT_National!W$6:W$133,MATCH($G26&amp;"|"&amp;$D$15,CPAT_National!$B$6:$B$133,0)))</f>
        <v>0</v>
      </c>
      <c r="X26" s="152">
        <f>IF($D$15="-",0,INDEX(CPAT_National!X$6:X$133,MATCH($G26&amp;"|"&amp;$D$15,CPAT_National!$B$6:$B$133,0)))</f>
        <v>0</v>
      </c>
      <c r="Y26" s="152">
        <f>IF($D$15="-",0,INDEX(CPAT_National!Y$6:Y$133,MATCH($G26&amp;"|"&amp;$D$15,CPAT_National!$B$6:$B$133,0)))</f>
        <v>0</v>
      </c>
      <c r="Z26" s="152">
        <f>IF($D$15="-",0,INDEX(CPAT_National!Z$6:Z$133,MATCH($G26&amp;"|"&amp;$D$15,CPAT_National!$B$6:$B$133,0)))</f>
        <v>0</v>
      </c>
      <c r="AA26" s="152">
        <f>IF($D$15="-",0,INDEX(CPAT_National!AA$6:AA$133,MATCH($G26&amp;"|"&amp;$D$15,CPAT_National!$B$6:$B$133,0)))</f>
        <v>0</v>
      </c>
      <c r="AB26" s="152">
        <f>IF($D$15="-",0,INDEX(CPAT_National!AB$6:AB$133,MATCH($G26&amp;"|"&amp;$D$15,CPAT_National!$B$6:$B$133,0)))</f>
        <v>0</v>
      </c>
      <c r="AC26" s="152">
        <f>IF($D$15="-",0,INDEX(CPAT_National!AC$6:AC$133,MATCH($G26&amp;"|"&amp;$D$15,CPAT_National!$B$6:$B$133,0)))</f>
        <v>0</v>
      </c>
      <c r="AD26" s="152">
        <f>IF($D$15="-",0,INDEX(CPAT_National!AD$6:AD$133,MATCH($G26&amp;"|"&amp;$D$15,CPAT_National!$B$6:$B$133,0)))</f>
        <v>0</v>
      </c>
      <c r="AE26" s="152">
        <f>IF($D$15="-",0,INDEX(CPAT_National!AE$6:AE$133,MATCH($G26&amp;"|"&amp;$D$15,CPAT_National!$B$6:$B$133,0)))</f>
        <v>0</v>
      </c>
    </row>
    <row r="27" spans="1:35" x14ac:dyDescent="0.35">
      <c r="B27" s="115" t="s">
        <v>3474</v>
      </c>
      <c r="C27" s="115" t="s">
        <v>3475</v>
      </c>
      <c r="D27" s="115" t="s">
        <v>3479</v>
      </c>
      <c r="E27" s="115" t="s">
        <v>1852</v>
      </c>
      <c r="F27" s="115" t="s">
        <v>3477</v>
      </c>
      <c r="G27" s="115" t="s">
        <v>3384</v>
      </c>
      <c r="H27" s="119" t="str">
        <f>Settings!$B$3&amp;".mit.t2.ipr1"</f>
        <v>egy.mit.t2.ipr1</v>
      </c>
      <c r="L27" s="152">
        <f>IF($D$15="-",0,INDEX(CPAT_National!L$6:L$133,MATCH($G27&amp;"|"&amp;$D$15,CPAT_National!$B$6:$B$133,0)))</f>
        <v>0</v>
      </c>
      <c r="M27" s="152">
        <f>IF($D$15="-",0,INDEX(CPAT_National!M$6:M$133,MATCH($G27&amp;"|"&amp;$D$15,CPAT_National!$B$6:$B$133,0)))</f>
        <v>0</v>
      </c>
      <c r="N27" s="152">
        <f>IF($D$15="-",0,INDEX(CPAT_National!N$6:N$133,MATCH($G27&amp;"|"&amp;$D$15,CPAT_National!$B$6:$B$133,0)))</f>
        <v>0</v>
      </c>
      <c r="O27" s="152">
        <f>IF($D$15="-",0,INDEX(CPAT_National!O$6:O$133,MATCH($G27&amp;"|"&amp;$D$15,CPAT_National!$B$6:$B$133,0)))</f>
        <v>0</v>
      </c>
      <c r="P27" s="152">
        <f>IF($D$15="-",0,INDEX(CPAT_National!P$6:P$133,MATCH($G27&amp;"|"&amp;$D$15,CPAT_National!$B$6:$B$133,0)))</f>
        <v>0</v>
      </c>
      <c r="Q27" s="152">
        <f>IF($D$15="-",0,INDEX(CPAT_National!Q$6:Q$133,MATCH($G27&amp;"|"&amp;$D$15,CPAT_National!$B$6:$B$133,0)))</f>
        <v>0</v>
      </c>
      <c r="R27" s="152">
        <f>IF($D$15="-",0,INDEX(CPAT_National!R$6:R$133,MATCH($G27&amp;"|"&amp;$D$15,CPAT_National!$B$6:$B$133,0)))</f>
        <v>0</v>
      </c>
      <c r="S27" s="152">
        <f>IF($D$15="-",0,INDEX(CPAT_National!S$6:S$133,MATCH($G27&amp;"|"&amp;$D$15,CPAT_National!$B$6:$B$133,0)))</f>
        <v>0</v>
      </c>
      <c r="T27" s="152">
        <f>IF($D$15="-",0,INDEX(CPAT_National!T$6:T$133,MATCH($G27&amp;"|"&amp;$D$15,CPAT_National!$B$6:$B$133,0)))</f>
        <v>0</v>
      </c>
      <c r="U27" s="152">
        <f>IF($D$15="-",0,INDEX(CPAT_National!U$6:U$133,MATCH($G27&amp;"|"&amp;$D$15,CPAT_National!$B$6:$B$133,0)))</f>
        <v>0</v>
      </c>
      <c r="V27" s="152">
        <f>IF($D$15="-",0,INDEX(CPAT_National!V$6:V$133,MATCH($G27&amp;"|"&amp;$D$15,CPAT_National!$B$6:$B$133,0)))</f>
        <v>0</v>
      </c>
      <c r="W27" s="152">
        <f>IF($D$15="-",0,INDEX(CPAT_National!W$6:W$133,MATCH($G27&amp;"|"&amp;$D$15,CPAT_National!$B$6:$B$133,0)))</f>
        <v>0</v>
      </c>
      <c r="X27" s="152">
        <f>IF($D$15="-",0,INDEX(CPAT_National!X$6:X$133,MATCH($G27&amp;"|"&amp;$D$15,CPAT_National!$B$6:$B$133,0)))</f>
        <v>0</v>
      </c>
      <c r="Y27" s="152">
        <f>IF($D$15="-",0,INDEX(CPAT_National!Y$6:Y$133,MATCH($G27&amp;"|"&amp;$D$15,CPAT_National!$B$6:$B$133,0)))</f>
        <v>0</v>
      </c>
      <c r="Z27" s="152">
        <f>IF($D$15="-",0,INDEX(CPAT_National!Z$6:Z$133,MATCH($G27&amp;"|"&amp;$D$15,CPAT_National!$B$6:$B$133,0)))</f>
        <v>0</v>
      </c>
      <c r="AA27" s="152">
        <f>IF($D$15="-",0,INDEX(CPAT_National!AA$6:AA$133,MATCH($G27&amp;"|"&amp;$D$15,CPAT_National!$B$6:$B$133,0)))</f>
        <v>0</v>
      </c>
      <c r="AB27" s="152">
        <f>IF($D$15="-",0,INDEX(CPAT_National!AB$6:AB$133,MATCH($G27&amp;"|"&amp;$D$15,CPAT_National!$B$6:$B$133,0)))</f>
        <v>0</v>
      </c>
      <c r="AC27" s="152">
        <f>IF($D$15="-",0,INDEX(CPAT_National!AC$6:AC$133,MATCH($G27&amp;"|"&amp;$D$15,CPAT_National!$B$6:$B$133,0)))</f>
        <v>0</v>
      </c>
      <c r="AD27" s="152">
        <f>IF($D$15="-",0,INDEX(CPAT_National!AD$6:AD$133,MATCH($G27&amp;"|"&amp;$D$15,CPAT_National!$B$6:$B$133,0)))</f>
        <v>0</v>
      </c>
      <c r="AE27" s="152">
        <f>IF($D$15="-",0,INDEX(CPAT_National!AE$6:AE$133,MATCH($G27&amp;"|"&amp;$D$15,CPAT_National!$B$6:$B$133,0)))</f>
        <v>0</v>
      </c>
    </row>
    <row r="28" spans="1:35" x14ac:dyDescent="0.35">
      <c r="B28" s="115" t="s">
        <v>3474</v>
      </c>
      <c r="C28" s="115" t="s">
        <v>3475</v>
      </c>
      <c r="D28" s="115" t="s">
        <v>3480</v>
      </c>
      <c r="E28" s="115" t="s">
        <v>1852</v>
      </c>
      <c r="F28" s="115" t="s">
        <v>3477</v>
      </c>
      <c r="G28" s="115" t="s">
        <v>3390</v>
      </c>
      <c r="H28" s="119" t="str">
        <f>Settings!$B$3&amp;".mit.t2.ipr2"</f>
        <v>egy.mit.t2.ipr2</v>
      </c>
      <c r="L28" s="152">
        <f>IF($D$15="-",0,INDEX(CPAT_National!L$6:L$133,MATCH($G28&amp;"|"&amp;$D$15,CPAT_National!$B$6:$B$133,0)))</f>
        <v>0</v>
      </c>
      <c r="M28" s="152">
        <f>IF($D$15="-",0,INDEX(CPAT_National!M$6:M$133,MATCH($G28&amp;"|"&amp;$D$15,CPAT_National!$B$6:$B$133,0)))</f>
        <v>0</v>
      </c>
      <c r="N28" s="152">
        <f>IF($D$15="-",0,INDEX(CPAT_National!N$6:N$133,MATCH($G28&amp;"|"&amp;$D$15,CPAT_National!$B$6:$B$133,0)))</f>
        <v>0</v>
      </c>
      <c r="O28" s="152">
        <f>IF($D$15="-",0,INDEX(CPAT_National!O$6:O$133,MATCH($G28&amp;"|"&amp;$D$15,CPAT_National!$B$6:$B$133,0)))</f>
        <v>0</v>
      </c>
      <c r="P28" s="152">
        <f>IF($D$15="-",0,INDEX(CPAT_National!P$6:P$133,MATCH($G28&amp;"|"&amp;$D$15,CPAT_National!$B$6:$B$133,0)))</f>
        <v>0</v>
      </c>
      <c r="Q28" s="152">
        <f>IF($D$15="-",0,INDEX(CPAT_National!Q$6:Q$133,MATCH($G28&amp;"|"&amp;$D$15,CPAT_National!$B$6:$B$133,0)))</f>
        <v>0</v>
      </c>
      <c r="R28" s="152">
        <f>IF($D$15="-",0,INDEX(CPAT_National!R$6:R$133,MATCH($G28&amp;"|"&amp;$D$15,CPAT_National!$B$6:$B$133,0)))</f>
        <v>0</v>
      </c>
      <c r="S28" s="152">
        <f>IF($D$15="-",0,INDEX(CPAT_National!S$6:S$133,MATCH($G28&amp;"|"&amp;$D$15,CPAT_National!$B$6:$B$133,0)))</f>
        <v>0</v>
      </c>
      <c r="T28" s="152">
        <f>IF($D$15="-",0,INDEX(CPAT_National!T$6:T$133,MATCH($G28&amp;"|"&amp;$D$15,CPAT_National!$B$6:$B$133,0)))</f>
        <v>0</v>
      </c>
      <c r="U28" s="152">
        <f>IF($D$15="-",0,INDEX(CPAT_National!U$6:U$133,MATCH($G28&amp;"|"&amp;$D$15,CPAT_National!$B$6:$B$133,0)))</f>
        <v>0</v>
      </c>
      <c r="V28" s="152">
        <f>IF($D$15="-",0,INDEX(CPAT_National!V$6:V$133,MATCH($G28&amp;"|"&amp;$D$15,CPAT_National!$B$6:$B$133,0)))</f>
        <v>0</v>
      </c>
      <c r="W28" s="152">
        <f>IF($D$15="-",0,INDEX(CPAT_National!W$6:W$133,MATCH($G28&amp;"|"&amp;$D$15,CPAT_National!$B$6:$B$133,0)))</f>
        <v>0</v>
      </c>
      <c r="X28" s="152">
        <f>IF($D$15="-",0,INDEX(CPAT_National!X$6:X$133,MATCH($G28&amp;"|"&amp;$D$15,CPAT_National!$B$6:$B$133,0)))</f>
        <v>0</v>
      </c>
      <c r="Y28" s="152">
        <f>IF($D$15="-",0,INDEX(CPAT_National!Y$6:Y$133,MATCH($G28&amp;"|"&amp;$D$15,CPAT_National!$B$6:$B$133,0)))</f>
        <v>0</v>
      </c>
      <c r="Z28" s="152">
        <f>IF($D$15="-",0,INDEX(CPAT_National!Z$6:Z$133,MATCH($G28&amp;"|"&amp;$D$15,CPAT_National!$B$6:$B$133,0)))</f>
        <v>0</v>
      </c>
      <c r="AA28" s="152">
        <f>IF($D$15="-",0,INDEX(CPAT_National!AA$6:AA$133,MATCH($G28&amp;"|"&amp;$D$15,CPAT_National!$B$6:$B$133,0)))</f>
        <v>0</v>
      </c>
      <c r="AB28" s="152">
        <f>IF($D$15="-",0,INDEX(CPAT_National!AB$6:AB$133,MATCH($G28&amp;"|"&amp;$D$15,CPAT_National!$B$6:$B$133,0)))</f>
        <v>0</v>
      </c>
      <c r="AC28" s="152">
        <f>IF($D$15="-",0,INDEX(CPAT_National!AC$6:AC$133,MATCH($G28&amp;"|"&amp;$D$15,CPAT_National!$B$6:$B$133,0)))</f>
        <v>0</v>
      </c>
      <c r="AD28" s="152">
        <f>IF($D$15="-",0,INDEX(CPAT_National!AD$6:AD$133,MATCH($G28&amp;"|"&amp;$D$15,CPAT_National!$B$6:$B$133,0)))</f>
        <v>0</v>
      </c>
      <c r="AE28" s="152">
        <f>IF($D$15="-",0,INDEX(CPAT_National!AE$6:AE$133,MATCH($G28&amp;"|"&amp;$D$15,CPAT_National!$B$6:$B$133,0)))</f>
        <v>0</v>
      </c>
    </row>
    <row r="29" spans="1:35" x14ac:dyDescent="0.35">
      <c r="B29" s="115" t="s">
        <v>3474</v>
      </c>
      <c r="C29" s="115" t="s">
        <v>3475</v>
      </c>
      <c r="D29" s="115" t="s">
        <v>3481</v>
      </c>
      <c r="E29" s="115" t="s">
        <v>2068</v>
      </c>
      <c r="F29" s="115" t="s">
        <v>3477</v>
      </c>
      <c r="G29" s="115" t="s">
        <v>3301</v>
      </c>
      <c r="H29" s="119" t="str">
        <f>Settings!$B$3&amp;".mit.t2.enr1"</f>
        <v>egy.mit.t2.enr1</v>
      </c>
      <c r="L29" s="152">
        <f>IF($D$15="-",0,INDEX(CPAT_National!L$6:L$133,MATCH($G29&amp;"|"&amp;$D$15,CPAT_National!$B$6:$B$133,0)))</f>
        <v>0</v>
      </c>
      <c r="M29" s="152">
        <f>IF($D$15="-",0,INDEX(CPAT_National!M$6:M$133,MATCH($G29&amp;"|"&amp;$D$15,CPAT_National!$B$6:$B$133,0)))</f>
        <v>0</v>
      </c>
      <c r="N29" s="152">
        <f>IF($D$15="-",0,INDEX(CPAT_National!N$6:N$133,MATCH($G29&amp;"|"&amp;$D$15,CPAT_National!$B$6:$B$133,0)))</f>
        <v>0</v>
      </c>
      <c r="O29" s="152">
        <f>IF($D$15="-",0,INDEX(CPAT_National!O$6:O$133,MATCH($G29&amp;"|"&amp;$D$15,CPAT_National!$B$6:$B$133,0)))</f>
        <v>0</v>
      </c>
      <c r="P29" s="152">
        <f>IF($D$15="-",0,INDEX(CPAT_National!P$6:P$133,MATCH($G29&amp;"|"&amp;$D$15,CPAT_National!$B$6:$B$133,0)))</f>
        <v>0</v>
      </c>
      <c r="Q29" s="152">
        <f>IF($D$15="-",0,INDEX(CPAT_National!Q$6:Q$133,MATCH($G29&amp;"|"&amp;$D$15,CPAT_National!$B$6:$B$133,0)))</f>
        <v>0</v>
      </c>
      <c r="R29" s="152">
        <f>IF($D$15="-",0,INDEX(CPAT_National!R$6:R$133,MATCH($G29&amp;"|"&amp;$D$15,CPAT_National!$B$6:$B$133,0)))</f>
        <v>0</v>
      </c>
      <c r="S29" s="152">
        <f>IF($D$15="-",0,INDEX(CPAT_National!S$6:S$133,MATCH($G29&amp;"|"&amp;$D$15,CPAT_National!$B$6:$B$133,0)))</f>
        <v>0</v>
      </c>
      <c r="T29" s="152">
        <f>IF($D$15="-",0,INDEX(CPAT_National!T$6:T$133,MATCH($G29&amp;"|"&amp;$D$15,CPAT_National!$B$6:$B$133,0)))</f>
        <v>0</v>
      </c>
      <c r="U29" s="152">
        <f>IF($D$15="-",0,INDEX(CPAT_National!U$6:U$133,MATCH($G29&amp;"|"&amp;$D$15,CPAT_National!$B$6:$B$133,0)))</f>
        <v>0</v>
      </c>
      <c r="V29" s="152">
        <f>IF($D$15="-",0,INDEX(CPAT_National!V$6:V$133,MATCH($G29&amp;"|"&amp;$D$15,CPAT_National!$B$6:$B$133,0)))</f>
        <v>0</v>
      </c>
      <c r="W29" s="152">
        <f>IF($D$15="-",0,INDEX(CPAT_National!W$6:W$133,MATCH($G29&amp;"|"&amp;$D$15,CPAT_National!$B$6:$B$133,0)))</f>
        <v>0</v>
      </c>
      <c r="X29" s="152">
        <f>IF($D$15="-",0,INDEX(CPAT_National!X$6:X$133,MATCH($G29&amp;"|"&amp;$D$15,CPAT_National!$B$6:$B$133,0)))</f>
        <v>0</v>
      </c>
      <c r="Y29" s="152">
        <f>IF($D$15="-",0,INDEX(CPAT_National!Y$6:Y$133,MATCH($G29&amp;"|"&amp;$D$15,CPAT_National!$B$6:$B$133,0)))</f>
        <v>0</v>
      </c>
      <c r="Z29" s="152">
        <f>IF($D$15="-",0,INDEX(CPAT_National!Z$6:Z$133,MATCH($G29&amp;"|"&amp;$D$15,CPAT_National!$B$6:$B$133,0)))</f>
        <v>0</v>
      </c>
      <c r="AA29" s="152">
        <f>IF($D$15="-",0,INDEX(CPAT_National!AA$6:AA$133,MATCH($G29&amp;"|"&amp;$D$15,CPAT_National!$B$6:$B$133,0)))</f>
        <v>0</v>
      </c>
      <c r="AB29" s="152">
        <f>IF($D$15="-",0,INDEX(CPAT_National!AB$6:AB$133,MATCH($G29&amp;"|"&amp;$D$15,CPAT_National!$B$6:$B$133,0)))</f>
        <v>0</v>
      </c>
      <c r="AC29" s="152">
        <f>IF($D$15="-",0,INDEX(CPAT_National!AC$6:AC$133,MATCH($G29&amp;"|"&amp;$D$15,CPAT_National!$B$6:$B$133,0)))</f>
        <v>0</v>
      </c>
      <c r="AD29" s="152">
        <f>IF($D$15="-",0,INDEX(CPAT_National!AD$6:AD$133,MATCH($G29&amp;"|"&amp;$D$15,CPAT_National!$B$6:$B$133,0)))</f>
        <v>0</v>
      </c>
      <c r="AE29" s="152">
        <f>IF($D$15="-",0,INDEX(CPAT_National!AE$6:AE$133,MATCH($G29&amp;"|"&amp;$D$15,CPAT_National!$B$6:$B$133,0)))</f>
        <v>0</v>
      </c>
    </row>
    <row r="30" spans="1:35" x14ac:dyDescent="0.35">
      <c r="B30" s="115" t="s">
        <v>3474</v>
      </c>
      <c r="C30" s="115" t="s">
        <v>3475</v>
      </c>
      <c r="D30" s="115" t="s">
        <v>3482</v>
      </c>
      <c r="E30" s="115" t="s">
        <v>2068</v>
      </c>
      <c r="F30" s="115" t="s">
        <v>3477</v>
      </c>
      <c r="G30" s="115" t="s">
        <v>3307</v>
      </c>
      <c r="H30" s="119" t="str">
        <f>Settings!$B$3&amp;".mit.t2.enr2"</f>
        <v>egy.mit.t2.enr2</v>
      </c>
      <c r="L30" s="152">
        <f>IF($D$15="-",0,INDEX(CPAT_National!L$6:L$133,MATCH($G30&amp;"|"&amp;$D$15,CPAT_National!$B$6:$B$133,0)))</f>
        <v>0</v>
      </c>
      <c r="M30" s="152">
        <f>IF($D$15="-",0,INDEX(CPAT_National!M$6:M$133,MATCH($G30&amp;"|"&amp;$D$15,CPAT_National!$B$6:$B$133,0)))</f>
        <v>0</v>
      </c>
      <c r="N30" s="152">
        <f>IF($D$15="-",0,INDEX(CPAT_National!N$6:N$133,MATCH($G30&amp;"|"&amp;$D$15,CPAT_National!$B$6:$B$133,0)))</f>
        <v>0</v>
      </c>
      <c r="O30" s="152">
        <f>IF($D$15="-",0,INDEX(CPAT_National!O$6:O$133,MATCH($G30&amp;"|"&amp;$D$15,CPAT_National!$B$6:$B$133,0)))</f>
        <v>0</v>
      </c>
      <c r="P30" s="152">
        <f>IF($D$15="-",0,INDEX(CPAT_National!P$6:P$133,MATCH($G30&amp;"|"&amp;$D$15,CPAT_National!$B$6:$B$133,0)))</f>
        <v>0</v>
      </c>
      <c r="Q30" s="152">
        <f>IF($D$15="-",0,INDEX(CPAT_National!Q$6:Q$133,MATCH($G30&amp;"|"&amp;$D$15,CPAT_National!$B$6:$B$133,0)))</f>
        <v>0</v>
      </c>
      <c r="R30" s="152">
        <f>IF($D$15="-",0,INDEX(CPAT_National!R$6:R$133,MATCH($G30&amp;"|"&amp;$D$15,CPAT_National!$B$6:$B$133,0)))</f>
        <v>0</v>
      </c>
      <c r="S30" s="152">
        <f>IF($D$15="-",0,INDEX(CPAT_National!S$6:S$133,MATCH($G30&amp;"|"&amp;$D$15,CPAT_National!$B$6:$B$133,0)))</f>
        <v>0</v>
      </c>
      <c r="T30" s="152">
        <f>IF($D$15="-",0,INDEX(CPAT_National!T$6:T$133,MATCH($G30&amp;"|"&amp;$D$15,CPAT_National!$B$6:$B$133,0)))</f>
        <v>0</v>
      </c>
      <c r="U30" s="152">
        <f>IF($D$15="-",0,INDEX(CPAT_National!U$6:U$133,MATCH($G30&amp;"|"&amp;$D$15,CPAT_National!$B$6:$B$133,0)))</f>
        <v>0</v>
      </c>
      <c r="V30" s="152">
        <f>IF($D$15="-",0,INDEX(CPAT_National!V$6:V$133,MATCH($G30&amp;"|"&amp;$D$15,CPAT_National!$B$6:$B$133,0)))</f>
        <v>0</v>
      </c>
      <c r="W30" s="152">
        <f>IF($D$15="-",0,INDEX(CPAT_National!W$6:W$133,MATCH($G30&amp;"|"&amp;$D$15,CPAT_National!$B$6:$B$133,0)))</f>
        <v>0</v>
      </c>
      <c r="X30" s="152">
        <f>IF($D$15="-",0,INDEX(CPAT_National!X$6:X$133,MATCH($G30&amp;"|"&amp;$D$15,CPAT_National!$B$6:$B$133,0)))</f>
        <v>0</v>
      </c>
      <c r="Y30" s="152">
        <f>IF($D$15="-",0,INDEX(CPAT_National!Y$6:Y$133,MATCH($G30&amp;"|"&amp;$D$15,CPAT_National!$B$6:$B$133,0)))</f>
        <v>0</v>
      </c>
      <c r="Z30" s="152">
        <f>IF($D$15="-",0,INDEX(CPAT_National!Z$6:Z$133,MATCH($G30&amp;"|"&amp;$D$15,CPAT_National!$B$6:$B$133,0)))</f>
        <v>0</v>
      </c>
      <c r="AA30" s="152">
        <f>IF($D$15="-",0,INDEX(CPAT_National!AA$6:AA$133,MATCH($G30&amp;"|"&amp;$D$15,CPAT_National!$B$6:$B$133,0)))</f>
        <v>0</v>
      </c>
      <c r="AB30" s="152">
        <f>IF($D$15="-",0,INDEX(CPAT_National!AB$6:AB$133,MATCH($G30&amp;"|"&amp;$D$15,CPAT_National!$B$6:$B$133,0)))</f>
        <v>0</v>
      </c>
      <c r="AC30" s="152">
        <f>IF($D$15="-",0,INDEX(CPAT_National!AC$6:AC$133,MATCH($G30&amp;"|"&amp;$D$15,CPAT_National!$B$6:$B$133,0)))</f>
        <v>0</v>
      </c>
      <c r="AD30" s="152">
        <f>IF($D$15="-",0,INDEX(CPAT_National!AD$6:AD$133,MATCH($G30&amp;"|"&amp;$D$15,CPAT_National!$B$6:$B$133,0)))</f>
        <v>0</v>
      </c>
      <c r="AE30" s="152">
        <f>IF($D$15="-",0,INDEX(CPAT_National!AE$6:AE$133,MATCH($G30&amp;"|"&amp;$D$15,CPAT_National!$B$6:$B$133,0)))</f>
        <v>0</v>
      </c>
    </row>
    <row r="31" spans="1:35" x14ac:dyDescent="0.35">
      <c r="B31" s="115" t="s">
        <v>3474</v>
      </c>
      <c r="C31" s="115" t="s">
        <v>3475</v>
      </c>
      <c r="D31" s="115" t="s">
        <v>3483</v>
      </c>
      <c r="E31" s="115" t="s">
        <v>2068</v>
      </c>
      <c r="F31" s="115" t="s">
        <v>3477</v>
      </c>
      <c r="G31" s="115" t="s">
        <v>3313</v>
      </c>
      <c r="H31" s="119" t="str">
        <f>Settings!$B$3&amp;".mit.t2.ind1"</f>
        <v>egy.mit.t2.ind1</v>
      </c>
      <c r="L31" s="152">
        <f>IF($D$15="-",0,INDEX(CPAT_National!L$6:L$133,MATCH($G31&amp;"|"&amp;$D$15,CPAT_National!$B$6:$B$133,0)))</f>
        <v>0</v>
      </c>
      <c r="M31" s="152">
        <f>IF($D$15="-",0,INDEX(CPAT_National!M$6:M$133,MATCH($G31&amp;"|"&amp;$D$15,CPAT_National!$B$6:$B$133,0)))</f>
        <v>0</v>
      </c>
      <c r="N31" s="152">
        <f>IF($D$15="-",0,INDEX(CPAT_National!N$6:N$133,MATCH($G31&amp;"|"&amp;$D$15,CPAT_National!$B$6:$B$133,0)))</f>
        <v>0</v>
      </c>
      <c r="O31" s="152">
        <f>IF($D$15="-",0,INDEX(CPAT_National!O$6:O$133,MATCH($G31&amp;"|"&amp;$D$15,CPAT_National!$B$6:$B$133,0)))</f>
        <v>0</v>
      </c>
      <c r="P31" s="152">
        <f>IF($D$15="-",0,INDEX(CPAT_National!P$6:P$133,MATCH($G31&amp;"|"&amp;$D$15,CPAT_National!$B$6:$B$133,0)))</f>
        <v>0</v>
      </c>
      <c r="Q31" s="152">
        <f>IF($D$15="-",0,INDEX(CPAT_National!Q$6:Q$133,MATCH($G31&amp;"|"&amp;$D$15,CPAT_National!$B$6:$B$133,0)))</f>
        <v>0</v>
      </c>
      <c r="R31" s="152">
        <f>IF($D$15="-",0,INDEX(CPAT_National!R$6:R$133,MATCH($G31&amp;"|"&amp;$D$15,CPAT_National!$B$6:$B$133,0)))</f>
        <v>0</v>
      </c>
      <c r="S31" s="152">
        <f>IF($D$15="-",0,INDEX(CPAT_National!S$6:S$133,MATCH($G31&amp;"|"&amp;$D$15,CPAT_National!$B$6:$B$133,0)))</f>
        <v>0</v>
      </c>
      <c r="T31" s="152">
        <f>IF($D$15="-",0,INDEX(CPAT_National!T$6:T$133,MATCH($G31&amp;"|"&amp;$D$15,CPAT_National!$B$6:$B$133,0)))</f>
        <v>0</v>
      </c>
      <c r="U31" s="152">
        <f>IF($D$15="-",0,INDEX(CPAT_National!U$6:U$133,MATCH($G31&amp;"|"&amp;$D$15,CPAT_National!$B$6:$B$133,0)))</f>
        <v>0</v>
      </c>
      <c r="V31" s="152">
        <f>IF($D$15="-",0,INDEX(CPAT_National!V$6:V$133,MATCH($G31&amp;"|"&amp;$D$15,CPAT_National!$B$6:$B$133,0)))</f>
        <v>0</v>
      </c>
      <c r="W31" s="152">
        <f>IF($D$15="-",0,INDEX(CPAT_National!W$6:W$133,MATCH($G31&amp;"|"&amp;$D$15,CPAT_National!$B$6:$B$133,0)))</f>
        <v>0</v>
      </c>
      <c r="X31" s="152">
        <f>IF($D$15="-",0,INDEX(CPAT_National!X$6:X$133,MATCH($G31&amp;"|"&amp;$D$15,CPAT_National!$B$6:$B$133,0)))</f>
        <v>0</v>
      </c>
      <c r="Y31" s="152">
        <f>IF($D$15="-",0,INDEX(CPAT_National!Y$6:Y$133,MATCH($G31&amp;"|"&amp;$D$15,CPAT_National!$B$6:$B$133,0)))</f>
        <v>0</v>
      </c>
      <c r="Z31" s="152">
        <f>IF($D$15="-",0,INDEX(CPAT_National!Z$6:Z$133,MATCH($G31&amp;"|"&amp;$D$15,CPAT_National!$B$6:$B$133,0)))</f>
        <v>0</v>
      </c>
      <c r="AA31" s="152">
        <f>IF($D$15="-",0,INDEX(CPAT_National!AA$6:AA$133,MATCH($G31&amp;"|"&amp;$D$15,CPAT_National!$B$6:$B$133,0)))</f>
        <v>0</v>
      </c>
      <c r="AB31" s="152">
        <f>IF($D$15="-",0,INDEX(CPAT_National!AB$6:AB$133,MATCH($G31&amp;"|"&amp;$D$15,CPAT_National!$B$6:$B$133,0)))</f>
        <v>0</v>
      </c>
      <c r="AC31" s="152">
        <f>IF($D$15="-",0,INDEX(CPAT_National!AC$6:AC$133,MATCH($G31&amp;"|"&amp;$D$15,CPAT_National!$B$6:$B$133,0)))</f>
        <v>0</v>
      </c>
      <c r="AD31" s="152">
        <f>IF($D$15="-",0,INDEX(CPAT_National!AD$6:AD$133,MATCH($G31&amp;"|"&amp;$D$15,CPAT_National!$B$6:$B$133,0)))</f>
        <v>0</v>
      </c>
      <c r="AE31" s="152">
        <f>IF($D$15="-",0,INDEX(CPAT_National!AE$6:AE$133,MATCH($G31&amp;"|"&amp;$D$15,CPAT_National!$B$6:$B$133,0)))</f>
        <v>0</v>
      </c>
    </row>
    <row r="32" spans="1:35" x14ac:dyDescent="0.35">
      <c r="B32" s="115" t="s">
        <v>3474</v>
      </c>
      <c r="C32" s="115" t="s">
        <v>3475</v>
      </c>
      <c r="D32" s="115" t="s">
        <v>3484</v>
      </c>
      <c r="E32" s="115" t="s">
        <v>2068</v>
      </c>
      <c r="F32" s="115" t="s">
        <v>3477</v>
      </c>
      <c r="G32" s="115" t="s">
        <v>3319</v>
      </c>
      <c r="H32" s="119" t="str">
        <f>Settings!$B$3&amp;".mit.t2.ind2"</f>
        <v>egy.mit.t2.ind2</v>
      </c>
      <c r="L32" s="152">
        <f>IF($D$15="-",0,INDEX(CPAT_National!L$6:L$133,MATCH($G32&amp;"|"&amp;$D$15,CPAT_National!$B$6:$B$133,0)))</f>
        <v>0</v>
      </c>
      <c r="M32" s="152">
        <f>IF($D$15="-",0,INDEX(CPAT_National!M$6:M$133,MATCH($G32&amp;"|"&amp;$D$15,CPAT_National!$B$6:$B$133,0)))</f>
        <v>0</v>
      </c>
      <c r="N32" s="152">
        <f>IF($D$15="-",0,INDEX(CPAT_National!N$6:N$133,MATCH($G32&amp;"|"&amp;$D$15,CPAT_National!$B$6:$B$133,0)))</f>
        <v>0</v>
      </c>
      <c r="O32" s="152">
        <f>IF($D$15="-",0,INDEX(CPAT_National!O$6:O$133,MATCH($G32&amp;"|"&amp;$D$15,CPAT_National!$B$6:$B$133,0)))</f>
        <v>0</v>
      </c>
      <c r="P32" s="152">
        <f>IF($D$15="-",0,INDEX(CPAT_National!P$6:P$133,MATCH($G32&amp;"|"&amp;$D$15,CPAT_National!$B$6:$B$133,0)))</f>
        <v>0</v>
      </c>
      <c r="Q32" s="152">
        <f>IF($D$15="-",0,INDEX(CPAT_National!Q$6:Q$133,MATCH($G32&amp;"|"&amp;$D$15,CPAT_National!$B$6:$B$133,0)))</f>
        <v>0</v>
      </c>
      <c r="R32" s="152">
        <f>IF($D$15="-",0,INDEX(CPAT_National!R$6:R$133,MATCH($G32&amp;"|"&amp;$D$15,CPAT_National!$B$6:$B$133,0)))</f>
        <v>0</v>
      </c>
      <c r="S32" s="152">
        <f>IF($D$15="-",0,INDEX(CPAT_National!S$6:S$133,MATCH($G32&amp;"|"&amp;$D$15,CPAT_National!$B$6:$B$133,0)))</f>
        <v>0</v>
      </c>
      <c r="T32" s="152">
        <f>IF($D$15="-",0,INDEX(CPAT_National!T$6:T$133,MATCH($G32&amp;"|"&amp;$D$15,CPAT_National!$B$6:$B$133,0)))</f>
        <v>0</v>
      </c>
      <c r="U32" s="152">
        <f>IF($D$15="-",0,INDEX(CPAT_National!U$6:U$133,MATCH($G32&amp;"|"&amp;$D$15,CPAT_National!$B$6:$B$133,0)))</f>
        <v>0</v>
      </c>
      <c r="V32" s="152">
        <f>IF($D$15="-",0,INDEX(CPAT_National!V$6:V$133,MATCH($G32&amp;"|"&amp;$D$15,CPAT_National!$B$6:$B$133,0)))</f>
        <v>0</v>
      </c>
      <c r="W32" s="152">
        <f>IF($D$15="-",0,INDEX(CPAT_National!W$6:W$133,MATCH($G32&amp;"|"&amp;$D$15,CPAT_National!$B$6:$B$133,0)))</f>
        <v>0</v>
      </c>
      <c r="X32" s="152">
        <f>IF($D$15="-",0,INDEX(CPAT_National!X$6:X$133,MATCH($G32&amp;"|"&amp;$D$15,CPAT_National!$B$6:$B$133,0)))</f>
        <v>0</v>
      </c>
      <c r="Y32" s="152">
        <f>IF($D$15="-",0,INDEX(CPAT_National!Y$6:Y$133,MATCH($G32&amp;"|"&amp;$D$15,CPAT_National!$B$6:$B$133,0)))</f>
        <v>0</v>
      </c>
      <c r="Z32" s="152">
        <f>IF($D$15="-",0,INDEX(CPAT_National!Z$6:Z$133,MATCH($G32&amp;"|"&amp;$D$15,CPAT_National!$B$6:$B$133,0)))</f>
        <v>0</v>
      </c>
      <c r="AA32" s="152">
        <f>IF($D$15="-",0,INDEX(CPAT_National!AA$6:AA$133,MATCH($G32&amp;"|"&amp;$D$15,CPAT_National!$B$6:$B$133,0)))</f>
        <v>0</v>
      </c>
      <c r="AB32" s="152">
        <f>IF($D$15="-",0,INDEX(CPAT_National!AB$6:AB$133,MATCH($G32&amp;"|"&amp;$D$15,CPAT_National!$B$6:$B$133,0)))</f>
        <v>0</v>
      </c>
      <c r="AC32" s="152">
        <f>IF($D$15="-",0,INDEX(CPAT_National!AC$6:AC$133,MATCH($G32&amp;"|"&amp;$D$15,CPAT_National!$B$6:$B$133,0)))</f>
        <v>0</v>
      </c>
      <c r="AD32" s="152">
        <f>IF($D$15="-",0,INDEX(CPAT_National!AD$6:AD$133,MATCH($G32&amp;"|"&amp;$D$15,CPAT_National!$B$6:$B$133,0)))</f>
        <v>0</v>
      </c>
      <c r="AE32" s="152">
        <f>IF($D$15="-",0,INDEX(CPAT_National!AE$6:AE$133,MATCH($G32&amp;"|"&amp;$D$15,CPAT_National!$B$6:$B$133,0)))</f>
        <v>0</v>
      </c>
    </row>
    <row r="33" spans="2:31" x14ac:dyDescent="0.35">
      <c r="B33" s="115" t="s">
        <v>3474</v>
      </c>
      <c r="C33" s="115" t="s">
        <v>3475</v>
      </c>
      <c r="D33" s="115" t="s">
        <v>3485</v>
      </c>
      <c r="E33" s="115" t="s">
        <v>16</v>
      </c>
      <c r="F33" s="115" t="s">
        <v>3477</v>
      </c>
      <c r="G33" s="115" t="s">
        <v>1403</v>
      </c>
      <c r="H33" s="119" t="str">
        <f>Settings!$B$3&amp;".mit.t2.cptraj"</f>
        <v>egy.mit.t2.cptraj</v>
      </c>
      <c r="L33" s="152">
        <f>IF($D$15="-",0,INDEX(CPAT_National!L$6:L$133,MATCH($G33&amp;"|"&amp;$D$15,CPAT_National!$B$6:$B$133,0)))</f>
        <v>0</v>
      </c>
      <c r="M33" s="152">
        <f>IF($D$15="-",0,INDEX(CPAT_National!M$6:M$133,MATCH($G33&amp;"|"&amp;$D$15,CPAT_National!$B$6:$B$133,0)))</f>
        <v>0</v>
      </c>
      <c r="N33" s="152">
        <f>IF($D$15="-",0,INDEX(CPAT_National!N$6:N$133,MATCH($G33&amp;"|"&amp;$D$15,CPAT_National!$B$6:$B$133,0)))</f>
        <v>0</v>
      </c>
      <c r="O33" s="152">
        <f>IF($D$15="-",0,INDEX(CPAT_National!O$6:O$133,MATCH($G33&amp;"|"&amp;$D$15,CPAT_National!$B$6:$B$133,0)))</f>
        <v>0</v>
      </c>
      <c r="P33" s="152">
        <f>IF($D$15="-",0,INDEX(CPAT_National!P$6:P$133,MATCH($G33&amp;"|"&amp;$D$15,CPAT_National!$B$6:$B$133,0)))</f>
        <v>0</v>
      </c>
      <c r="Q33" s="152">
        <f>IF($D$15="-",0,INDEX(CPAT_National!Q$6:Q$133,MATCH($G33&amp;"|"&amp;$D$15,CPAT_National!$B$6:$B$133,0)))</f>
        <v>0</v>
      </c>
      <c r="R33" s="152">
        <f>IF($D$15="-",0,INDEX(CPAT_National!R$6:R$133,MATCH($G33&amp;"|"&amp;$D$15,CPAT_National!$B$6:$B$133,0)))</f>
        <v>0</v>
      </c>
      <c r="S33" s="152">
        <f>IF($D$15="-",0,INDEX(CPAT_National!S$6:S$133,MATCH($G33&amp;"|"&amp;$D$15,CPAT_National!$B$6:$B$133,0)))</f>
        <v>0</v>
      </c>
      <c r="T33" s="152">
        <f>IF($D$15="-",0,INDEX(CPAT_National!T$6:T$133,MATCH($G33&amp;"|"&amp;$D$15,CPAT_National!$B$6:$B$133,0)))</f>
        <v>0</v>
      </c>
      <c r="U33" s="152">
        <f>IF($D$15="-",0,INDEX(CPAT_National!U$6:U$133,MATCH($G33&amp;"|"&amp;$D$15,CPAT_National!$B$6:$B$133,0)))</f>
        <v>0</v>
      </c>
      <c r="V33" s="152">
        <f>IF($D$15="-",0,INDEX(CPAT_National!V$6:V$133,MATCH($G33&amp;"|"&amp;$D$15,CPAT_National!$B$6:$B$133,0)))</f>
        <v>0</v>
      </c>
      <c r="W33" s="152">
        <f>IF($D$15="-",0,INDEX(CPAT_National!W$6:W$133,MATCH($G33&amp;"|"&amp;$D$15,CPAT_National!$B$6:$B$133,0)))</f>
        <v>0</v>
      </c>
      <c r="X33" s="152">
        <f>IF($D$15="-",0,INDEX(CPAT_National!X$6:X$133,MATCH($G33&amp;"|"&amp;$D$15,CPAT_National!$B$6:$B$133,0)))</f>
        <v>0</v>
      </c>
      <c r="Y33" s="152">
        <f>IF($D$15="-",0,INDEX(CPAT_National!Y$6:Y$133,MATCH($G33&amp;"|"&amp;$D$15,CPAT_National!$B$6:$B$133,0)))</f>
        <v>0</v>
      </c>
      <c r="Z33" s="152">
        <f>IF($D$15="-",0,INDEX(CPAT_National!Z$6:Z$133,MATCH($G33&amp;"|"&amp;$D$15,CPAT_National!$B$6:$B$133,0)))</f>
        <v>0</v>
      </c>
      <c r="AA33" s="152">
        <f>IF($D$15="-",0,INDEX(CPAT_National!AA$6:AA$133,MATCH($G33&amp;"|"&amp;$D$15,CPAT_National!$B$6:$B$133,0)))</f>
        <v>0</v>
      </c>
      <c r="AB33" s="152">
        <f>IF($D$15="-",0,INDEX(CPAT_National!AB$6:AB$133,MATCH($G33&amp;"|"&amp;$D$15,CPAT_National!$B$6:$B$133,0)))</f>
        <v>0</v>
      </c>
      <c r="AC33" s="152">
        <f>IF($D$15="-",0,INDEX(CPAT_National!AC$6:AC$133,MATCH($G33&amp;"|"&amp;$D$15,CPAT_National!$B$6:$B$133,0)))</f>
        <v>0</v>
      </c>
      <c r="AD33" s="152">
        <f>IF($D$15="-",0,INDEX(CPAT_National!AD$6:AD$133,MATCH($G33&amp;"|"&amp;$D$15,CPAT_National!$B$6:$B$133,0)))</f>
        <v>0</v>
      </c>
      <c r="AE33" s="152">
        <f>IF($D$15="-",0,INDEX(CPAT_National!AE$6:AE$133,MATCH($G33&amp;"|"&amp;$D$15,CPAT_National!$B$6:$B$133,0)))</f>
        <v>0</v>
      </c>
    </row>
    <row r="34" spans="2:31" x14ac:dyDescent="0.35">
      <c r="B34" s="115" t="s">
        <v>3474</v>
      </c>
      <c r="C34" s="115" t="s">
        <v>3475</v>
      </c>
      <c r="D34" s="115" t="s">
        <v>3486</v>
      </c>
      <c r="E34" s="115" t="s">
        <v>16</v>
      </c>
      <c r="F34" s="115" t="s">
        <v>3477</v>
      </c>
      <c r="G34" s="115" t="s">
        <v>3378</v>
      </c>
      <c r="H34" s="119" t="str">
        <f>Settings!$B$3&amp;".mit.t2.effcp"</f>
        <v>egy.mit.t2.effcp</v>
      </c>
      <c r="L34" s="152">
        <f>IF($D$15="-",0,INDEX(CPAT_National!L$6:L$133,MATCH($G34&amp;"|"&amp;$D$15,CPAT_National!$B$6:$B$133,0)))</f>
        <v>0</v>
      </c>
      <c r="M34" s="152">
        <f>IF($D$15="-",0,INDEX(CPAT_National!M$6:M$133,MATCH($G34&amp;"|"&amp;$D$15,CPAT_National!$B$6:$B$133,0)))</f>
        <v>0</v>
      </c>
      <c r="N34" s="152">
        <f>IF($D$15="-",0,INDEX(CPAT_National!N$6:N$133,MATCH($G34&amp;"|"&amp;$D$15,CPAT_National!$B$6:$B$133,0)))</f>
        <v>0</v>
      </c>
      <c r="O34" s="152">
        <f>IF($D$15="-",0,INDEX(CPAT_National!O$6:O$133,MATCH($G34&amp;"|"&amp;$D$15,CPAT_National!$B$6:$B$133,0)))</f>
        <v>0</v>
      </c>
      <c r="P34" s="152">
        <f>IF($D$15="-",0,INDEX(CPAT_National!P$6:P$133,MATCH($G34&amp;"|"&amp;$D$15,CPAT_National!$B$6:$B$133,0)))</f>
        <v>0</v>
      </c>
      <c r="Q34" s="152">
        <f>IF($D$15="-",0,INDEX(CPAT_National!Q$6:Q$133,MATCH($G34&amp;"|"&amp;$D$15,CPAT_National!$B$6:$B$133,0)))</f>
        <v>0</v>
      </c>
      <c r="R34" s="152">
        <f>IF($D$15="-",0,INDEX(CPAT_National!R$6:R$133,MATCH($G34&amp;"|"&amp;$D$15,CPAT_National!$B$6:$B$133,0)))</f>
        <v>0</v>
      </c>
      <c r="S34" s="152">
        <f>IF($D$15="-",0,INDEX(CPAT_National!S$6:S$133,MATCH($G34&amp;"|"&amp;$D$15,CPAT_National!$B$6:$B$133,0)))</f>
        <v>0</v>
      </c>
      <c r="T34" s="152">
        <f>IF($D$15="-",0,INDEX(CPAT_National!T$6:T$133,MATCH($G34&amp;"|"&amp;$D$15,CPAT_National!$B$6:$B$133,0)))</f>
        <v>0</v>
      </c>
      <c r="U34" s="152">
        <f>IF($D$15="-",0,INDEX(CPAT_National!U$6:U$133,MATCH($G34&amp;"|"&amp;$D$15,CPAT_National!$B$6:$B$133,0)))</f>
        <v>0</v>
      </c>
      <c r="V34" s="152">
        <f>IF($D$15="-",0,INDEX(CPAT_National!V$6:V$133,MATCH($G34&amp;"|"&amp;$D$15,CPAT_National!$B$6:$B$133,0)))</f>
        <v>0</v>
      </c>
      <c r="W34" s="152">
        <f>IF($D$15="-",0,INDEX(CPAT_National!W$6:W$133,MATCH($G34&amp;"|"&amp;$D$15,CPAT_National!$B$6:$B$133,0)))</f>
        <v>0</v>
      </c>
      <c r="X34" s="152">
        <f>IF($D$15="-",0,INDEX(CPAT_National!X$6:X$133,MATCH($G34&amp;"|"&amp;$D$15,CPAT_National!$B$6:$B$133,0)))</f>
        <v>0</v>
      </c>
      <c r="Y34" s="152">
        <f>IF($D$15="-",0,INDEX(CPAT_National!Y$6:Y$133,MATCH($G34&amp;"|"&amp;$D$15,CPAT_National!$B$6:$B$133,0)))</f>
        <v>0</v>
      </c>
      <c r="Z34" s="152">
        <f>IF($D$15="-",0,INDEX(CPAT_National!Z$6:Z$133,MATCH($G34&amp;"|"&amp;$D$15,CPAT_National!$B$6:$B$133,0)))</f>
        <v>0</v>
      </c>
      <c r="AA34" s="152">
        <f>IF($D$15="-",0,INDEX(CPAT_National!AA$6:AA$133,MATCH($G34&amp;"|"&amp;$D$15,CPAT_National!$B$6:$B$133,0)))</f>
        <v>0</v>
      </c>
      <c r="AB34" s="152">
        <f>IF($D$15="-",0,INDEX(CPAT_National!AB$6:AB$133,MATCH($G34&amp;"|"&amp;$D$15,CPAT_National!$B$6:$B$133,0)))</f>
        <v>0</v>
      </c>
      <c r="AC34" s="152">
        <f>IF($D$15="-",0,INDEX(CPAT_National!AC$6:AC$133,MATCH($G34&amp;"|"&amp;$D$15,CPAT_National!$B$6:$B$133,0)))</f>
        <v>0</v>
      </c>
      <c r="AD34" s="152">
        <f>IF($D$15="-",0,INDEX(CPAT_National!AD$6:AD$133,MATCH($G34&amp;"|"&amp;$D$15,CPAT_National!$B$6:$B$133,0)))</f>
        <v>0</v>
      </c>
      <c r="AE34" s="152">
        <f>IF($D$15="-",0,INDEX(CPAT_National!AE$6:AE$133,MATCH($G34&amp;"|"&amp;$D$15,CPAT_National!$B$6:$B$133,0)))</f>
        <v>0</v>
      </c>
    </row>
    <row r="35" spans="2:31" x14ac:dyDescent="0.35">
      <c r="B35" s="115" t="s">
        <v>3474</v>
      </c>
      <c r="C35" s="115" t="s">
        <v>3475</v>
      </c>
      <c r="D35" s="115" t="s">
        <v>3487</v>
      </c>
      <c r="E35" s="115" t="s">
        <v>3408</v>
      </c>
      <c r="F35" s="115" t="s">
        <v>3477</v>
      </c>
      <c r="G35" s="115" t="s">
        <v>3445</v>
      </c>
      <c r="H35" s="119" t="str">
        <f>Settings!$B$3&amp;".mit.t2.rev1"</f>
        <v>egy.mit.t2.rev1</v>
      </c>
      <c r="L35" s="152">
        <f>IF($D$15="-",0,INDEX(CPAT_National!L$6:L$133,MATCH($G35&amp;"|"&amp;$D$15,CPAT_National!$B$6:$B$133,0)))</f>
        <v>0</v>
      </c>
      <c r="M35" s="152">
        <f>IF($D$15="-",0,INDEX(CPAT_National!M$6:M$133,MATCH($G35&amp;"|"&amp;$D$15,CPAT_National!$B$6:$B$133,0)))</f>
        <v>0</v>
      </c>
      <c r="N35" s="152">
        <f>IF($D$15="-",0,INDEX(CPAT_National!N$6:N$133,MATCH($G35&amp;"|"&amp;$D$15,CPAT_National!$B$6:$B$133,0)))</f>
        <v>0</v>
      </c>
      <c r="O35" s="152">
        <f>IF($D$15="-",0,INDEX(CPAT_National!O$6:O$133,MATCH($G35&amp;"|"&amp;$D$15,CPAT_National!$B$6:$B$133,0)))</f>
        <v>0</v>
      </c>
      <c r="P35" s="152">
        <f>IF($D$15="-",0,INDEX(CPAT_National!P$6:P$133,MATCH($G35&amp;"|"&amp;$D$15,CPAT_National!$B$6:$B$133,0)))</f>
        <v>0</v>
      </c>
      <c r="Q35" s="152">
        <f>IF($D$15="-",0,INDEX(CPAT_National!Q$6:Q$133,MATCH($G35&amp;"|"&amp;$D$15,CPAT_National!$B$6:$B$133,0)))</f>
        <v>0</v>
      </c>
      <c r="R35" s="152">
        <f>IF($D$15="-",0,INDEX(CPAT_National!R$6:R$133,MATCH($G35&amp;"|"&amp;$D$15,CPAT_National!$B$6:$B$133,0)))</f>
        <v>0</v>
      </c>
      <c r="S35" s="152">
        <f>IF($D$15="-",0,INDEX(CPAT_National!S$6:S$133,MATCH($G35&amp;"|"&amp;$D$15,CPAT_National!$B$6:$B$133,0)))</f>
        <v>0</v>
      </c>
      <c r="T35" s="152">
        <f>IF($D$15="-",0,INDEX(CPAT_National!T$6:T$133,MATCH($G35&amp;"|"&amp;$D$15,CPAT_National!$B$6:$B$133,0)))</f>
        <v>0</v>
      </c>
      <c r="U35" s="152">
        <f>IF($D$15="-",0,INDEX(CPAT_National!U$6:U$133,MATCH($G35&amp;"|"&amp;$D$15,CPAT_National!$B$6:$B$133,0)))</f>
        <v>0</v>
      </c>
      <c r="V35" s="152">
        <f>IF($D$15="-",0,INDEX(CPAT_National!V$6:V$133,MATCH($G35&amp;"|"&amp;$D$15,CPAT_National!$B$6:$B$133,0)))</f>
        <v>0</v>
      </c>
      <c r="W35" s="152">
        <f>IF($D$15="-",0,INDEX(CPAT_National!W$6:W$133,MATCH($G35&amp;"|"&amp;$D$15,CPAT_National!$B$6:$B$133,0)))</f>
        <v>0</v>
      </c>
      <c r="X35" s="152">
        <f>IF($D$15="-",0,INDEX(CPAT_National!X$6:X$133,MATCH($G35&amp;"|"&amp;$D$15,CPAT_National!$B$6:$B$133,0)))</f>
        <v>0</v>
      </c>
      <c r="Y35" s="152">
        <f>IF($D$15="-",0,INDEX(CPAT_National!Y$6:Y$133,MATCH($G35&amp;"|"&amp;$D$15,CPAT_National!$B$6:$B$133,0)))</f>
        <v>0</v>
      </c>
      <c r="Z35" s="152">
        <f>IF($D$15="-",0,INDEX(CPAT_National!Z$6:Z$133,MATCH($G35&amp;"|"&amp;$D$15,CPAT_National!$B$6:$B$133,0)))</f>
        <v>0</v>
      </c>
      <c r="AA35" s="152">
        <f>IF($D$15="-",0,INDEX(CPAT_National!AA$6:AA$133,MATCH($G35&amp;"|"&amp;$D$15,CPAT_National!$B$6:$B$133,0)))</f>
        <v>0</v>
      </c>
      <c r="AB35" s="152">
        <f>IF($D$15="-",0,INDEX(CPAT_National!AB$6:AB$133,MATCH($G35&amp;"|"&amp;$D$15,CPAT_National!$B$6:$B$133,0)))</f>
        <v>0</v>
      </c>
      <c r="AC35" s="152">
        <f>IF($D$15="-",0,INDEX(CPAT_National!AC$6:AC$133,MATCH($G35&amp;"|"&amp;$D$15,CPAT_National!$B$6:$B$133,0)))</f>
        <v>0</v>
      </c>
      <c r="AD35" s="152">
        <f>IF($D$15="-",0,INDEX(CPAT_National!AD$6:AD$133,MATCH($G35&amp;"|"&amp;$D$15,CPAT_National!$B$6:$B$133,0)))</f>
        <v>0</v>
      </c>
      <c r="AE35" s="152">
        <f>IF($D$15="-",0,INDEX(CPAT_National!AE$6:AE$133,MATCH($G35&amp;"|"&amp;$D$15,CPAT_National!$B$6:$B$133,0)))</f>
        <v>0</v>
      </c>
    </row>
    <row r="36" spans="2:31" x14ac:dyDescent="0.35">
      <c r="B36" s="115" t="s">
        <v>3474</v>
      </c>
      <c r="C36" s="115" t="s">
        <v>3475</v>
      </c>
      <c r="D36" s="115" t="s">
        <v>3488</v>
      </c>
      <c r="E36" s="115" t="s">
        <v>3408</v>
      </c>
      <c r="F36" s="115" t="s">
        <v>3477</v>
      </c>
      <c r="G36" s="115" t="s">
        <v>3451</v>
      </c>
      <c r="H36" s="119" t="str">
        <f>Settings!$B$3&amp;".mit.t2.rev2"</f>
        <v>egy.mit.t2.rev2</v>
      </c>
      <c r="L36" s="152">
        <f>IF($D$15="-",0,INDEX(CPAT_National!L$6:L$133,MATCH($G36&amp;"|"&amp;$D$15,CPAT_National!$B$6:$B$133,0)))</f>
        <v>0</v>
      </c>
      <c r="M36" s="152">
        <f>IF($D$15="-",0,INDEX(CPAT_National!M$6:M$133,MATCH($G36&amp;"|"&amp;$D$15,CPAT_National!$B$6:$B$133,0)))</f>
        <v>0</v>
      </c>
      <c r="N36" s="152">
        <f>IF($D$15="-",0,INDEX(CPAT_National!N$6:N$133,MATCH($G36&amp;"|"&amp;$D$15,CPAT_National!$B$6:$B$133,0)))</f>
        <v>0</v>
      </c>
      <c r="O36" s="152">
        <f>IF($D$15="-",0,INDEX(CPAT_National!O$6:O$133,MATCH($G36&amp;"|"&amp;$D$15,CPAT_National!$B$6:$B$133,0)))</f>
        <v>0</v>
      </c>
      <c r="P36" s="152">
        <f>IF($D$15="-",0,INDEX(CPAT_National!P$6:P$133,MATCH($G36&amp;"|"&amp;$D$15,CPAT_National!$B$6:$B$133,0)))</f>
        <v>0</v>
      </c>
      <c r="Q36" s="152">
        <f>IF($D$15="-",0,INDEX(CPAT_National!Q$6:Q$133,MATCH($G36&amp;"|"&amp;$D$15,CPAT_National!$B$6:$B$133,0)))</f>
        <v>0</v>
      </c>
      <c r="R36" s="152">
        <f>IF($D$15="-",0,INDEX(CPAT_National!R$6:R$133,MATCH($G36&amp;"|"&amp;$D$15,CPAT_National!$B$6:$B$133,0)))</f>
        <v>0</v>
      </c>
      <c r="S36" s="152">
        <f>IF($D$15="-",0,INDEX(CPAT_National!S$6:S$133,MATCH($G36&amp;"|"&amp;$D$15,CPAT_National!$B$6:$B$133,0)))</f>
        <v>0</v>
      </c>
      <c r="T36" s="152">
        <f>IF($D$15="-",0,INDEX(CPAT_National!T$6:T$133,MATCH($G36&amp;"|"&amp;$D$15,CPAT_National!$B$6:$B$133,0)))</f>
        <v>0</v>
      </c>
      <c r="U36" s="152">
        <f>IF($D$15="-",0,INDEX(CPAT_National!U$6:U$133,MATCH($G36&amp;"|"&amp;$D$15,CPAT_National!$B$6:$B$133,0)))</f>
        <v>0</v>
      </c>
      <c r="V36" s="152">
        <f>IF($D$15="-",0,INDEX(CPAT_National!V$6:V$133,MATCH($G36&amp;"|"&amp;$D$15,CPAT_National!$B$6:$B$133,0)))</f>
        <v>0</v>
      </c>
      <c r="W36" s="152">
        <f>IF($D$15="-",0,INDEX(CPAT_National!W$6:W$133,MATCH($G36&amp;"|"&amp;$D$15,CPAT_National!$B$6:$B$133,0)))</f>
        <v>0</v>
      </c>
      <c r="X36" s="152">
        <f>IF($D$15="-",0,INDEX(CPAT_National!X$6:X$133,MATCH($G36&amp;"|"&amp;$D$15,CPAT_National!$B$6:$B$133,0)))</f>
        <v>0</v>
      </c>
      <c r="Y36" s="152">
        <f>IF($D$15="-",0,INDEX(CPAT_National!Y$6:Y$133,MATCH($G36&amp;"|"&amp;$D$15,CPAT_National!$B$6:$B$133,0)))</f>
        <v>0</v>
      </c>
      <c r="Z36" s="152">
        <f>IF($D$15="-",0,INDEX(CPAT_National!Z$6:Z$133,MATCH($G36&amp;"|"&amp;$D$15,CPAT_National!$B$6:$B$133,0)))</f>
        <v>0</v>
      </c>
      <c r="AA36" s="152">
        <f>IF($D$15="-",0,INDEX(CPAT_National!AA$6:AA$133,MATCH($G36&amp;"|"&amp;$D$15,CPAT_National!$B$6:$B$133,0)))</f>
        <v>0</v>
      </c>
      <c r="AB36" s="152">
        <f>IF($D$15="-",0,INDEX(CPAT_National!AB$6:AB$133,MATCH($G36&amp;"|"&amp;$D$15,CPAT_National!$B$6:$B$133,0)))</f>
        <v>0</v>
      </c>
      <c r="AC36" s="152">
        <f>IF($D$15="-",0,INDEX(CPAT_National!AC$6:AC$133,MATCH($G36&amp;"|"&amp;$D$15,CPAT_National!$B$6:$B$133,0)))</f>
        <v>0</v>
      </c>
      <c r="AD36" s="152">
        <f>IF($D$15="-",0,INDEX(CPAT_National!AD$6:AD$133,MATCH($G36&amp;"|"&amp;$D$15,CPAT_National!$B$6:$B$133,0)))</f>
        <v>0</v>
      </c>
      <c r="AE36" s="152">
        <f>IF($D$15="-",0,INDEX(CPAT_National!AE$6:AE$133,MATCH($G36&amp;"|"&amp;$D$15,CPAT_National!$B$6:$B$133,0)))</f>
        <v>0</v>
      </c>
    </row>
    <row r="37" spans="2:31" x14ac:dyDescent="0.35">
      <c r="B37" s="115" t="s">
        <v>3474</v>
      </c>
      <c r="C37" s="115" t="s">
        <v>3475</v>
      </c>
      <c r="D37" s="115" t="s">
        <v>3489</v>
      </c>
      <c r="E37" s="115" t="s">
        <v>3408</v>
      </c>
      <c r="F37" s="115" t="s">
        <v>3477</v>
      </c>
      <c r="G37" s="115" t="s">
        <v>3409</v>
      </c>
      <c r="H37" s="119" t="str">
        <f>Settings!$B$3&amp;".mit.t2.rcoa"</f>
        <v>egy.mit.t2.rcoa</v>
      </c>
      <c r="L37" s="152">
        <f>IF($D$15="-",0,INDEX(CPAT_National!L$6:L$133,MATCH($G37&amp;"|"&amp;$D$15,CPAT_National!$B$6:$B$133,0)))</f>
        <v>0</v>
      </c>
      <c r="M37" s="152">
        <f>IF($D$15="-",0,INDEX(CPAT_National!M$6:M$133,MATCH($G37&amp;"|"&amp;$D$15,CPAT_National!$B$6:$B$133,0)))</f>
        <v>0</v>
      </c>
      <c r="N37" s="152">
        <f>IF($D$15="-",0,INDEX(CPAT_National!N$6:N$133,MATCH($G37&amp;"|"&amp;$D$15,CPAT_National!$B$6:$B$133,0)))</f>
        <v>0</v>
      </c>
      <c r="O37" s="152">
        <f>IF($D$15="-",0,INDEX(CPAT_National!O$6:O$133,MATCH($G37&amp;"|"&amp;$D$15,CPAT_National!$B$6:$B$133,0)))</f>
        <v>0</v>
      </c>
      <c r="P37" s="152">
        <f>IF($D$15="-",0,INDEX(CPAT_National!P$6:P$133,MATCH($G37&amp;"|"&amp;$D$15,CPAT_National!$B$6:$B$133,0)))</f>
        <v>0</v>
      </c>
      <c r="Q37" s="152">
        <f>IF($D$15="-",0,INDEX(CPAT_National!Q$6:Q$133,MATCH($G37&amp;"|"&amp;$D$15,CPAT_National!$B$6:$B$133,0)))</f>
        <v>0</v>
      </c>
      <c r="R37" s="152">
        <f>IF($D$15="-",0,INDEX(CPAT_National!R$6:R$133,MATCH($G37&amp;"|"&amp;$D$15,CPAT_National!$B$6:$B$133,0)))</f>
        <v>0</v>
      </c>
      <c r="S37" s="152">
        <f>IF($D$15="-",0,INDEX(CPAT_National!S$6:S$133,MATCH($G37&amp;"|"&amp;$D$15,CPAT_National!$B$6:$B$133,0)))</f>
        <v>0</v>
      </c>
      <c r="T37" s="152">
        <f>IF($D$15="-",0,INDEX(CPAT_National!T$6:T$133,MATCH($G37&amp;"|"&amp;$D$15,CPAT_National!$B$6:$B$133,0)))</f>
        <v>0</v>
      </c>
      <c r="U37" s="152">
        <f>IF($D$15="-",0,INDEX(CPAT_National!U$6:U$133,MATCH($G37&amp;"|"&amp;$D$15,CPAT_National!$B$6:$B$133,0)))</f>
        <v>0</v>
      </c>
      <c r="V37" s="152">
        <f>IF($D$15="-",0,INDEX(CPAT_National!V$6:V$133,MATCH($G37&amp;"|"&amp;$D$15,CPAT_National!$B$6:$B$133,0)))</f>
        <v>0</v>
      </c>
      <c r="W37" s="152">
        <f>IF($D$15="-",0,INDEX(CPAT_National!W$6:W$133,MATCH($G37&amp;"|"&amp;$D$15,CPAT_National!$B$6:$B$133,0)))</f>
        <v>0</v>
      </c>
      <c r="X37" s="152">
        <f>IF($D$15="-",0,INDEX(CPAT_National!X$6:X$133,MATCH($G37&amp;"|"&amp;$D$15,CPAT_National!$B$6:$B$133,0)))</f>
        <v>0</v>
      </c>
      <c r="Y37" s="152">
        <f>IF($D$15="-",0,INDEX(CPAT_National!Y$6:Y$133,MATCH($G37&amp;"|"&amp;$D$15,CPAT_National!$B$6:$B$133,0)))</f>
        <v>0</v>
      </c>
      <c r="Z37" s="152">
        <f>IF($D$15="-",0,INDEX(CPAT_National!Z$6:Z$133,MATCH($G37&amp;"|"&amp;$D$15,CPAT_National!$B$6:$B$133,0)))</f>
        <v>0</v>
      </c>
      <c r="AA37" s="152">
        <f>IF($D$15="-",0,INDEX(CPAT_National!AA$6:AA$133,MATCH($G37&amp;"|"&amp;$D$15,CPAT_National!$B$6:$B$133,0)))</f>
        <v>0</v>
      </c>
      <c r="AB37" s="152">
        <f>IF($D$15="-",0,INDEX(CPAT_National!AB$6:AB$133,MATCH($G37&amp;"|"&amp;$D$15,CPAT_National!$B$6:$B$133,0)))</f>
        <v>0</v>
      </c>
      <c r="AC37" s="152">
        <f>IF($D$15="-",0,INDEX(CPAT_National!AC$6:AC$133,MATCH($G37&amp;"|"&amp;$D$15,CPAT_National!$B$6:$B$133,0)))</f>
        <v>0</v>
      </c>
      <c r="AD37" s="152">
        <f>IF($D$15="-",0,INDEX(CPAT_National!AD$6:AD$133,MATCH($G37&amp;"|"&amp;$D$15,CPAT_National!$B$6:$B$133,0)))</f>
        <v>0</v>
      </c>
      <c r="AE37" s="152">
        <f>IF($D$15="-",0,INDEX(CPAT_National!AE$6:AE$133,MATCH($G37&amp;"|"&amp;$D$15,CPAT_National!$B$6:$B$133,0)))</f>
        <v>0</v>
      </c>
    </row>
    <row r="38" spans="2:31" x14ac:dyDescent="0.35">
      <c r="B38" s="115" t="s">
        <v>3474</v>
      </c>
      <c r="C38" s="115" t="s">
        <v>3475</v>
      </c>
      <c r="D38" s="115" t="s">
        <v>3490</v>
      </c>
      <c r="E38" s="115" t="s">
        <v>3408</v>
      </c>
      <c r="F38" s="115" t="s">
        <v>3477</v>
      </c>
      <c r="G38" s="115" t="s">
        <v>3415</v>
      </c>
      <c r="H38" s="119" t="str">
        <f>Settings!$B$3&amp;".mit.t2.rdie"</f>
        <v>egy.mit.t2.rdie</v>
      </c>
      <c r="L38" s="152">
        <f>IF($D$15="-",0,INDEX(CPAT_National!L$6:L$133,MATCH($G38&amp;"|"&amp;$D$15,CPAT_National!$B$6:$B$133,0)))</f>
        <v>0</v>
      </c>
      <c r="M38" s="152">
        <f>IF($D$15="-",0,INDEX(CPAT_National!M$6:M$133,MATCH($G38&amp;"|"&amp;$D$15,CPAT_National!$B$6:$B$133,0)))</f>
        <v>0</v>
      </c>
      <c r="N38" s="152">
        <f>IF($D$15="-",0,INDEX(CPAT_National!N$6:N$133,MATCH($G38&amp;"|"&amp;$D$15,CPAT_National!$B$6:$B$133,0)))</f>
        <v>0</v>
      </c>
      <c r="O38" s="152">
        <f>IF($D$15="-",0,INDEX(CPAT_National!O$6:O$133,MATCH($G38&amp;"|"&amp;$D$15,CPAT_National!$B$6:$B$133,0)))</f>
        <v>0</v>
      </c>
      <c r="P38" s="152">
        <f>IF($D$15="-",0,INDEX(CPAT_National!P$6:P$133,MATCH($G38&amp;"|"&amp;$D$15,CPAT_National!$B$6:$B$133,0)))</f>
        <v>0</v>
      </c>
      <c r="Q38" s="152">
        <f>IF($D$15="-",0,INDEX(CPAT_National!Q$6:Q$133,MATCH($G38&amp;"|"&amp;$D$15,CPAT_National!$B$6:$B$133,0)))</f>
        <v>0</v>
      </c>
      <c r="R38" s="152">
        <f>IF($D$15="-",0,INDEX(CPAT_National!R$6:R$133,MATCH($G38&amp;"|"&amp;$D$15,CPAT_National!$B$6:$B$133,0)))</f>
        <v>0</v>
      </c>
      <c r="S38" s="152">
        <f>IF($D$15="-",0,INDEX(CPAT_National!S$6:S$133,MATCH($G38&amp;"|"&amp;$D$15,CPAT_National!$B$6:$B$133,0)))</f>
        <v>0</v>
      </c>
      <c r="T38" s="152">
        <f>IF($D$15="-",0,INDEX(CPAT_National!T$6:T$133,MATCH($G38&amp;"|"&amp;$D$15,CPAT_National!$B$6:$B$133,0)))</f>
        <v>0</v>
      </c>
      <c r="U38" s="152">
        <f>IF($D$15="-",0,INDEX(CPAT_National!U$6:U$133,MATCH($G38&amp;"|"&amp;$D$15,CPAT_National!$B$6:$B$133,0)))</f>
        <v>0</v>
      </c>
      <c r="V38" s="152">
        <f>IF($D$15="-",0,INDEX(CPAT_National!V$6:V$133,MATCH($G38&amp;"|"&amp;$D$15,CPAT_National!$B$6:$B$133,0)))</f>
        <v>0</v>
      </c>
      <c r="W38" s="152">
        <f>IF($D$15="-",0,INDEX(CPAT_National!W$6:W$133,MATCH($G38&amp;"|"&amp;$D$15,CPAT_National!$B$6:$B$133,0)))</f>
        <v>0</v>
      </c>
      <c r="X38" s="152">
        <f>IF($D$15="-",0,INDEX(CPAT_National!X$6:X$133,MATCH($G38&amp;"|"&amp;$D$15,CPAT_National!$B$6:$B$133,0)))</f>
        <v>0</v>
      </c>
      <c r="Y38" s="152">
        <f>IF($D$15="-",0,INDEX(CPAT_National!Y$6:Y$133,MATCH($G38&amp;"|"&amp;$D$15,CPAT_National!$B$6:$B$133,0)))</f>
        <v>0</v>
      </c>
      <c r="Z38" s="152">
        <f>IF($D$15="-",0,INDEX(CPAT_National!Z$6:Z$133,MATCH($G38&amp;"|"&amp;$D$15,CPAT_National!$B$6:$B$133,0)))</f>
        <v>0</v>
      </c>
      <c r="AA38" s="152">
        <f>IF($D$15="-",0,INDEX(CPAT_National!AA$6:AA$133,MATCH($G38&amp;"|"&amp;$D$15,CPAT_National!$B$6:$B$133,0)))</f>
        <v>0</v>
      </c>
      <c r="AB38" s="152">
        <f>IF($D$15="-",0,INDEX(CPAT_National!AB$6:AB$133,MATCH($G38&amp;"|"&amp;$D$15,CPAT_National!$B$6:$B$133,0)))</f>
        <v>0</v>
      </c>
      <c r="AC38" s="152">
        <f>IF($D$15="-",0,INDEX(CPAT_National!AC$6:AC$133,MATCH($G38&amp;"|"&amp;$D$15,CPAT_National!$B$6:$B$133,0)))</f>
        <v>0</v>
      </c>
      <c r="AD38" s="152">
        <f>IF($D$15="-",0,INDEX(CPAT_National!AD$6:AD$133,MATCH($G38&amp;"|"&amp;$D$15,CPAT_National!$B$6:$B$133,0)))</f>
        <v>0</v>
      </c>
      <c r="AE38" s="152">
        <f>IF($D$15="-",0,INDEX(CPAT_National!AE$6:AE$133,MATCH($G38&amp;"|"&amp;$D$15,CPAT_National!$B$6:$B$133,0)))</f>
        <v>0</v>
      </c>
    </row>
    <row r="39" spans="2:31" x14ac:dyDescent="0.35">
      <c r="B39" s="115" t="s">
        <v>3474</v>
      </c>
      <c r="C39" s="115" t="s">
        <v>3475</v>
      </c>
      <c r="D39" s="115" t="s">
        <v>3491</v>
      </c>
      <c r="E39" s="115" t="s">
        <v>3408</v>
      </c>
      <c r="F39" s="115" t="s">
        <v>3477</v>
      </c>
      <c r="G39" s="115" t="s">
        <v>3421</v>
      </c>
      <c r="H39" s="119" t="str">
        <f>Settings!$B$3&amp;".mit.t2.rgso"</f>
        <v>egy.mit.t2.rgso</v>
      </c>
      <c r="L39" s="152">
        <f>IF($D$15="-",0,INDEX(CPAT_National!L$6:L$133,MATCH($G39&amp;"|"&amp;$D$15,CPAT_National!$B$6:$B$133,0)))</f>
        <v>0</v>
      </c>
      <c r="M39" s="152">
        <f>IF($D$15="-",0,INDEX(CPAT_National!M$6:M$133,MATCH($G39&amp;"|"&amp;$D$15,CPAT_National!$B$6:$B$133,0)))</f>
        <v>0</v>
      </c>
      <c r="N39" s="152">
        <f>IF($D$15="-",0,INDEX(CPAT_National!N$6:N$133,MATCH($G39&amp;"|"&amp;$D$15,CPAT_National!$B$6:$B$133,0)))</f>
        <v>0</v>
      </c>
      <c r="O39" s="152">
        <f>IF($D$15="-",0,INDEX(CPAT_National!O$6:O$133,MATCH($G39&amp;"|"&amp;$D$15,CPAT_National!$B$6:$B$133,0)))</f>
        <v>0</v>
      </c>
      <c r="P39" s="152">
        <f>IF($D$15="-",0,INDEX(CPAT_National!P$6:P$133,MATCH($G39&amp;"|"&amp;$D$15,CPAT_National!$B$6:$B$133,0)))</f>
        <v>0</v>
      </c>
      <c r="Q39" s="152">
        <f>IF($D$15="-",0,INDEX(CPAT_National!Q$6:Q$133,MATCH($G39&amp;"|"&amp;$D$15,CPAT_National!$B$6:$B$133,0)))</f>
        <v>0</v>
      </c>
      <c r="R39" s="152">
        <f>IF($D$15="-",0,INDEX(CPAT_National!R$6:R$133,MATCH($G39&amp;"|"&amp;$D$15,CPAT_National!$B$6:$B$133,0)))</f>
        <v>0</v>
      </c>
      <c r="S39" s="152">
        <f>IF($D$15="-",0,INDEX(CPAT_National!S$6:S$133,MATCH($G39&amp;"|"&amp;$D$15,CPAT_National!$B$6:$B$133,0)))</f>
        <v>0</v>
      </c>
      <c r="T39" s="152">
        <f>IF($D$15="-",0,INDEX(CPAT_National!T$6:T$133,MATCH($G39&amp;"|"&amp;$D$15,CPAT_National!$B$6:$B$133,0)))</f>
        <v>0</v>
      </c>
      <c r="U39" s="152">
        <f>IF($D$15="-",0,INDEX(CPAT_National!U$6:U$133,MATCH($G39&amp;"|"&amp;$D$15,CPAT_National!$B$6:$B$133,0)))</f>
        <v>0</v>
      </c>
      <c r="V39" s="152">
        <f>IF($D$15="-",0,INDEX(CPAT_National!V$6:V$133,MATCH($G39&amp;"|"&amp;$D$15,CPAT_National!$B$6:$B$133,0)))</f>
        <v>0</v>
      </c>
      <c r="W39" s="152">
        <f>IF($D$15="-",0,INDEX(CPAT_National!W$6:W$133,MATCH($G39&amp;"|"&amp;$D$15,CPAT_National!$B$6:$B$133,0)))</f>
        <v>0</v>
      </c>
      <c r="X39" s="152">
        <f>IF($D$15="-",0,INDEX(CPAT_National!X$6:X$133,MATCH($G39&amp;"|"&amp;$D$15,CPAT_National!$B$6:$B$133,0)))</f>
        <v>0</v>
      </c>
      <c r="Y39" s="152">
        <f>IF($D$15="-",0,INDEX(CPAT_National!Y$6:Y$133,MATCH($G39&amp;"|"&amp;$D$15,CPAT_National!$B$6:$B$133,0)))</f>
        <v>0</v>
      </c>
      <c r="Z39" s="152">
        <f>IF($D$15="-",0,INDEX(CPAT_National!Z$6:Z$133,MATCH($G39&amp;"|"&amp;$D$15,CPAT_National!$B$6:$B$133,0)))</f>
        <v>0</v>
      </c>
      <c r="AA39" s="152">
        <f>IF($D$15="-",0,INDEX(CPAT_National!AA$6:AA$133,MATCH($G39&amp;"|"&amp;$D$15,CPAT_National!$B$6:$B$133,0)))</f>
        <v>0</v>
      </c>
      <c r="AB39" s="152">
        <f>IF($D$15="-",0,INDEX(CPAT_National!AB$6:AB$133,MATCH($G39&amp;"|"&amp;$D$15,CPAT_National!$B$6:$B$133,0)))</f>
        <v>0</v>
      </c>
      <c r="AC39" s="152">
        <f>IF($D$15="-",0,INDEX(CPAT_National!AC$6:AC$133,MATCH($G39&amp;"|"&amp;$D$15,CPAT_National!$B$6:$B$133,0)))</f>
        <v>0</v>
      </c>
      <c r="AD39" s="152">
        <f>IF($D$15="-",0,INDEX(CPAT_National!AD$6:AD$133,MATCH($G39&amp;"|"&amp;$D$15,CPAT_National!$B$6:$B$133,0)))</f>
        <v>0</v>
      </c>
      <c r="AE39" s="152">
        <f>IF($D$15="-",0,INDEX(CPAT_National!AE$6:AE$133,MATCH($G39&amp;"|"&amp;$D$15,CPAT_National!$B$6:$B$133,0)))</f>
        <v>0</v>
      </c>
    </row>
    <row r="40" spans="2:31" x14ac:dyDescent="0.35">
      <c r="B40" s="115" t="s">
        <v>3474</v>
      </c>
      <c r="C40" s="115" t="s">
        <v>3475</v>
      </c>
      <c r="D40" s="115" t="s">
        <v>3492</v>
      </c>
      <c r="E40" s="115" t="s">
        <v>3408</v>
      </c>
      <c r="F40" s="115" t="s">
        <v>3477</v>
      </c>
      <c r="G40" s="115" t="s">
        <v>3427</v>
      </c>
      <c r="H40" s="119" t="str">
        <f>Settings!$B$3&amp;".mit.t2.rlpk"</f>
        <v>egy.mit.t2.rlpk</v>
      </c>
      <c r="L40" s="152">
        <f>IF($D$15="-",0,INDEX(CPAT_National!L$6:L$133,MATCH($G40&amp;"|"&amp;$D$15,CPAT_National!$B$6:$B$133,0)))</f>
        <v>0</v>
      </c>
      <c r="M40" s="152">
        <f>IF($D$15="-",0,INDEX(CPAT_National!M$6:M$133,MATCH($G40&amp;"|"&amp;$D$15,CPAT_National!$B$6:$B$133,0)))</f>
        <v>0</v>
      </c>
      <c r="N40" s="152">
        <f>IF($D$15="-",0,INDEX(CPAT_National!N$6:N$133,MATCH($G40&amp;"|"&amp;$D$15,CPAT_National!$B$6:$B$133,0)))</f>
        <v>0</v>
      </c>
      <c r="O40" s="152">
        <f>IF($D$15="-",0,INDEX(CPAT_National!O$6:O$133,MATCH($G40&amp;"|"&amp;$D$15,CPAT_National!$B$6:$B$133,0)))</f>
        <v>0</v>
      </c>
      <c r="P40" s="152">
        <f>IF($D$15="-",0,INDEX(CPAT_National!P$6:P$133,MATCH($G40&amp;"|"&amp;$D$15,CPAT_National!$B$6:$B$133,0)))</f>
        <v>0</v>
      </c>
      <c r="Q40" s="152">
        <f>IF($D$15="-",0,INDEX(CPAT_National!Q$6:Q$133,MATCH($G40&amp;"|"&amp;$D$15,CPAT_National!$B$6:$B$133,0)))</f>
        <v>0</v>
      </c>
      <c r="R40" s="152">
        <f>IF($D$15="-",0,INDEX(CPAT_National!R$6:R$133,MATCH($G40&amp;"|"&amp;$D$15,CPAT_National!$B$6:$B$133,0)))</f>
        <v>0</v>
      </c>
      <c r="S40" s="152">
        <f>IF($D$15="-",0,INDEX(CPAT_National!S$6:S$133,MATCH($G40&amp;"|"&amp;$D$15,CPAT_National!$B$6:$B$133,0)))</f>
        <v>0</v>
      </c>
      <c r="T40" s="152">
        <f>IF($D$15="-",0,INDEX(CPAT_National!T$6:T$133,MATCH($G40&amp;"|"&amp;$D$15,CPAT_National!$B$6:$B$133,0)))</f>
        <v>0</v>
      </c>
      <c r="U40" s="152">
        <f>IF($D$15="-",0,INDEX(CPAT_National!U$6:U$133,MATCH($G40&amp;"|"&amp;$D$15,CPAT_National!$B$6:$B$133,0)))</f>
        <v>0</v>
      </c>
      <c r="V40" s="152">
        <f>IF($D$15="-",0,INDEX(CPAT_National!V$6:V$133,MATCH($G40&amp;"|"&amp;$D$15,CPAT_National!$B$6:$B$133,0)))</f>
        <v>0</v>
      </c>
      <c r="W40" s="152">
        <f>IF($D$15="-",0,INDEX(CPAT_National!W$6:W$133,MATCH($G40&amp;"|"&amp;$D$15,CPAT_National!$B$6:$B$133,0)))</f>
        <v>0</v>
      </c>
      <c r="X40" s="152">
        <f>IF($D$15="-",0,INDEX(CPAT_National!X$6:X$133,MATCH($G40&amp;"|"&amp;$D$15,CPAT_National!$B$6:$B$133,0)))</f>
        <v>0</v>
      </c>
      <c r="Y40" s="152">
        <f>IF($D$15="-",0,INDEX(CPAT_National!Y$6:Y$133,MATCH($G40&amp;"|"&amp;$D$15,CPAT_National!$B$6:$B$133,0)))</f>
        <v>0</v>
      </c>
      <c r="Z40" s="152">
        <f>IF($D$15="-",0,INDEX(CPAT_National!Z$6:Z$133,MATCH($G40&amp;"|"&amp;$D$15,CPAT_National!$B$6:$B$133,0)))</f>
        <v>0</v>
      </c>
      <c r="AA40" s="152">
        <f>IF($D$15="-",0,INDEX(CPAT_National!AA$6:AA$133,MATCH($G40&amp;"|"&amp;$D$15,CPAT_National!$B$6:$B$133,0)))</f>
        <v>0</v>
      </c>
      <c r="AB40" s="152">
        <f>IF($D$15="-",0,INDEX(CPAT_National!AB$6:AB$133,MATCH($G40&amp;"|"&amp;$D$15,CPAT_National!$B$6:$B$133,0)))</f>
        <v>0</v>
      </c>
      <c r="AC40" s="152">
        <f>IF($D$15="-",0,INDEX(CPAT_National!AC$6:AC$133,MATCH($G40&amp;"|"&amp;$D$15,CPAT_National!$B$6:$B$133,0)))</f>
        <v>0</v>
      </c>
      <c r="AD40" s="152">
        <f>IF($D$15="-",0,INDEX(CPAT_National!AD$6:AD$133,MATCH($G40&amp;"|"&amp;$D$15,CPAT_National!$B$6:$B$133,0)))</f>
        <v>0</v>
      </c>
      <c r="AE40" s="152">
        <f>IF($D$15="-",0,INDEX(CPAT_National!AE$6:AE$133,MATCH($G40&amp;"|"&amp;$D$15,CPAT_National!$B$6:$B$133,0)))</f>
        <v>0</v>
      </c>
    </row>
    <row r="41" spans="2:31" x14ac:dyDescent="0.35">
      <c r="B41" s="115" t="s">
        <v>3474</v>
      </c>
      <c r="C41" s="115" t="s">
        <v>3475</v>
      </c>
      <c r="D41" s="115" t="s">
        <v>3493</v>
      </c>
      <c r="E41" s="115" t="s">
        <v>3408</v>
      </c>
      <c r="F41" s="115" t="s">
        <v>3477</v>
      </c>
      <c r="G41" s="115" t="s">
        <v>3433</v>
      </c>
      <c r="H41" s="119" t="str">
        <f>Settings!$B$3&amp;".mit.t2.rnga"</f>
        <v>egy.mit.t2.rnga</v>
      </c>
      <c r="L41" s="152">
        <f>IF($D$15="-",0,INDEX(CPAT_National!L$6:L$133,MATCH($G41&amp;"|"&amp;$D$15,CPAT_National!$B$6:$B$133,0)))</f>
        <v>0</v>
      </c>
      <c r="M41" s="152">
        <f>IF($D$15="-",0,INDEX(CPAT_National!M$6:M$133,MATCH($G41&amp;"|"&amp;$D$15,CPAT_National!$B$6:$B$133,0)))</f>
        <v>0</v>
      </c>
      <c r="N41" s="152">
        <f>IF($D$15="-",0,INDEX(CPAT_National!N$6:N$133,MATCH($G41&amp;"|"&amp;$D$15,CPAT_National!$B$6:$B$133,0)))</f>
        <v>0</v>
      </c>
      <c r="O41" s="152">
        <f>IF($D$15="-",0,INDEX(CPAT_National!O$6:O$133,MATCH($G41&amp;"|"&amp;$D$15,CPAT_National!$B$6:$B$133,0)))</f>
        <v>0</v>
      </c>
      <c r="P41" s="152">
        <f>IF($D$15="-",0,INDEX(CPAT_National!P$6:P$133,MATCH($G41&amp;"|"&amp;$D$15,CPAT_National!$B$6:$B$133,0)))</f>
        <v>0</v>
      </c>
      <c r="Q41" s="152">
        <f>IF($D$15="-",0,INDEX(CPAT_National!Q$6:Q$133,MATCH($G41&amp;"|"&amp;$D$15,CPAT_National!$B$6:$B$133,0)))</f>
        <v>0</v>
      </c>
      <c r="R41" s="152">
        <f>IF($D$15="-",0,INDEX(CPAT_National!R$6:R$133,MATCH($G41&amp;"|"&amp;$D$15,CPAT_National!$B$6:$B$133,0)))</f>
        <v>0</v>
      </c>
      <c r="S41" s="152">
        <f>IF($D$15="-",0,INDEX(CPAT_National!S$6:S$133,MATCH($G41&amp;"|"&amp;$D$15,CPAT_National!$B$6:$B$133,0)))</f>
        <v>0</v>
      </c>
      <c r="T41" s="152">
        <f>IF($D$15="-",0,INDEX(CPAT_National!T$6:T$133,MATCH($G41&amp;"|"&amp;$D$15,CPAT_National!$B$6:$B$133,0)))</f>
        <v>0</v>
      </c>
      <c r="U41" s="152">
        <f>IF($D$15="-",0,INDEX(CPAT_National!U$6:U$133,MATCH($G41&amp;"|"&amp;$D$15,CPAT_National!$B$6:$B$133,0)))</f>
        <v>0</v>
      </c>
      <c r="V41" s="152">
        <f>IF($D$15="-",0,INDEX(CPAT_National!V$6:V$133,MATCH($G41&amp;"|"&amp;$D$15,CPAT_National!$B$6:$B$133,0)))</f>
        <v>0</v>
      </c>
      <c r="W41" s="152">
        <f>IF($D$15="-",0,INDEX(CPAT_National!W$6:W$133,MATCH($G41&amp;"|"&amp;$D$15,CPAT_National!$B$6:$B$133,0)))</f>
        <v>0</v>
      </c>
      <c r="X41" s="152">
        <f>IF($D$15="-",0,INDEX(CPAT_National!X$6:X$133,MATCH($G41&amp;"|"&amp;$D$15,CPAT_National!$B$6:$B$133,0)))</f>
        <v>0</v>
      </c>
      <c r="Y41" s="152">
        <f>IF($D$15="-",0,INDEX(CPAT_National!Y$6:Y$133,MATCH($G41&amp;"|"&amp;$D$15,CPAT_National!$B$6:$B$133,0)))</f>
        <v>0</v>
      </c>
      <c r="Z41" s="152">
        <f>IF($D$15="-",0,INDEX(CPAT_National!Z$6:Z$133,MATCH($G41&amp;"|"&amp;$D$15,CPAT_National!$B$6:$B$133,0)))</f>
        <v>0</v>
      </c>
      <c r="AA41" s="152">
        <f>IF($D$15="-",0,INDEX(CPAT_National!AA$6:AA$133,MATCH($G41&amp;"|"&amp;$D$15,CPAT_National!$B$6:$B$133,0)))</f>
        <v>0</v>
      </c>
      <c r="AB41" s="152">
        <f>IF($D$15="-",0,INDEX(CPAT_National!AB$6:AB$133,MATCH($G41&amp;"|"&amp;$D$15,CPAT_National!$B$6:$B$133,0)))</f>
        <v>0</v>
      </c>
      <c r="AC41" s="152">
        <f>IF($D$15="-",0,INDEX(CPAT_National!AC$6:AC$133,MATCH($G41&amp;"|"&amp;$D$15,CPAT_National!$B$6:$B$133,0)))</f>
        <v>0</v>
      </c>
      <c r="AD41" s="152">
        <f>IF($D$15="-",0,INDEX(CPAT_National!AD$6:AD$133,MATCH($G41&amp;"|"&amp;$D$15,CPAT_National!$B$6:$B$133,0)))</f>
        <v>0</v>
      </c>
      <c r="AE41" s="152">
        <f>IF($D$15="-",0,INDEX(CPAT_National!AE$6:AE$133,MATCH($G41&amp;"|"&amp;$D$15,CPAT_National!$B$6:$B$133,0)))</f>
        <v>0</v>
      </c>
    </row>
    <row r="42" spans="2:31" x14ac:dyDescent="0.35">
      <c r="B42" s="115" t="s">
        <v>3474</v>
      </c>
      <c r="C42" s="115" t="s">
        <v>3475</v>
      </c>
      <c r="D42" s="115" t="s">
        <v>3494</v>
      </c>
      <c r="E42" s="115" t="s">
        <v>3408</v>
      </c>
      <c r="F42" s="115" t="s">
        <v>3477</v>
      </c>
      <c r="G42" s="115" t="s">
        <v>3439</v>
      </c>
      <c r="H42" s="119" t="str">
        <f>Settings!$B$3&amp;".mit.t2.roil"</f>
        <v>egy.mit.t2.roil</v>
      </c>
      <c r="L42" s="152">
        <f>IF($D$15="-",0,INDEX(CPAT_National!L$6:L$133,MATCH($G42&amp;"|"&amp;$D$15,CPAT_National!$B$6:$B$133,0)))</f>
        <v>0</v>
      </c>
      <c r="M42" s="152">
        <f>IF($D$15="-",0,INDEX(CPAT_National!M$6:M$133,MATCH($G42&amp;"|"&amp;$D$15,CPAT_National!$B$6:$B$133,0)))</f>
        <v>0</v>
      </c>
      <c r="N42" s="152">
        <f>IF($D$15="-",0,INDEX(CPAT_National!N$6:N$133,MATCH($G42&amp;"|"&amp;$D$15,CPAT_National!$B$6:$B$133,0)))</f>
        <v>0</v>
      </c>
      <c r="O42" s="152">
        <f>IF($D$15="-",0,INDEX(CPAT_National!O$6:O$133,MATCH($G42&amp;"|"&amp;$D$15,CPAT_National!$B$6:$B$133,0)))</f>
        <v>0</v>
      </c>
      <c r="P42" s="152">
        <f>IF($D$15="-",0,INDEX(CPAT_National!P$6:P$133,MATCH($G42&amp;"|"&amp;$D$15,CPAT_National!$B$6:$B$133,0)))</f>
        <v>0</v>
      </c>
      <c r="Q42" s="152">
        <f>IF($D$15="-",0,INDEX(CPAT_National!Q$6:Q$133,MATCH($G42&amp;"|"&amp;$D$15,CPAT_National!$B$6:$B$133,0)))</f>
        <v>0</v>
      </c>
      <c r="R42" s="152">
        <f>IF($D$15="-",0,INDEX(CPAT_National!R$6:R$133,MATCH($G42&amp;"|"&amp;$D$15,CPAT_National!$B$6:$B$133,0)))</f>
        <v>0</v>
      </c>
      <c r="S42" s="152">
        <f>IF($D$15="-",0,INDEX(CPAT_National!S$6:S$133,MATCH($G42&amp;"|"&amp;$D$15,CPAT_National!$B$6:$B$133,0)))</f>
        <v>0</v>
      </c>
      <c r="T42" s="152">
        <f>IF($D$15="-",0,INDEX(CPAT_National!T$6:T$133,MATCH($G42&amp;"|"&amp;$D$15,CPAT_National!$B$6:$B$133,0)))</f>
        <v>0</v>
      </c>
      <c r="U42" s="152">
        <f>IF($D$15="-",0,INDEX(CPAT_National!U$6:U$133,MATCH($G42&amp;"|"&amp;$D$15,CPAT_National!$B$6:$B$133,0)))</f>
        <v>0</v>
      </c>
      <c r="V42" s="152">
        <f>IF($D$15="-",0,INDEX(CPAT_National!V$6:V$133,MATCH($G42&amp;"|"&amp;$D$15,CPAT_National!$B$6:$B$133,0)))</f>
        <v>0</v>
      </c>
      <c r="W42" s="152">
        <f>IF($D$15="-",0,INDEX(CPAT_National!W$6:W$133,MATCH($G42&amp;"|"&amp;$D$15,CPAT_National!$B$6:$B$133,0)))</f>
        <v>0</v>
      </c>
      <c r="X42" s="152">
        <f>IF($D$15="-",0,INDEX(CPAT_National!X$6:X$133,MATCH($G42&amp;"|"&amp;$D$15,CPAT_National!$B$6:$B$133,0)))</f>
        <v>0</v>
      </c>
      <c r="Y42" s="152">
        <f>IF($D$15="-",0,INDEX(CPAT_National!Y$6:Y$133,MATCH($G42&amp;"|"&amp;$D$15,CPAT_National!$B$6:$B$133,0)))</f>
        <v>0</v>
      </c>
      <c r="Z42" s="152">
        <f>IF($D$15="-",0,INDEX(CPAT_National!Z$6:Z$133,MATCH($G42&amp;"|"&amp;$D$15,CPAT_National!$B$6:$B$133,0)))</f>
        <v>0</v>
      </c>
      <c r="AA42" s="152">
        <f>IF($D$15="-",0,INDEX(CPAT_National!AA$6:AA$133,MATCH($G42&amp;"|"&amp;$D$15,CPAT_National!$B$6:$B$133,0)))</f>
        <v>0</v>
      </c>
      <c r="AB42" s="152">
        <f>IF($D$15="-",0,INDEX(CPAT_National!AB$6:AB$133,MATCH($G42&amp;"|"&amp;$D$15,CPAT_National!$B$6:$B$133,0)))</f>
        <v>0</v>
      </c>
      <c r="AC42" s="152">
        <f>IF($D$15="-",0,INDEX(CPAT_National!AC$6:AC$133,MATCH($G42&amp;"|"&amp;$D$15,CPAT_National!$B$6:$B$133,0)))</f>
        <v>0</v>
      </c>
      <c r="AD42" s="152">
        <f>IF($D$15="-",0,INDEX(CPAT_National!AD$6:AD$133,MATCH($G42&amp;"|"&amp;$D$15,CPAT_National!$B$6:$B$133,0)))</f>
        <v>0</v>
      </c>
      <c r="AE42" s="152">
        <f>IF($D$15="-",0,INDEX(CPAT_National!AE$6:AE$133,MATCH($G42&amp;"|"&amp;$D$15,CPAT_National!$B$6:$B$133,0)))</f>
        <v>0</v>
      </c>
    </row>
    <row r="43" spans="2:31" x14ac:dyDescent="0.35">
      <c r="B43" s="115" t="s">
        <v>3474</v>
      </c>
      <c r="C43" s="115" t="s">
        <v>3475</v>
      </c>
      <c r="D43" s="115" t="s">
        <v>3495</v>
      </c>
      <c r="E43" s="115" t="s">
        <v>3262</v>
      </c>
      <c r="F43" s="115" t="s">
        <v>3477</v>
      </c>
      <c r="G43" s="115" t="s">
        <v>3264</v>
      </c>
      <c r="H43" s="119" t="str">
        <f>Settings!$B$3&amp;".mit.t2.d2464"</f>
        <v>egy.mit.t2.d2464</v>
      </c>
      <c r="L43" s="152">
        <f>IF($D$15="-",0,INDEX(CPAT_National!L$6:L$133,MATCH($G43&amp;"|"&amp;$D$15,CPAT_National!$B$6:$B$133,0)))</f>
        <v>0</v>
      </c>
      <c r="M43" s="152">
        <f>IF($D$15="-",0,INDEX(CPAT_National!M$6:M$133,MATCH($G43&amp;"|"&amp;$D$15,CPAT_National!$B$6:$B$133,0)))</f>
        <v>0</v>
      </c>
      <c r="N43" s="152">
        <f>IF($D$15="-",0,INDEX(CPAT_National!N$6:N$133,MATCH($G43&amp;"|"&amp;$D$15,CPAT_National!$B$6:$B$133,0)))</f>
        <v>0</v>
      </c>
      <c r="O43" s="152">
        <f>IF($D$15="-",0,INDEX(CPAT_National!O$6:O$133,MATCH($G43&amp;"|"&amp;$D$15,CPAT_National!$B$6:$B$133,0)))</f>
        <v>0</v>
      </c>
      <c r="P43" s="152">
        <f>IF($D$15="-",0,INDEX(CPAT_National!P$6:P$133,MATCH($G43&amp;"|"&amp;$D$15,CPAT_National!$B$6:$B$133,0)))</f>
        <v>0</v>
      </c>
      <c r="Q43" s="152">
        <f>IF($D$15="-",0,INDEX(CPAT_National!Q$6:Q$133,MATCH($G43&amp;"|"&amp;$D$15,CPAT_National!$B$6:$B$133,0)))</f>
        <v>0</v>
      </c>
      <c r="R43" s="152">
        <f>IF($D$15="-",0,INDEX(CPAT_National!R$6:R$133,MATCH($G43&amp;"|"&amp;$D$15,CPAT_National!$B$6:$B$133,0)))</f>
        <v>0</v>
      </c>
      <c r="S43" s="152">
        <f>IF($D$15="-",0,INDEX(CPAT_National!S$6:S$133,MATCH($G43&amp;"|"&amp;$D$15,CPAT_National!$B$6:$B$133,0)))</f>
        <v>0</v>
      </c>
      <c r="T43" s="152">
        <f>IF($D$15="-",0,INDEX(CPAT_National!T$6:T$133,MATCH($G43&amp;"|"&amp;$D$15,CPAT_National!$B$6:$B$133,0)))</f>
        <v>0</v>
      </c>
      <c r="U43" s="152">
        <f>IF($D$15="-",0,INDEX(CPAT_National!U$6:U$133,MATCH($G43&amp;"|"&amp;$D$15,CPAT_National!$B$6:$B$133,0)))</f>
        <v>0</v>
      </c>
      <c r="V43" s="152">
        <f>IF($D$15="-",0,INDEX(CPAT_National!V$6:V$133,MATCH($G43&amp;"|"&amp;$D$15,CPAT_National!$B$6:$B$133,0)))</f>
        <v>0</v>
      </c>
      <c r="W43" s="152">
        <f>IF($D$15="-",0,INDEX(CPAT_National!W$6:W$133,MATCH($G43&amp;"|"&amp;$D$15,CPAT_National!$B$6:$B$133,0)))</f>
        <v>0</v>
      </c>
      <c r="X43" s="152">
        <f>IF($D$15="-",0,INDEX(CPAT_National!X$6:X$133,MATCH($G43&amp;"|"&amp;$D$15,CPAT_National!$B$6:$B$133,0)))</f>
        <v>0</v>
      </c>
      <c r="Y43" s="152">
        <f>IF($D$15="-",0,INDEX(CPAT_National!Y$6:Y$133,MATCH($G43&amp;"|"&amp;$D$15,CPAT_National!$B$6:$B$133,0)))</f>
        <v>0</v>
      </c>
      <c r="Z43" s="152">
        <f>IF($D$15="-",0,INDEX(CPAT_National!Z$6:Z$133,MATCH($G43&amp;"|"&amp;$D$15,CPAT_National!$B$6:$B$133,0)))</f>
        <v>0</v>
      </c>
      <c r="AA43" s="152">
        <f>IF($D$15="-",0,INDEX(CPAT_National!AA$6:AA$133,MATCH($G43&amp;"|"&amp;$D$15,CPAT_National!$B$6:$B$133,0)))</f>
        <v>0</v>
      </c>
      <c r="AB43" s="152">
        <f>IF($D$15="-",0,INDEX(CPAT_National!AB$6:AB$133,MATCH($G43&amp;"|"&amp;$D$15,CPAT_National!$B$6:$B$133,0)))</f>
        <v>0</v>
      </c>
      <c r="AC43" s="152">
        <f>IF($D$15="-",0,INDEX(CPAT_National!AC$6:AC$133,MATCH($G43&amp;"|"&amp;$D$15,CPAT_National!$B$6:$B$133,0)))</f>
        <v>0</v>
      </c>
      <c r="AD43" s="152">
        <f>IF($D$15="-",0,INDEX(CPAT_National!AD$6:AD$133,MATCH($G43&amp;"|"&amp;$D$15,CPAT_National!$B$6:$B$133,0)))</f>
        <v>0</v>
      </c>
      <c r="AE43" s="152">
        <f>IF($D$15="-",0,INDEX(CPAT_National!AE$6:AE$133,MATCH($G43&amp;"|"&amp;$D$15,CPAT_National!$B$6:$B$133,0)))</f>
        <v>0</v>
      </c>
    </row>
    <row r="44" spans="2:31" x14ac:dyDescent="0.35">
      <c r="B44" s="115" t="s">
        <v>3474</v>
      </c>
      <c r="C44" s="115" t="s">
        <v>3475</v>
      </c>
      <c r="D44" s="115" t="s">
        <v>3496</v>
      </c>
      <c r="E44" s="115" t="s">
        <v>3262</v>
      </c>
      <c r="F44" s="115" t="s">
        <v>3477</v>
      </c>
      <c r="G44" s="115" t="s">
        <v>3276</v>
      </c>
      <c r="H44" s="119" t="str">
        <f>Settings!$B$3&amp;".mit.t2.d65"</f>
        <v>egy.mit.t2.d65</v>
      </c>
      <c r="L44" s="152">
        <f>IF($D$15="-",0,INDEX(CPAT_National!L$6:L$133,MATCH($G44&amp;"|"&amp;$D$15,CPAT_National!$B$6:$B$133,0)))</f>
        <v>0</v>
      </c>
      <c r="M44" s="152">
        <f>IF($D$15="-",0,INDEX(CPAT_National!M$6:M$133,MATCH($G44&amp;"|"&amp;$D$15,CPAT_National!$B$6:$B$133,0)))</f>
        <v>0</v>
      </c>
      <c r="N44" s="152">
        <f>IF($D$15="-",0,INDEX(CPAT_National!N$6:N$133,MATCH($G44&amp;"|"&amp;$D$15,CPAT_National!$B$6:$B$133,0)))</f>
        <v>0</v>
      </c>
      <c r="O44" s="152">
        <f>IF($D$15="-",0,INDEX(CPAT_National!O$6:O$133,MATCH($G44&amp;"|"&amp;$D$15,CPAT_National!$B$6:$B$133,0)))</f>
        <v>0</v>
      </c>
      <c r="P44" s="152">
        <f>IF($D$15="-",0,INDEX(CPAT_National!P$6:P$133,MATCH($G44&amp;"|"&amp;$D$15,CPAT_National!$B$6:$B$133,0)))</f>
        <v>0</v>
      </c>
      <c r="Q44" s="152">
        <f>IF($D$15="-",0,INDEX(CPAT_National!Q$6:Q$133,MATCH($G44&amp;"|"&amp;$D$15,CPAT_National!$B$6:$B$133,0)))</f>
        <v>0</v>
      </c>
      <c r="R44" s="152">
        <f>IF($D$15="-",0,INDEX(CPAT_National!R$6:R$133,MATCH($G44&amp;"|"&amp;$D$15,CPAT_National!$B$6:$B$133,0)))</f>
        <v>0</v>
      </c>
      <c r="S44" s="152">
        <f>IF($D$15="-",0,INDEX(CPAT_National!S$6:S$133,MATCH($G44&amp;"|"&amp;$D$15,CPAT_National!$B$6:$B$133,0)))</f>
        <v>0</v>
      </c>
      <c r="T44" s="152">
        <f>IF($D$15="-",0,INDEX(CPAT_National!T$6:T$133,MATCH($G44&amp;"|"&amp;$D$15,CPAT_National!$B$6:$B$133,0)))</f>
        <v>0</v>
      </c>
      <c r="U44" s="152">
        <f>IF($D$15="-",0,INDEX(CPAT_National!U$6:U$133,MATCH($G44&amp;"|"&amp;$D$15,CPAT_National!$B$6:$B$133,0)))</f>
        <v>0</v>
      </c>
      <c r="V44" s="152">
        <f>IF($D$15="-",0,INDEX(CPAT_National!V$6:V$133,MATCH($G44&amp;"|"&amp;$D$15,CPAT_National!$B$6:$B$133,0)))</f>
        <v>0</v>
      </c>
      <c r="W44" s="152">
        <f>IF($D$15="-",0,INDEX(CPAT_National!W$6:W$133,MATCH($G44&amp;"|"&amp;$D$15,CPAT_National!$B$6:$B$133,0)))</f>
        <v>0</v>
      </c>
      <c r="X44" s="152">
        <f>IF($D$15="-",0,INDEX(CPAT_National!X$6:X$133,MATCH($G44&amp;"|"&amp;$D$15,CPAT_National!$B$6:$B$133,0)))</f>
        <v>0</v>
      </c>
      <c r="Y44" s="152">
        <f>IF($D$15="-",0,INDEX(CPAT_National!Y$6:Y$133,MATCH($G44&amp;"|"&amp;$D$15,CPAT_National!$B$6:$B$133,0)))</f>
        <v>0</v>
      </c>
      <c r="Z44" s="152">
        <f>IF($D$15="-",0,INDEX(CPAT_National!Z$6:Z$133,MATCH($G44&amp;"|"&amp;$D$15,CPAT_National!$B$6:$B$133,0)))</f>
        <v>0</v>
      </c>
      <c r="AA44" s="152">
        <f>IF($D$15="-",0,INDEX(CPAT_National!AA$6:AA$133,MATCH($G44&amp;"|"&amp;$D$15,CPAT_National!$B$6:$B$133,0)))</f>
        <v>0</v>
      </c>
      <c r="AB44" s="152">
        <f>IF($D$15="-",0,INDEX(CPAT_National!AB$6:AB$133,MATCH($G44&amp;"|"&amp;$D$15,CPAT_National!$B$6:$B$133,0)))</f>
        <v>0</v>
      </c>
      <c r="AC44" s="152">
        <f>IF($D$15="-",0,INDEX(CPAT_National!AC$6:AC$133,MATCH($G44&amp;"|"&amp;$D$15,CPAT_National!$B$6:$B$133,0)))</f>
        <v>0</v>
      </c>
      <c r="AD44" s="152">
        <f>IF($D$15="-",0,INDEX(CPAT_National!AD$6:AD$133,MATCH($G44&amp;"|"&amp;$D$15,CPAT_National!$B$6:$B$133,0)))</f>
        <v>0</v>
      </c>
      <c r="AE44" s="152">
        <f>IF($D$15="-",0,INDEX(CPAT_National!AE$6:AE$133,MATCH($G44&amp;"|"&amp;$D$15,CPAT_National!$B$6:$B$133,0)))</f>
        <v>0</v>
      </c>
    </row>
    <row r="45" spans="2:31" x14ac:dyDescent="0.35">
      <c r="B45" s="115" t="s">
        <v>3474</v>
      </c>
      <c r="C45" s="115" t="s">
        <v>3475</v>
      </c>
      <c r="D45" s="115" t="s">
        <v>3497</v>
      </c>
      <c r="E45" s="115" t="s">
        <v>3262</v>
      </c>
      <c r="F45" s="115" t="s">
        <v>3477</v>
      </c>
      <c r="G45" s="115" t="s">
        <v>3282</v>
      </c>
      <c r="H45" s="119" t="str">
        <f>Settings!$B$3&amp;".mit.t2.du24"</f>
        <v>egy.mit.t2.du24</v>
      </c>
      <c r="L45" s="152">
        <f>IF($D$15="-",0,INDEX(CPAT_National!L$6:L$133,MATCH($G45&amp;"|"&amp;$D$15,CPAT_National!$B$6:$B$133,0)))</f>
        <v>0</v>
      </c>
      <c r="M45" s="152">
        <f>IF($D$15="-",0,INDEX(CPAT_National!M$6:M$133,MATCH($G45&amp;"|"&amp;$D$15,CPAT_National!$B$6:$B$133,0)))</f>
        <v>0</v>
      </c>
      <c r="N45" s="152">
        <f>IF($D$15="-",0,INDEX(CPAT_National!N$6:N$133,MATCH($G45&amp;"|"&amp;$D$15,CPAT_National!$B$6:$B$133,0)))</f>
        <v>0</v>
      </c>
      <c r="O45" s="152">
        <f>IF($D$15="-",0,INDEX(CPAT_National!O$6:O$133,MATCH($G45&amp;"|"&amp;$D$15,CPAT_National!$B$6:$B$133,0)))</f>
        <v>0</v>
      </c>
      <c r="P45" s="152">
        <f>IF($D$15="-",0,INDEX(CPAT_National!P$6:P$133,MATCH($G45&amp;"|"&amp;$D$15,CPAT_National!$B$6:$B$133,0)))</f>
        <v>0</v>
      </c>
      <c r="Q45" s="152">
        <f>IF($D$15="-",0,INDEX(CPAT_National!Q$6:Q$133,MATCH($G45&amp;"|"&amp;$D$15,CPAT_National!$B$6:$B$133,0)))</f>
        <v>0</v>
      </c>
      <c r="R45" s="152">
        <f>IF($D$15="-",0,INDEX(CPAT_National!R$6:R$133,MATCH($G45&amp;"|"&amp;$D$15,CPAT_National!$B$6:$B$133,0)))</f>
        <v>0</v>
      </c>
      <c r="S45" s="152">
        <f>IF($D$15="-",0,INDEX(CPAT_National!S$6:S$133,MATCH($G45&amp;"|"&amp;$D$15,CPAT_National!$B$6:$B$133,0)))</f>
        <v>0</v>
      </c>
      <c r="T45" s="152">
        <f>IF($D$15="-",0,INDEX(CPAT_National!T$6:T$133,MATCH($G45&amp;"|"&amp;$D$15,CPAT_National!$B$6:$B$133,0)))</f>
        <v>0</v>
      </c>
      <c r="U45" s="152">
        <f>IF($D$15="-",0,INDEX(CPAT_National!U$6:U$133,MATCH($G45&amp;"|"&amp;$D$15,CPAT_National!$B$6:$B$133,0)))</f>
        <v>0</v>
      </c>
      <c r="V45" s="152">
        <f>IF($D$15="-",0,INDEX(CPAT_National!V$6:V$133,MATCH($G45&amp;"|"&amp;$D$15,CPAT_National!$B$6:$B$133,0)))</f>
        <v>0</v>
      </c>
      <c r="W45" s="152">
        <f>IF($D$15="-",0,INDEX(CPAT_National!W$6:W$133,MATCH($G45&amp;"|"&amp;$D$15,CPAT_National!$B$6:$B$133,0)))</f>
        <v>0</v>
      </c>
      <c r="X45" s="152">
        <f>IF($D$15="-",0,INDEX(CPAT_National!X$6:X$133,MATCH($G45&amp;"|"&amp;$D$15,CPAT_National!$B$6:$B$133,0)))</f>
        <v>0</v>
      </c>
      <c r="Y45" s="152">
        <f>IF($D$15="-",0,INDEX(CPAT_National!Y$6:Y$133,MATCH($G45&amp;"|"&amp;$D$15,CPAT_National!$B$6:$B$133,0)))</f>
        <v>0</v>
      </c>
      <c r="Z45" s="152">
        <f>IF($D$15="-",0,INDEX(CPAT_National!Z$6:Z$133,MATCH($G45&amp;"|"&amp;$D$15,CPAT_National!$B$6:$B$133,0)))</f>
        <v>0</v>
      </c>
      <c r="AA45" s="152">
        <f>IF($D$15="-",0,INDEX(CPAT_National!AA$6:AA$133,MATCH($G45&amp;"|"&amp;$D$15,CPAT_National!$B$6:$B$133,0)))</f>
        <v>0</v>
      </c>
      <c r="AB45" s="152">
        <f>IF($D$15="-",0,INDEX(CPAT_National!AB$6:AB$133,MATCH($G45&amp;"|"&amp;$D$15,CPAT_National!$B$6:$B$133,0)))</f>
        <v>0</v>
      </c>
      <c r="AC45" s="152">
        <f>IF($D$15="-",0,INDEX(CPAT_National!AC$6:AC$133,MATCH($G45&amp;"|"&amp;$D$15,CPAT_National!$B$6:$B$133,0)))</f>
        <v>0</v>
      </c>
      <c r="AD45" s="152">
        <f>IF($D$15="-",0,INDEX(CPAT_National!AD$6:AD$133,MATCH($G45&amp;"|"&amp;$D$15,CPAT_National!$B$6:$B$133,0)))</f>
        <v>0</v>
      </c>
      <c r="AE45" s="152">
        <f>IF($D$15="-",0,INDEX(CPAT_National!AE$6:AE$133,MATCH($G45&amp;"|"&amp;$D$15,CPAT_National!$B$6:$B$133,0)))</f>
        <v>0</v>
      </c>
    </row>
    <row r="46" spans="2:31" x14ac:dyDescent="0.35">
      <c r="B46" s="115" t="s">
        <v>3474</v>
      </c>
      <c r="C46" s="115" t="s">
        <v>3475</v>
      </c>
      <c r="D46" s="115" t="s">
        <v>3498</v>
      </c>
      <c r="E46" s="115" t="s">
        <v>3262</v>
      </c>
      <c r="F46" s="115" t="s">
        <v>3477</v>
      </c>
      <c r="G46" s="115" t="s">
        <v>3295</v>
      </c>
      <c r="H46" s="119" t="str">
        <f>Settings!$B$3&amp;".mit.t2.mort"</f>
        <v>egy.mit.t2.mort</v>
      </c>
      <c r="L46" s="152">
        <f>IF($D$15="-",0,INDEX(CPAT_National!L$6:L$133,MATCH($G46&amp;"|"&amp;$D$15,CPAT_National!$B$6:$B$133,0)))</f>
        <v>0</v>
      </c>
      <c r="M46" s="152">
        <f>IF($D$15="-",0,INDEX(CPAT_National!M$6:M$133,MATCH($G46&amp;"|"&amp;$D$15,CPAT_National!$B$6:$B$133,0)))</f>
        <v>0</v>
      </c>
      <c r="N46" s="152">
        <f>IF($D$15="-",0,INDEX(CPAT_National!N$6:N$133,MATCH($G46&amp;"|"&amp;$D$15,CPAT_National!$B$6:$B$133,0)))</f>
        <v>0</v>
      </c>
      <c r="O46" s="152">
        <f>IF($D$15="-",0,INDEX(CPAT_National!O$6:O$133,MATCH($G46&amp;"|"&amp;$D$15,CPAT_National!$B$6:$B$133,0)))</f>
        <v>0</v>
      </c>
      <c r="P46" s="152">
        <f>IF($D$15="-",0,INDEX(CPAT_National!P$6:P$133,MATCH($G46&amp;"|"&amp;$D$15,CPAT_National!$B$6:$B$133,0)))</f>
        <v>0</v>
      </c>
      <c r="Q46" s="152">
        <f>IF($D$15="-",0,INDEX(CPAT_National!Q$6:Q$133,MATCH($G46&amp;"|"&amp;$D$15,CPAT_National!$B$6:$B$133,0)))</f>
        <v>0</v>
      </c>
      <c r="R46" s="152">
        <f>IF($D$15="-",0,INDEX(CPAT_National!R$6:R$133,MATCH($G46&amp;"|"&amp;$D$15,CPAT_National!$B$6:$B$133,0)))</f>
        <v>0</v>
      </c>
      <c r="S46" s="152">
        <f>IF($D$15="-",0,INDEX(CPAT_National!S$6:S$133,MATCH($G46&amp;"|"&amp;$D$15,CPAT_National!$B$6:$B$133,0)))</f>
        <v>0</v>
      </c>
      <c r="T46" s="152">
        <f>IF($D$15="-",0,INDEX(CPAT_National!T$6:T$133,MATCH($G46&amp;"|"&amp;$D$15,CPAT_National!$B$6:$B$133,0)))</f>
        <v>0</v>
      </c>
      <c r="U46" s="152">
        <f>IF($D$15="-",0,INDEX(CPAT_National!U$6:U$133,MATCH($G46&amp;"|"&amp;$D$15,CPAT_National!$B$6:$B$133,0)))</f>
        <v>0</v>
      </c>
      <c r="V46" s="152">
        <f>IF($D$15="-",0,INDEX(CPAT_National!V$6:V$133,MATCH($G46&amp;"|"&amp;$D$15,CPAT_National!$B$6:$B$133,0)))</f>
        <v>0</v>
      </c>
      <c r="W46" s="152">
        <f>IF($D$15="-",0,INDEX(CPAT_National!W$6:W$133,MATCH($G46&amp;"|"&amp;$D$15,CPAT_National!$B$6:$B$133,0)))</f>
        <v>0</v>
      </c>
      <c r="X46" s="152">
        <f>IF($D$15="-",0,INDEX(CPAT_National!X$6:X$133,MATCH($G46&amp;"|"&amp;$D$15,CPAT_National!$B$6:$B$133,0)))</f>
        <v>0</v>
      </c>
      <c r="Y46" s="152">
        <f>IF($D$15="-",0,INDEX(CPAT_National!Y$6:Y$133,MATCH($G46&amp;"|"&amp;$D$15,CPAT_National!$B$6:$B$133,0)))</f>
        <v>0</v>
      </c>
      <c r="Z46" s="152">
        <f>IF($D$15="-",0,INDEX(CPAT_National!Z$6:Z$133,MATCH($G46&amp;"|"&amp;$D$15,CPAT_National!$B$6:$B$133,0)))</f>
        <v>0</v>
      </c>
      <c r="AA46" s="152">
        <f>IF($D$15="-",0,INDEX(CPAT_National!AA$6:AA$133,MATCH($G46&amp;"|"&amp;$D$15,CPAT_National!$B$6:$B$133,0)))</f>
        <v>0</v>
      </c>
      <c r="AB46" s="152">
        <f>IF($D$15="-",0,INDEX(CPAT_National!AB$6:AB$133,MATCH($G46&amp;"|"&amp;$D$15,CPAT_National!$B$6:$B$133,0)))</f>
        <v>0</v>
      </c>
      <c r="AC46" s="152">
        <f>IF($D$15="-",0,INDEX(CPAT_National!AC$6:AC$133,MATCH($G46&amp;"|"&amp;$D$15,CPAT_National!$B$6:$B$133,0)))</f>
        <v>0</v>
      </c>
      <c r="AD46" s="152">
        <f>IF($D$15="-",0,INDEX(CPAT_National!AD$6:AD$133,MATCH($G46&amp;"|"&amp;$D$15,CPAT_National!$B$6:$B$133,0)))</f>
        <v>0</v>
      </c>
      <c r="AE46" s="152">
        <f>IF($D$15="-",0,INDEX(CPAT_National!AE$6:AE$133,MATCH($G46&amp;"|"&amp;$D$15,CPAT_National!$B$6:$B$133,0)))</f>
        <v>0</v>
      </c>
    </row>
    <row r="47" spans="2:31" x14ac:dyDescent="0.35">
      <c r="B47" s="115" t="s">
        <v>3499</v>
      </c>
      <c r="C47" s="115" t="s">
        <v>3475</v>
      </c>
      <c r="D47" s="115" t="s">
        <v>3500</v>
      </c>
      <c r="E47" s="115" t="s">
        <v>3408</v>
      </c>
      <c r="H47" s="119" t="str">
        <f>Settings!$B$3&amp;".mit.t2.revctax"</f>
        <v>egy.mit.t2.revctax</v>
      </c>
      <c r="I47" s="115" t="s">
        <v>3501</v>
      </c>
      <c r="L47" s="152">
        <f t="shared" ref="L47:AE47" si="0">SUM(L37:L42)</f>
        <v>0</v>
      </c>
      <c r="M47" s="152">
        <f t="shared" si="0"/>
        <v>0</v>
      </c>
      <c r="N47" s="152">
        <f t="shared" si="0"/>
        <v>0</v>
      </c>
      <c r="O47" s="152">
        <f t="shared" si="0"/>
        <v>0</v>
      </c>
      <c r="P47" s="152">
        <f t="shared" si="0"/>
        <v>0</v>
      </c>
      <c r="Q47" s="152">
        <f t="shared" si="0"/>
        <v>0</v>
      </c>
      <c r="R47" s="152">
        <f t="shared" si="0"/>
        <v>0</v>
      </c>
      <c r="S47" s="152">
        <f t="shared" si="0"/>
        <v>0</v>
      </c>
      <c r="T47" s="152">
        <f t="shared" si="0"/>
        <v>0</v>
      </c>
      <c r="U47" s="152">
        <f t="shared" si="0"/>
        <v>0</v>
      </c>
      <c r="V47" s="152">
        <f t="shared" si="0"/>
        <v>0</v>
      </c>
      <c r="W47" s="152">
        <f t="shared" si="0"/>
        <v>0</v>
      </c>
      <c r="X47" s="152">
        <f t="shared" si="0"/>
        <v>0</v>
      </c>
      <c r="Y47" s="152">
        <f t="shared" si="0"/>
        <v>0</v>
      </c>
      <c r="Z47" s="152">
        <f t="shared" si="0"/>
        <v>0</v>
      </c>
      <c r="AA47" s="152">
        <f t="shared" si="0"/>
        <v>0</v>
      </c>
      <c r="AB47" s="152">
        <f t="shared" si="0"/>
        <v>0</v>
      </c>
      <c r="AC47" s="152">
        <f t="shared" si="0"/>
        <v>0</v>
      </c>
      <c r="AD47" s="152">
        <f t="shared" si="0"/>
        <v>0</v>
      </c>
      <c r="AE47" s="152">
        <f t="shared" si="0"/>
        <v>0</v>
      </c>
    </row>
    <row r="48" spans="2:31" x14ac:dyDescent="0.35">
      <c r="B48" s="115" t="s">
        <v>3499</v>
      </c>
      <c r="C48" s="115" t="s">
        <v>3475</v>
      </c>
      <c r="D48" s="115" t="s">
        <v>3502</v>
      </c>
      <c r="E48" s="115" t="s">
        <v>3262</v>
      </c>
      <c r="H48" s="119" t="str">
        <f>Settings!$B$3&amp;".mit.t2.deaths"</f>
        <v>egy.mit.t2.deaths</v>
      </c>
      <c r="I48" s="115" t="s">
        <v>3503</v>
      </c>
      <c r="L48" s="152">
        <f t="shared" ref="L48:AE48" si="1">SUM(L43:L45)</f>
        <v>0</v>
      </c>
      <c r="M48" s="152">
        <f t="shared" si="1"/>
        <v>0</v>
      </c>
      <c r="N48" s="152">
        <f t="shared" si="1"/>
        <v>0</v>
      </c>
      <c r="O48" s="152">
        <f t="shared" si="1"/>
        <v>0</v>
      </c>
      <c r="P48" s="152">
        <f t="shared" si="1"/>
        <v>0</v>
      </c>
      <c r="Q48" s="152">
        <f t="shared" si="1"/>
        <v>0</v>
      </c>
      <c r="R48" s="152">
        <f t="shared" si="1"/>
        <v>0</v>
      </c>
      <c r="S48" s="152">
        <f t="shared" si="1"/>
        <v>0</v>
      </c>
      <c r="T48" s="152">
        <f t="shared" si="1"/>
        <v>0</v>
      </c>
      <c r="U48" s="152">
        <f t="shared" si="1"/>
        <v>0</v>
      </c>
      <c r="V48" s="152">
        <f t="shared" si="1"/>
        <v>0</v>
      </c>
      <c r="W48" s="152">
        <f t="shared" si="1"/>
        <v>0</v>
      </c>
      <c r="X48" s="152">
        <f t="shared" si="1"/>
        <v>0</v>
      </c>
      <c r="Y48" s="152">
        <f t="shared" si="1"/>
        <v>0</v>
      </c>
      <c r="Z48" s="152">
        <f t="shared" si="1"/>
        <v>0</v>
      </c>
      <c r="AA48" s="152">
        <f t="shared" si="1"/>
        <v>0</v>
      </c>
      <c r="AB48" s="152">
        <f t="shared" si="1"/>
        <v>0</v>
      </c>
      <c r="AC48" s="152">
        <f t="shared" si="1"/>
        <v>0</v>
      </c>
      <c r="AD48" s="152">
        <f t="shared" si="1"/>
        <v>0</v>
      </c>
      <c r="AE48" s="152">
        <f t="shared" si="1"/>
        <v>0</v>
      </c>
    </row>
    <row r="49" spans="1:35" x14ac:dyDescent="0.35">
      <c r="B49" s="115" t="s">
        <v>3499</v>
      </c>
      <c r="C49" s="115" t="s">
        <v>3475</v>
      </c>
      <c r="D49" s="115" t="s">
        <v>3504</v>
      </c>
      <c r="E49" s="115" t="s">
        <v>1852</v>
      </c>
      <c r="H49" s="119" t="str">
        <f>Settings!$B$3&amp;".mit.t2.dghg"</f>
        <v>egy.mit.t2.dghg</v>
      </c>
      <c r="L49" s="152">
        <f t="shared" ref="L49:AE49" si="2">L26-L25</f>
        <v>0</v>
      </c>
      <c r="M49" s="152">
        <f t="shared" si="2"/>
        <v>0</v>
      </c>
      <c r="N49" s="152">
        <f t="shared" si="2"/>
        <v>0</v>
      </c>
      <c r="O49" s="152">
        <f t="shared" si="2"/>
        <v>0</v>
      </c>
      <c r="P49" s="152">
        <f t="shared" si="2"/>
        <v>0</v>
      </c>
      <c r="Q49" s="152">
        <f t="shared" si="2"/>
        <v>0</v>
      </c>
      <c r="R49" s="152">
        <f t="shared" si="2"/>
        <v>0</v>
      </c>
      <c r="S49" s="152">
        <f t="shared" si="2"/>
        <v>0</v>
      </c>
      <c r="T49" s="152">
        <f t="shared" si="2"/>
        <v>0</v>
      </c>
      <c r="U49" s="152">
        <f t="shared" si="2"/>
        <v>0</v>
      </c>
      <c r="V49" s="152">
        <f t="shared" si="2"/>
        <v>0</v>
      </c>
      <c r="W49" s="152">
        <f t="shared" si="2"/>
        <v>0</v>
      </c>
      <c r="X49" s="152">
        <f t="shared" si="2"/>
        <v>0</v>
      </c>
      <c r="Y49" s="152">
        <f t="shared" si="2"/>
        <v>0</v>
      </c>
      <c r="Z49" s="152">
        <f t="shared" si="2"/>
        <v>0</v>
      </c>
      <c r="AA49" s="152">
        <f t="shared" si="2"/>
        <v>0</v>
      </c>
      <c r="AB49" s="152">
        <f t="shared" si="2"/>
        <v>0</v>
      </c>
      <c r="AC49" s="152">
        <f t="shared" si="2"/>
        <v>0</v>
      </c>
      <c r="AD49" s="152">
        <f t="shared" si="2"/>
        <v>0</v>
      </c>
      <c r="AE49" s="152">
        <f t="shared" si="2"/>
        <v>0</v>
      </c>
    </row>
    <row r="50" spans="1:35" x14ac:dyDescent="0.35">
      <c r="B50" s="115" t="s">
        <v>3499</v>
      </c>
      <c r="C50" s="115" t="s">
        <v>3475</v>
      </c>
      <c r="D50" s="115" t="s">
        <v>3505</v>
      </c>
      <c r="E50" s="115" t="s">
        <v>1852</v>
      </c>
      <c r="H50" s="119" t="str">
        <f>Settings!$B$3&amp;".mit.t2.dipr"</f>
        <v>egy.mit.t2.dipr</v>
      </c>
      <c r="I50" s="115" t="s">
        <v>3506</v>
      </c>
      <c r="L50" s="152">
        <f t="shared" ref="L50:AE50" si="3">L28-L27</f>
        <v>0</v>
      </c>
      <c r="M50" s="152">
        <f t="shared" si="3"/>
        <v>0</v>
      </c>
      <c r="N50" s="152">
        <f t="shared" si="3"/>
        <v>0</v>
      </c>
      <c r="O50" s="152">
        <f t="shared" si="3"/>
        <v>0</v>
      </c>
      <c r="P50" s="152">
        <f t="shared" si="3"/>
        <v>0</v>
      </c>
      <c r="Q50" s="152">
        <f t="shared" si="3"/>
        <v>0</v>
      </c>
      <c r="R50" s="152">
        <f t="shared" si="3"/>
        <v>0</v>
      </c>
      <c r="S50" s="152">
        <f t="shared" si="3"/>
        <v>0</v>
      </c>
      <c r="T50" s="152">
        <f t="shared" si="3"/>
        <v>0</v>
      </c>
      <c r="U50" s="152">
        <f t="shared" si="3"/>
        <v>0</v>
      </c>
      <c r="V50" s="152">
        <f t="shared" si="3"/>
        <v>0</v>
      </c>
      <c r="W50" s="152">
        <f t="shared" si="3"/>
        <v>0</v>
      </c>
      <c r="X50" s="152">
        <f t="shared" si="3"/>
        <v>0</v>
      </c>
      <c r="Y50" s="152">
        <f t="shared" si="3"/>
        <v>0</v>
      </c>
      <c r="Z50" s="152">
        <f t="shared" si="3"/>
        <v>0</v>
      </c>
      <c r="AA50" s="152">
        <f t="shared" si="3"/>
        <v>0</v>
      </c>
      <c r="AB50" s="152">
        <f t="shared" si="3"/>
        <v>0</v>
      </c>
      <c r="AC50" s="152">
        <f t="shared" si="3"/>
        <v>0</v>
      </c>
      <c r="AD50" s="152">
        <f t="shared" si="3"/>
        <v>0</v>
      </c>
      <c r="AE50" s="152">
        <f t="shared" si="3"/>
        <v>0</v>
      </c>
    </row>
    <row r="51" spans="1:35" x14ac:dyDescent="0.35">
      <c r="B51" s="115" t="s">
        <v>3499</v>
      </c>
      <c r="C51" s="115" t="s">
        <v>3475</v>
      </c>
      <c r="D51" s="115" t="s">
        <v>3507</v>
      </c>
      <c r="E51" s="115" t="s">
        <v>2068</v>
      </c>
      <c r="H51" s="119" t="str">
        <f>Settings!$B$3&amp;".mit.t2.denr"</f>
        <v>egy.mit.t2.denr</v>
      </c>
      <c r="L51" s="152">
        <f t="shared" ref="L51:AE51" si="4">L30-L29</f>
        <v>0</v>
      </c>
      <c r="M51" s="152">
        <f t="shared" si="4"/>
        <v>0</v>
      </c>
      <c r="N51" s="152">
        <f t="shared" si="4"/>
        <v>0</v>
      </c>
      <c r="O51" s="152">
        <f t="shared" si="4"/>
        <v>0</v>
      </c>
      <c r="P51" s="152">
        <f t="shared" si="4"/>
        <v>0</v>
      </c>
      <c r="Q51" s="152">
        <f t="shared" si="4"/>
        <v>0</v>
      </c>
      <c r="R51" s="152">
        <f t="shared" si="4"/>
        <v>0</v>
      </c>
      <c r="S51" s="152">
        <f t="shared" si="4"/>
        <v>0</v>
      </c>
      <c r="T51" s="152">
        <f t="shared" si="4"/>
        <v>0</v>
      </c>
      <c r="U51" s="152">
        <f t="shared" si="4"/>
        <v>0</v>
      </c>
      <c r="V51" s="152">
        <f t="shared" si="4"/>
        <v>0</v>
      </c>
      <c r="W51" s="152">
        <f t="shared" si="4"/>
        <v>0</v>
      </c>
      <c r="X51" s="152">
        <f t="shared" si="4"/>
        <v>0</v>
      </c>
      <c r="Y51" s="152">
        <f t="shared" si="4"/>
        <v>0</v>
      </c>
      <c r="Z51" s="152">
        <f t="shared" si="4"/>
        <v>0</v>
      </c>
      <c r="AA51" s="152">
        <f t="shared" si="4"/>
        <v>0</v>
      </c>
      <c r="AB51" s="152">
        <f t="shared" si="4"/>
        <v>0</v>
      </c>
      <c r="AC51" s="152">
        <f t="shared" si="4"/>
        <v>0</v>
      </c>
      <c r="AD51" s="152">
        <f t="shared" si="4"/>
        <v>0</v>
      </c>
      <c r="AE51" s="152">
        <f t="shared" si="4"/>
        <v>0</v>
      </c>
    </row>
    <row r="52" spans="1:35" x14ac:dyDescent="0.35">
      <c r="B52" s="115" t="s">
        <v>3499</v>
      </c>
      <c r="C52" s="115" t="s">
        <v>3475</v>
      </c>
      <c r="D52" s="115" t="s">
        <v>3508</v>
      </c>
      <c r="E52" s="115" t="s">
        <v>2068</v>
      </c>
      <c r="H52" s="119" t="str">
        <f>Settings!$B$3&amp;".mit.t2.dind"</f>
        <v>egy.mit.t2.dind</v>
      </c>
      <c r="L52" s="152">
        <f t="shared" ref="L52:AE52" si="5">L32-L31</f>
        <v>0</v>
      </c>
      <c r="M52" s="152">
        <f t="shared" si="5"/>
        <v>0</v>
      </c>
      <c r="N52" s="152">
        <f t="shared" si="5"/>
        <v>0</v>
      </c>
      <c r="O52" s="152">
        <f t="shared" si="5"/>
        <v>0</v>
      </c>
      <c r="P52" s="152">
        <f t="shared" si="5"/>
        <v>0</v>
      </c>
      <c r="Q52" s="152">
        <f t="shared" si="5"/>
        <v>0</v>
      </c>
      <c r="R52" s="152">
        <f t="shared" si="5"/>
        <v>0</v>
      </c>
      <c r="S52" s="152">
        <f t="shared" si="5"/>
        <v>0</v>
      </c>
      <c r="T52" s="152">
        <f t="shared" si="5"/>
        <v>0</v>
      </c>
      <c r="U52" s="152">
        <f t="shared" si="5"/>
        <v>0</v>
      </c>
      <c r="V52" s="152">
        <f t="shared" si="5"/>
        <v>0</v>
      </c>
      <c r="W52" s="152">
        <f t="shared" si="5"/>
        <v>0</v>
      </c>
      <c r="X52" s="152">
        <f t="shared" si="5"/>
        <v>0</v>
      </c>
      <c r="Y52" s="152">
        <f t="shared" si="5"/>
        <v>0</v>
      </c>
      <c r="Z52" s="152">
        <f t="shared" si="5"/>
        <v>0</v>
      </c>
      <c r="AA52" s="152">
        <f t="shared" si="5"/>
        <v>0</v>
      </c>
      <c r="AB52" s="152">
        <f t="shared" si="5"/>
        <v>0</v>
      </c>
      <c r="AC52" s="152">
        <f t="shared" si="5"/>
        <v>0</v>
      </c>
      <c r="AD52" s="152">
        <f t="shared" si="5"/>
        <v>0</v>
      </c>
      <c r="AE52" s="152">
        <f t="shared" si="5"/>
        <v>0</v>
      </c>
    </row>
    <row r="53" spans="1:35" x14ac:dyDescent="0.35">
      <c r="B53" s="115" t="s">
        <v>3499</v>
      </c>
      <c r="C53" s="115" t="s">
        <v>3475</v>
      </c>
      <c r="D53" s="115" t="s">
        <v>3509</v>
      </c>
      <c r="E53" s="115" t="s">
        <v>3408</v>
      </c>
      <c r="H53" s="119" t="str">
        <f>Settings!$B$3&amp;".mit.t2.drev"</f>
        <v>egy.mit.t2.drev</v>
      </c>
      <c r="L53" s="152">
        <f t="shared" ref="L53:AE53" si="6">L36-L35</f>
        <v>0</v>
      </c>
      <c r="M53" s="152">
        <f t="shared" si="6"/>
        <v>0</v>
      </c>
      <c r="N53" s="152">
        <f t="shared" si="6"/>
        <v>0</v>
      </c>
      <c r="O53" s="152">
        <f t="shared" si="6"/>
        <v>0</v>
      </c>
      <c r="P53" s="152">
        <f t="shared" si="6"/>
        <v>0</v>
      </c>
      <c r="Q53" s="152">
        <f t="shared" si="6"/>
        <v>0</v>
      </c>
      <c r="R53" s="152">
        <f t="shared" si="6"/>
        <v>0</v>
      </c>
      <c r="S53" s="152">
        <f t="shared" si="6"/>
        <v>0</v>
      </c>
      <c r="T53" s="152">
        <f t="shared" si="6"/>
        <v>0</v>
      </c>
      <c r="U53" s="152">
        <f t="shared" si="6"/>
        <v>0</v>
      </c>
      <c r="V53" s="152">
        <f t="shared" si="6"/>
        <v>0</v>
      </c>
      <c r="W53" s="152">
        <f t="shared" si="6"/>
        <v>0</v>
      </c>
      <c r="X53" s="152">
        <f t="shared" si="6"/>
        <v>0</v>
      </c>
      <c r="Y53" s="152">
        <f t="shared" si="6"/>
        <v>0</v>
      </c>
      <c r="Z53" s="152">
        <f t="shared" si="6"/>
        <v>0</v>
      </c>
      <c r="AA53" s="152">
        <f t="shared" si="6"/>
        <v>0</v>
      </c>
      <c r="AB53" s="152">
        <f t="shared" si="6"/>
        <v>0</v>
      </c>
      <c r="AC53" s="152">
        <f t="shared" si="6"/>
        <v>0</v>
      </c>
      <c r="AD53" s="152">
        <f t="shared" si="6"/>
        <v>0</v>
      </c>
      <c r="AE53" s="152">
        <f t="shared" si="6"/>
        <v>0</v>
      </c>
    </row>
    <row r="54" spans="1:35" x14ac:dyDescent="0.35">
      <c r="B54" s="115" t="s">
        <v>3657</v>
      </c>
      <c r="C54" s="115" t="s">
        <v>3475</v>
      </c>
      <c r="D54" s="115" t="s">
        <v>3658</v>
      </c>
      <c r="E54" s="115" t="s">
        <v>79</v>
      </c>
      <c r="F54" s="115" t="s">
        <v>3659</v>
      </c>
      <c r="H54" s="119" t="str">
        <f>Settings!$B$3&amp;".mit.t2.kap"</f>
        <v>egy.mit.t2.kap</v>
      </c>
      <c r="L54" s="152">
        <f t="shared" ref="L54:AE54" si="7">IF(OR($D$15="-",$D$16="All sectors"),1,IF(OR(L33=0,L31=0),1,MIN(1,L34/L33*L29/L31)))</f>
        <v>1</v>
      </c>
      <c r="M54" s="152">
        <f t="shared" si="7"/>
        <v>1</v>
      </c>
      <c r="N54" s="152">
        <f t="shared" si="7"/>
        <v>1</v>
      </c>
      <c r="O54" s="152">
        <f t="shared" si="7"/>
        <v>1</v>
      </c>
      <c r="P54" s="152">
        <f t="shared" si="7"/>
        <v>1</v>
      </c>
      <c r="Q54" s="152">
        <f t="shared" si="7"/>
        <v>1</v>
      </c>
      <c r="R54" s="152">
        <f t="shared" si="7"/>
        <v>1</v>
      </c>
      <c r="S54" s="152">
        <f t="shared" si="7"/>
        <v>1</v>
      </c>
      <c r="T54" s="152">
        <f t="shared" si="7"/>
        <v>1</v>
      </c>
      <c r="U54" s="152">
        <f t="shared" si="7"/>
        <v>1</v>
      </c>
      <c r="V54" s="152">
        <f t="shared" si="7"/>
        <v>1</v>
      </c>
      <c r="W54" s="152">
        <f t="shared" si="7"/>
        <v>1</v>
      </c>
      <c r="X54" s="152">
        <f t="shared" si="7"/>
        <v>1</v>
      </c>
      <c r="Y54" s="152">
        <f t="shared" si="7"/>
        <v>1</v>
      </c>
      <c r="Z54" s="152">
        <f t="shared" si="7"/>
        <v>1</v>
      </c>
      <c r="AA54" s="152">
        <f t="shared" si="7"/>
        <v>1</v>
      </c>
      <c r="AB54" s="152">
        <f t="shared" si="7"/>
        <v>1</v>
      </c>
      <c r="AC54" s="152">
        <f t="shared" si="7"/>
        <v>1</v>
      </c>
      <c r="AD54" s="152">
        <f t="shared" si="7"/>
        <v>1</v>
      </c>
      <c r="AE54" s="152">
        <f t="shared" si="7"/>
        <v>1</v>
      </c>
    </row>
    <row r="56" spans="1:35" customFormat="1" ht="18" customHeight="1" x14ac:dyDescent="0.45">
      <c r="A56" s="8"/>
      <c r="B56" s="9" t="s">
        <v>3510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8" spans="1:35" customFormat="1" ht="14.25" x14ac:dyDescent="0.45">
      <c r="A58" s="11"/>
      <c r="B58" s="6" t="s">
        <v>1488</v>
      </c>
      <c r="C58" s="7" t="s">
        <v>33</v>
      </c>
      <c r="D58" s="6" t="s">
        <v>34</v>
      </c>
      <c r="E58" s="7" t="s">
        <v>35</v>
      </c>
      <c r="F58" s="7" t="s">
        <v>36</v>
      </c>
      <c r="G58" s="7" t="s">
        <v>37</v>
      </c>
      <c r="H58" s="12" t="s">
        <v>38</v>
      </c>
      <c r="I58" s="6" t="s">
        <v>39</v>
      </c>
      <c r="J58" s="48"/>
      <c r="K58" s="6">
        <v>2021</v>
      </c>
      <c r="L58" s="46">
        <v>2022</v>
      </c>
      <c r="M58" s="6">
        <v>2023</v>
      </c>
      <c r="N58" s="6">
        <v>2024</v>
      </c>
      <c r="O58" s="6">
        <v>2025</v>
      </c>
      <c r="P58" s="6">
        <v>2026</v>
      </c>
      <c r="Q58" s="6">
        <v>2027</v>
      </c>
      <c r="R58" s="6">
        <v>2028</v>
      </c>
      <c r="S58" s="6">
        <v>2029</v>
      </c>
      <c r="T58" s="6">
        <v>2030</v>
      </c>
      <c r="U58" s="6">
        <v>2031</v>
      </c>
      <c r="V58" s="6">
        <v>2032</v>
      </c>
      <c r="W58" s="6">
        <v>2033</v>
      </c>
      <c r="X58" s="6">
        <v>2034</v>
      </c>
      <c r="Y58" s="6">
        <v>2035</v>
      </c>
      <c r="Z58" s="6">
        <v>2036</v>
      </c>
      <c r="AA58" s="6">
        <v>2037</v>
      </c>
      <c r="AB58" s="6">
        <v>2038</v>
      </c>
      <c r="AC58" s="6">
        <v>2039</v>
      </c>
      <c r="AD58" s="6">
        <v>2040</v>
      </c>
      <c r="AE58" s="6">
        <v>2041</v>
      </c>
      <c r="AF58" s="6">
        <v>2042</v>
      </c>
      <c r="AG58" s="6">
        <v>2043</v>
      </c>
      <c r="AH58" s="6">
        <v>2044</v>
      </c>
      <c r="AI58" s="6">
        <v>2045</v>
      </c>
    </row>
    <row r="59" spans="1:35" x14ac:dyDescent="0.35">
      <c r="B59" s="115" t="s">
        <v>3150</v>
      </c>
      <c r="C59" s="115" t="s">
        <v>4</v>
      </c>
      <c r="D59" s="115" t="s">
        <v>3660</v>
      </c>
      <c r="E59" s="115" t="s">
        <v>2068</v>
      </c>
      <c r="F59" s="115" t="s">
        <v>3662</v>
      </c>
      <c r="H59" s="119" t="str">
        <f>Settings!$B$3&amp;".mit.t2.ek1"</f>
        <v>egy.mit.t2.ek1</v>
      </c>
      <c r="L59" s="121">
        <f>MAX(IPPU_Industry!L51,IPPU_Industry!L52)+MAX(IPPU_Industry!L56,IPPU_Industry!L57)+MAX(IPPU_Industry!L61,IPPU_Industry!L62)+MAX(IPPU_Industry!L66,IPPU_Industry!L67)</f>
        <v>20.83918407271338</v>
      </c>
      <c r="M59" s="121">
        <f>MAX(IPPU_Industry!M51,IPPU_Industry!M52)+MAX(IPPU_Industry!M56,IPPU_Industry!M57)+MAX(IPPU_Industry!M61,IPPU_Industry!M62)+MAX(IPPU_Industry!M66,IPPU_Industry!M67)</f>
        <v>20.67721507612675</v>
      </c>
      <c r="N59" s="121">
        <f>MAX(IPPU_Industry!N51,IPPU_Industry!N52)+MAX(IPPU_Industry!N56,IPPU_Industry!N57)+MAX(IPPU_Industry!N61,IPPU_Industry!N62)+MAX(IPPU_Industry!N66,IPPU_Industry!N67)</f>
        <v>21.697764570821519</v>
      </c>
      <c r="O59" s="121">
        <f>MAX(IPPU_Industry!O51,IPPU_Industry!O52)+MAX(IPPU_Industry!O56,IPPU_Industry!O57)+MAX(IPPU_Industry!O61,IPPU_Industry!O62)+MAX(IPPU_Industry!O66,IPPU_Industry!O67)</f>
        <v>22.469646316251197</v>
      </c>
      <c r="P59" s="121">
        <f>MAX(IPPU_Industry!P51,IPPU_Industry!P52)+MAX(IPPU_Industry!P56,IPPU_Industry!P57)+MAX(IPPU_Industry!P61,IPPU_Industry!P62)+MAX(IPPU_Industry!P66,IPPU_Industry!P67)</f>
        <v>23.158920073315894</v>
      </c>
      <c r="Q59" s="121">
        <f>MAX(IPPU_Industry!Q51,IPPU_Industry!Q52)+MAX(IPPU_Industry!Q56,IPPU_Industry!Q57)+MAX(IPPU_Industry!Q61,IPPU_Industry!Q62)+MAX(IPPU_Industry!Q66,IPPU_Industry!Q67)</f>
        <v>23.923701807803141</v>
      </c>
      <c r="R59" s="121">
        <f>MAX(IPPU_Industry!R51,IPPU_Industry!R52)+MAX(IPPU_Industry!R56,IPPU_Industry!R57)+MAX(IPPU_Industry!R61,IPPU_Industry!R62)+MAX(IPPU_Industry!R66,IPPU_Industry!R67)</f>
        <v>24.755087383944943</v>
      </c>
      <c r="S59" s="121">
        <f>MAX(IPPU_Industry!S51,IPPU_Industry!S52)+MAX(IPPU_Industry!S56,IPPU_Industry!S57)+MAX(IPPU_Industry!S61,IPPU_Industry!S62)+MAX(IPPU_Industry!S66,IPPU_Industry!S67)</f>
        <v>25.60028920327699</v>
      </c>
      <c r="T59" s="121">
        <f>MAX(IPPU_Industry!T51,IPPU_Industry!T52)+MAX(IPPU_Industry!T56,IPPU_Industry!T57)+MAX(IPPU_Industry!T61,IPPU_Industry!T62)+MAX(IPPU_Industry!T66,IPPU_Industry!T67)</f>
        <v>26.455270599905141</v>
      </c>
      <c r="U59" s="121">
        <f>MAX(IPPU_Industry!U51,IPPU_Industry!U52)+MAX(IPPU_Industry!U56,IPPU_Industry!U57)+MAX(IPPU_Industry!U61,IPPU_Industry!U62)+MAX(IPPU_Industry!U66,IPPU_Industry!U67)</f>
        <v>27.335317560789679</v>
      </c>
      <c r="V59" s="121">
        <f>MAX(IPPU_Industry!V51,IPPU_Industry!V52)+MAX(IPPU_Industry!V56,IPPU_Industry!V57)+MAX(IPPU_Industry!V61,IPPU_Industry!V62)+MAX(IPPU_Industry!V66,IPPU_Industry!V67)</f>
        <v>28.237220842576157</v>
      </c>
      <c r="W59" s="121">
        <f>MAX(IPPU_Industry!W51,IPPU_Industry!W52)+MAX(IPPU_Industry!W56,IPPU_Industry!W57)+MAX(IPPU_Industry!W61,IPPU_Industry!W62)+MAX(IPPU_Industry!W66,IPPU_Industry!W67)</f>
        <v>29.166255480282349</v>
      </c>
      <c r="X59" s="121">
        <f>MAX(IPPU_Industry!X51,IPPU_Industry!X52)+MAX(IPPU_Industry!X56,IPPU_Industry!X57)+MAX(IPPU_Industry!X61,IPPU_Industry!X62)+MAX(IPPU_Industry!X66,IPPU_Industry!X67)</f>
        <v>30.123149765366598</v>
      </c>
      <c r="Y59" s="121">
        <f>MAX(IPPU_Industry!Y51,IPPU_Industry!Y52)+MAX(IPPU_Industry!Y56,IPPU_Industry!Y57)+MAX(IPPU_Industry!Y61,IPPU_Industry!Y62)+MAX(IPPU_Industry!Y66,IPPU_Industry!Y67)</f>
        <v>31.108652858750965</v>
      </c>
      <c r="Z59" s="121">
        <f>MAX(IPPU_Industry!Z51,IPPU_Industry!Z52)+MAX(IPPU_Industry!Z56,IPPU_Industry!Z57)+MAX(IPPU_Industry!Z61,IPPU_Industry!Z62)+MAX(IPPU_Industry!Z66,IPPU_Industry!Z67)</f>
        <v>32.123535534910978</v>
      </c>
      <c r="AA59" s="121">
        <f>MAX(IPPU_Industry!AA51,IPPU_Industry!AA52)+MAX(IPPU_Industry!AA56,IPPU_Industry!AA57)+MAX(IPPU_Industry!AA61,IPPU_Industry!AA62)+MAX(IPPU_Industry!AA66,IPPU_Industry!AA67)</f>
        <v>33.168590944993802</v>
      </c>
      <c r="AB59" s="121">
        <f>MAX(IPPU_Industry!AB51,IPPU_Industry!AB52)+MAX(IPPU_Industry!AB56,IPPU_Industry!AB57)+MAX(IPPU_Industry!AB61,IPPU_Industry!AB62)+MAX(IPPU_Industry!AB66,IPPU_Industry!AB67)</f>
        <v>34.244635399359936</v>
      </c>
      <c r="AC59" s="121">
        <f>MAX(IPPU_Industry!AC51,IPPU_Industry!AC52)+MAX(IPPU_Industry!AC56,IPPU_Industry!AC57)+MAX(IPPU_Industry!AC61,IPPU_Industry!AC62)+MAX(IPPU_Industry!AC66,IPPU_Industry!AC67)</f>
        <v>35.352509169996772</v>
      </c>
      <c r="AD59" s="121">
        <f>MAX(IPPU_Industry!AD51,IPPU_Industry!AD52)+MAX(IPPU_Industry!AD56,IPPU_Industry!AD57)+MAX(IPPU_Industry!AD61,IPPU_Industry!AD62)+MAX(IPPU_Industry!AD66,IPPU_Industry!AD67)</f>
        <v>36.493077313305449</v>
      </c>
      <c r="AE59" s="121">
        <f>MAX(IPPU_Industry!AE51,IPPU_Industry!AE52)+MAX(IPPU_Industry!AE56,IPPU_Industry!AE57)+MAX(IPPU_Industry!AE61,IPPU_Industry!AE62)+MAX(IPPU_Industry!AE66,IPPU_Industry!AE67)</f>
        <v>37.66723051381657</v>
      </c>
    </row>
    <row r="60" spans="1:35" x14ac:dyDescent="0.35">
      <c r="B60" s="115" t="s">
        <v>3150</v>
      </c>
      <c r="C60" s="115" t="s">
        <v>4</v>
      </c>
      <c r="D60" s="115" t="s">
        <v>3661</v>
      </c>
      <c r="E60" s="115" t="s">
        <v>2068</v>
      </c>
      <c r="F60" s="115" t="s">
        <v>3663</v>
      </c>
      <c r="H60" s="119" t="str">
        <f>Settings!$B$3&amp;".mit.t2.ek2"</f>
        <v>egy.mit.t2.ek2</v>
      </c>
      <c r="L60" s="121">
        <f>IF(IPPU_Industry!L52&gt;=IPPU_Industry!L51,IPPU_Industry!L76,IF(IPPU_Industry!L52&gt;0,IPPU_Industry!L51*IPPU_Industry!L76/IPPU_Industry!L52,IPPU_Industry!L75))+IF(IPPU_Industry!L57&gt;=IPPU_Industry!L56,IPPU_Industry!L81,IF(IPPU_Industry!L57&gt;0,IPPU_Industry!L56*IPPU_Industry!L81/IPPU_Industry!L57,IPPU_Industry!L80))+IF(IPPU_Industry!L62&gt;=IPPU_Industry!L61,IPPU_Industry!L86,IF(IPPU_Industry!L62&gt;0,IPPU_Industry!L61*IPPU_Industry!L86/IPPU_Industry!L62,IPPU_Industry!L85))+IF(IPPU_Industry!L67&gt;=IPPU_Industry!L66,IPPU_Industry!L91,IF(IPPU_Industry!L67&gt;0,IPPU_Industry!L66*IPPU_Industry!L91/IPPU_Industry!L67,IPPU_Industry!L90))</f>
        <v>20.83918407271338</v>
      </c>
      <c r="M60" s="121">
        <f>IF(IPPU_Industry!M52&gt;=IPPU_Industry!M51,IPPU_Industry!M76,IF(IPPU_Industry!M52&gt;0,IPPU_Industry!M51*IPPU_Industry!M76/IPPU_Industry!M52,IPPU_Industry!M75))+IF(IPPU_Industry!M57&gt;=IPPU_Industry!M56,IPPU_Industry!M81,IF(IPPU_Industry!M57&gt;0,IPPU_Industry!M56*IPPU_Industry!M81/IPPU_Industry!M57,IPPU_Industry!M80))+IF(IPPU_Industry!M62&gt;=IPPU_Industry!M61,IPPU_Industry!M86,IF(IPPU_Industry!M62&gt;0,IPPU_Industry!M61*IPPU_Industry!M86/IPPU_Industry!M62,IPPU_Industry!M85))+IF(IPPU_Industry!M67&gt;=IPPU_Industry!M66,IPPU_Industry!M91,IF(IPPU_Industry!M67&gt;0,IPPU_Industry!M66*IPPU_Industry!M91/IPPU_Industry!M67,IPPU_Industry!M90))</f>
        <v>20.67721507612675</v>
      </c>
      <c r="N60" s="121">
        <f>IF(IPPU_Industry!N52&gt;=IPPU_Industry!N51,IPPU_Industry!N76,IF(IPPU_Industry!N52&gt;0,IPPU_Industry!N51*IPPU_Industry!N76/IPPU_Industry!N52,IPPU_Industry!N75))+IF(IPPU_Industry!N57&gt;=IPPU_Industry!N56,IPPU_Industry!N81,IF(IPPU_Industry!N57&gt;0,IPPU_Industry!N56*IPPU_Industry!N81/IPPU_Industry!N57,IPPU_Industry!N80))+IF(IPPU_Industry!N62&gt;=IPPU_Industry!N61,IPPU_Industry!N86,IF(IPPU_Industry!N62&gt;0,IPPU_Industry!N61*IPPU_Industry!N86/IPPU_Industry!N62,IPPU_Industry!N85))+IF(IPPU_Industry!N67&gt;=IPPU_Industry!N66,IPPU_Industry!N91,IF(IPPU_Industry!N67&gt;0,IPPU_Industry!N66*IPPU_Industry!N91/IPPU_Industry!N67,IPPU_Industry!N90))</f>
        <v>21.697764570821516</v>
      </c>
      <c r="O60" s="121">
        <f>IF(IPPU_Industry!O52&gt;=IPPU_Industry!O51,IPPU_Industry!O76,IF(IPPU_Industry!O52&gt;0,IPPU_Industry!O51*IPPU_Industry!O76/IPPU_Industry!O52,IPPU_Industry!O75))+IF(IPPU_Industry!O57&gt;=IPPU_Industry!O56,IPPU_Industry!O81,IF(IPPU_Industry!O57&gt;0,IPPU_Industry!O56*IPPU_Industry!O81/IPPU_Industry!O57,IPPU_Industry!O80))+IF(IPPU_Industry!O62&gt;=IPPU_Industry!O61,IPPU_Industry!O86,IF(IPPU_Industry!O62&gt;0,IPPU_Industry!O61*IPPU_Industry!O86/IPPU_Industry!O62,IPPU_Industry!O85))+IF(IPPU_Industry!O67&gt;=IPPU_Industry!O66,IPPU_Industry!O91,IF(IPPU_Industry!O67&gt;0,IPPU_Industry!O66*IPPU_Industry!O91/IPPU_Industry!O67,IPPU_Industry!O90))</f>
        <v>22.469646316251197</v>
      </c>
      <c r="P60" s="121">
        <f>IF(IPPU_Industry!P52&gt;=IPPU_Industry!P51,IPPU_Industry!P76,IF(IPPU_Industry!P52&gt;0,IPPU_Industry!P51*IPPU_Industry!P76/IPPU_Industry!P52,IPPU_Industry!P75))+IF(IPPU_Industry!P57&gt;=IPPU_Industry!P56,IPPU_Industry!P81,IF(IPPU_Industry!P57&gt;0,IPPU_Industry!P56*IPPU_Industry!P81/IPPU_Industry!P57,IPPU_Industry!P80))+IF(IPPU_Industry!P62&gt;=IPPU_Industry!P61,IPPU_Industry!P86,IF(IPPU_Industry!P62&gt;0,IPPU_Industry!P61*IPPU_Industry!P86/IPPU_Industry!P62,IPPU_Industry!P85))+IF(IPPU_Industry!P67&gt;=IPPU_Industry!P66,IPPU_Industry!P91,IF(IPPU_Industry!P67&gt;0,IPPU_Industry!P66*IPPU_Industry!P91/IPPU_Industry!P67,IPPU_Industry!P90))</f>
        <v>23.158920073315894</v>
      </c>
      <c r="Q60" s="121">
        <f>IF(IPPU_Industry!Q52&gt;=IPPU_Industry!Q51,IPPU_Industry!Q76,IF(IPPU_Industry!Q52&gt;0,IPPU_Industry!Q51*IPPU_Industry!Q76/IPPU_Industry!Q52,IPPU_Industry!Q75))+IF(IPPU_Industry!Q57&gt;=IPPU_Industry!Q56,IPPU_Industry!Q81,IF(IPPU_Industry!Q57&gt;0,IPPU_Industry!Q56*IPPU_Industry!Q81/IPPU_Industry!Q57,IPPU_Industry!Q80))+IF(IPPU_Industry!Q62&gt;=IPPU_Industry!Q61,IPPU_Industry!Q86,IF(IPPU_Industry!Q62&gt;0,IPPU_Industry!Q61*IPPU_Industry!Q86/IPPU_Industry!Q62,IPPU_Industry!Q85))+IF(IPPU_Industry!Q67&gt;=IPPU_Industry!Q66,IPPU_Industry!Q91,IF(IPPU_Industry!Q67&gt;0,IPPU_Industry!Q66*IPPU_Industry!Q91/IPPU_Industry!Q67,IPPU_Industry!Q90))</f>
        <v>22.120219434377674</v>
      </c>
      <c r="R60" s="121">
        <f>IF(IPPU_Industry!R52&gt;=IPPU_Industry!R51,IPPU_Industry!R76,IF(IPPU_Industry!R52&gt;0,IPPU_Industry!R51*IPPU_Industry!R76/IPPU_Industry!R52,IPPU_Industry!R75))+IF(IPPU_Industry!R57&gt;=IPPU_Industry!R56,IPPU_Industry!R81,IF(IPPU_Industry!R57&gt;0,IPPU_Industry!R56*IPPU_Industry!R81/IPPU_Industry!R57,IPPU_Industry!R80))+IF(IPPU_Industry!R62&gt;=IPPU_Industry!R61,IPPU_Industry!R86,IF(IPPU_Industry!R62&gt;0,IPPU_Industry!R61*IPPU_Industry!R86/IPPU_Industry!R62,IPPU_Industry!R85))+IF(IPPU_Industry!R67&gt;=IPPU_Industry!R66,IPPU_Industry!R91,IF(IPPU_Industry!R67&gt;0,IPPU_Industry!R66*IPPU_Industry!R91/IPPU_Industry!R67,IPPU_Industry!R90))</f>
        <v>21.351259112401461</v>
      </c>
      <c r="S60" s="121">
        <f>IF(IPPU_Industry!S52&gt;=IPPU_Industry!S51,IPPU_Industry!S76,IF(IPPU_Industry!S52&gt;0,IPPU_Industry!S51*IPPU_Industry!S76/IPPU_Industry!S52,IPPU_Industry!S75))+IF(IPPU_Industry!S57&gt;=IPPU_Industry!S56,IPPU_Industry!S81,IF(IPPU_Industry!S57&gt;0,IPPU_Industry!S56*IPPU_Industry!S81/IPPU_Industry!S57,IPPU_Industry!S80))+IF(IPPU_Industry!S62&gt;=IPPU_Industry!S61,IPPU_Industry!S86,IF(IPPU_Industry!S62&gt;0,IPPU_Industry!S61*IPPU_Industry!S86/IPPU_Industry!S62,IPPU_Industry!S85))+IF(IPPU_Industry!S67&gt;=IPPU_Industry!S66,IPPU_Industry!S91,IF(IPPU_Industry!S67&gt;0,IPPU_Industry!S66*IPPU_Industry!S91/IPPU_Industry!S67,IPPU_Industry!S90))</f>
        <v>20.734597666021511</v>
      </c>
      <c r="T60" s="121">
        <f>IF(IPPU_Industry!T52&gt;=IPPU_Industry!T51,IPPU_Industry!T76,IF(IPPU_Industry!T52&gt;0,IPPU_Industry!T51*IPPU_Industry!T76/IPPU_Industry!T52,IPPU_Industry!T75))+IF(IPPU_Industry!T57&gt;=IPPU_Industry!T56,IPPU_Industry!T81,IF(IPPU_Industry!T57&gt;0,IPPU_Industry!T56*IPPU_Industry!T81/IPPU_Industry!T57,IPPU_Industry!T80))+IF(IPPU_Industry!T62&gt;=IPPU_Industry!T61,IPPU_Industry!T86,IF(IPPU_Industry!T62&gt;0,IPPU_Industry!T61*IPPU_Industry!T86/IPPU_Industry!T62,IPPU_Industry!T85))+IF(IPPU_Industry!T67&gt;=IPPU_Industry!T66,IPPU_Industry!T91,IF(IPPU_Industry!T67&gt;0,IPPU_Industry!T66*IPPU_Industry!T91/IPPU_Industry!T67,IPPU_Industry!T90))</f>
        <v>20.232722739642512</v>
      </c>
      <c r="U60" s="121">
        <f>IF(IPPU_Industry!U52&gt;=IPPU_Industry!U51,IPPU_Industry!U76,IF(IPPU_Industry!U52&gt;0,IPPU_Industry!U51*IPPU_Industry!U76/IPPU_Industry!U52,IPPU_Industry!U75))+IF(IPPU_Industry!U57&gt;=IPPU_Industry!U56,IPPU_Industry!U81,IF(IPPU_Industry!U57&gt;0,IPPU_Industry!U56*IPPU_Industry!U81/IPPU_Industry!U57,IPPU_Industry!U80))+IF(IPPU_Industry!U62&gt;=IPPU_Industry!U61,IPPU_Industry!U86,IF(IPPU_Industry!U62&gt;0,IPPU_Industry!U61*IPPU_Industry!U86/IPPU_Industry!U62,IPPU_Industry!U85))+IF(IPPU_Industry!U67&gt;=IPPU_Industry!U66,IPPU_Industry!U91,IF(IPPU_Industry!U67&gt;0,IPPU_Industry!U66*IPPU_Industry!U91/IPPU_Industry!U67,IPPU_Industry!U90))</f>
        <v>19.828690816411466</v>
      </c>
      <c r="V60" s="121">
        <f>IF(IPPU_Industry!V52&gt;=IPPU_Industry!V51,IPPU_Industry!V76,IF(IPPU_Industry!V52&gt;0,IPPU_Industry!V51*IPPU_Industry!V76/IPPU_Industry!V52,IPPU_Industry!V75))+IF(IPPU_Industry!V57&gt;=IPPU_Industry!V56,IPPU_Industry!V81,IF(IPPU_Industry!V57&gt;0,IPPU_Industry!V56*IPPU_Industry!V81/IPPU_Industry!V57,IPPU_Industry!V80))+IF(IPPU_Industry!V62&gt;=IPPU_Industry!V61,IPPU_Industry!V86,IF(IPPU_Industry!V62&gt;0,IPPU_Industry!V61*IPPU_Industry!V86/IPPU_Industry!V62,IPPU_Industry!V85))+IF(IPPU_Industry!V67&gt;=IPPU_Industry!V66,IPPU_Industry!V91,IF(IPPU_Industry!V67&gt;0,IPPU_Industry!V66*IPPU_Industry!V91/IPPU_Industry!V67,IPPU_Industry!V90))</f>
        <v>19.521502166535168</v>
      </c>
      <c r="W60" s="121">
        <f>IF(IPPU_Industry!W52&gt;=IPPU_Industry!W51,IPPU_Industry!W76,IF(IPPU_Industry!W52&gt;0,IPPU_Industry!W51*IPPU_Industry!W76/IPPU_Industry!W52,IPPU_Industry!W75))+IF(IPPU_Industry!W57&gt;=IPPU_Industry!W56,IPPU_Industry!W81,IF(IPPU_Industry!W57&gt;0,IPPU_Industry!W56*IPPU_Industry!W81/IPPU_Industry!W57,IPPU_Industry!W80))+IF(IPPU_Industry!W62&gt;=IPPU_Industry!W61,IPPU_Industry!W86,IF(IPPU_Industry!W62&gt;0,IPPU_Industry!W61*IPPU_Industry!W86/IPPU_Industry!W62,IPPU_Industry!W85))+IF(IPPU_Industry!W67&gt;=IPPU_Industry!W66,IPPU_Industry!W91,IF(IPPU_Industry!W67&gt;0,IPPU_Industry!W66*IPPU_Industry!W91/IPPU_Industry!W67,IPPU_Industry!W90))</f>
        <v>19.290426971127125</v>
      </c>
      <c r="X60" s="121">
        <f>IF(IPPU_Industry!X52&gt;=IPPU_Industry!X51,IPPU_Industry!X76,IF(IPPU_Industry!X52&gt;0,IPPU_Industry!X51*IPPU_Industry!X76/IPPU_Industry!X52,IPPU_Industry!X75))+IF(IPPU_Industry!X57&gt;=IPPU_Industry!X56,IPPU_Industry!X81,IF(IPPU_Industry!X57&gt;0,IPPU_Industry!X56*IPPU_Industry!X81/IPPU_Industry!X57,IPPU_Industry!X80))+IF(IPPU_Industry!X62&gt;=IPPU_Industry!X61,IPPU_Industry!X86,IF(IPPU_Industry!X62&gt;0,IPPU_Industry!X61*IPPU_Industry!X86/IPPU_Industry!X62,IPPU_Industry!X85))+IF(IPPU_Industry!X67&gt;=IPPU_Industry!X66,IPPU_Industry!X91,IF(IPPU_Industry!X67&gt;0,IPPU_Industry!X66*IPPU_Industry!X91/IPPU_Industry!X67,IPPU_Industry!X90))</f>
        <v>19.126817382553003</v>
      </c>
      <c r="Y60" s="121">
        <f>IF(IPPU_Industry!Y52&gt;=IPPU_Industry!Y51,IPPU_Industry!Y76,IF(IPPU_Industry!Y52&gt;0,IPPU_Industry!Y51*IPPU_Industry!Y76/IPPU_Industry!Y52,IPPU_Industry!Y75))+IF(IPPU_Industry!Y57&gt;=IPPU_Industry!Y56,IPPU_Industry!Y81,IF(IPPU_Industry!Y57&gt;0,IPPU_Industry!Y56*IPPU_Industry!Y81/IPPU_Industry!Y57,IPPU_Industry!Y80))+IF(IPPU_Industry!Y62&gt;=IPPU_Industry!Y61,IPPU_Industry!Y86,IF(IPPU_Industry!Y62&gt;0,IPPU_Industry!Y61*IPPU_Industry!Y86/IPPU_Industry!Y62,IPPU_Industry!Y85))+IF(IPPU_Industry!Y67&gt;=IPPU_Industry!Y66,IPPU_Industry!Y91,IF(IPPU_Industry!Y67&gt;0,IPPU_Industry!Y66*IPPU_Industry!Y91/IPPU_Industry!Y67,IPPU_Industry!Y90))</f>
        <v>19.025492472860655</v>
      </c>
      <c r="Z60" s="121">
        <f>IF(IPPU_Industry!Z52&gt;=IPPU_Industry!Z51,IPPU_Industry!Z76,IF(IPPU_Industry!Z52&gt;0,IPPU_Industry!Z51*IPPU_Industry!Z76/IPPU_Industry!Z52,IPPU_Industry!Z75))+IF(IPPU_Industry!Z57&gt;=IPPU_Industry!Z56,IPPU_Industry!Z81,IF(IPPU_Industry!Z57&gt;0,IPPU_Industry!Z56*IPPU_Industry!Z81/IPPU_Industry!Z57,IPPU_Industry!Z80))+IF(IPPU_Industry!Z62&gt;=IPPU_Industry!Z61,IPPU_Industry!Z86,IF(IPPU_Industry!Z62&gt;0,IPPU_Industry!Z61*IPPU_Industry!Z86/IPPU_Industry!Z62,IPPU_Industry!Z85))+IF(IPPU_Industry!Z67&gt;=IPPU_Industry!Z66,IPPU_Industry!Z91,IF(IPPU_Industry!Z67&gt;0,IPPU_Industry!Z66*IPPU_Industry!Z91/IPPU_Industry!Z67,IPPU_Industry!Z90))</f>
        <v>18.985204113251179</v>
      </c>
      <c r="AA60" s="121">
        <f>IF(IPPU_Industry!AA52&gt;=IPPU_Industry!AA51,IPPU_Industry!AA76,IF(IPPU_Industry!AA52&gt;0,IPPU_Industry!AA51*IPPU_Industry!AA76/IPPU_Industry!AA52,IPPU_Industry!AA75))+IF(IPPU_Industry!AA57&gt;=IPPU_Industry!AA56,IPPU_Industry!AA81,IF(IPPU_Industry!AA57&gt;0,IPPU_Industry!AA56*IPPU_Industry!AA81/IPPU_Industry!AA57,IPPU_Industry!AA80))+IF(IPPU_Industry!AA62&gt;=IPPU_Industry!AA61,IPPU_Industry!AA86,IF(IPPU_Industry!AA62&gt;0,IPPU_Industry!AA61*IPPU_Industry!AA86/IPPU_Industry!AA62,IPPU_Industry!AA85))+IF(IPPU_Industry!AA67&gt;=IPPU_Industry!AA66,IPPU_Industry!AA91,IF(IPPU_Industry!AA67&gt;0,IPPU_Industry!AA66*IPPU_Industry!AA91/IPPU_Industry!AA67,IPPU_Industry!AA90))</f>
        <v>19.002891243304216</v>
      </c>
      <c r="AB60" s="121">
        <f>IF(IPPU_Industry!AB52&gt;=IPPU_Industry!AB51,IPPU_Industry!AB76,IF(IPPU_Industry!AB52&gt;0,IPPU_Industry!AB51*IPPU_Industry!AB76/IPPU_Industry!AB52,IPPU_Industry!AB75))+IF(IPPU_Industry!AB57&gt;=IPPU_Industry!AB56,IPPU_Industry!AB81,IF(IPPU_Industry!AB57&gt;0,IPPU_Industry!AB56*IPPU_Industry!AB81/IPPU_Industry!AB57,IPPU_Industry!AB80))+IF(IPPU_Industry!AB62&gt;=IPPU_Industry!AB61,IPPU_Industry!AB86,IF(IPPU_Industry!AB62&gt;0,IPPU_Industry!AB61*IPPU_Industry!AB86/IPPU_Industry!AB62,IPPU_Industry!AB85))+IF(IPPU_Industry!AB67&gt;=IPPU_Industry!AB66,IPPU_Industry!AB91,IF(IPPU_Industry!AB67&gt;0,IPPU_Industry!AB66*IPPU_Industry!AB91/IPPU_Industry!AB67,IPPU_Industry!AB90))</f>
        <v>19.075471626999647</v>
      </c>
      <c r="AC60" s="121">
        <f>IF(IPPU_Industry!AC52&gt;=IPPU_Industry!AC51,IPPU_Industry!AC76,IF(IPPU_Industry!AC52&gt;0,IPPU_Industry!AC51*IPPU_Industry!AC76/IPPU_Industry!AC52,IPPU_Industry!AC75))+IF(IPPU_Industry!AC57&gt;=IPPU_Industry!AC56,IPPU_Industry!AC81,IF(IPPU_Industry!AC57&gt;0,IPPU_Industry!AC56*IPPU_Industry!AC81/IPPU_Industry!AC57,IPPU_Industry!AC80))+IF(IPPU_Industry!AC62&gt;=IPPU_Industry!AC61,IPPU_Industry!AC86,IF(IPPU_Industry!AC62&gt;0,IPPU_Industry!AC61*IPPU_Industry!AC86/IPPU_Industry!AC62,IPPU_Industry!AC85))+IF(IPPU_Industry!AC67&gt;=IPPU_Industry!AC66,IPPU_Industry!AC91,IF(IPPU_Industry!AC67&gt;0,IPPU_Industry!AC66*IPPU_Industry!AC91/IPPU_Industry!AC67,IPPU_Industry!AC90))</f>
        <v>19.197960390979812</v>
      </c>
      <c r="AD60" s="121">
        <f>IF(IPPU_Industry!AD52&gt;=IPPU_Industry!AD51,IPPU_Industry!AD76,IF(IPPU_Industry!AD52&gt;0,IPPU_Industry!AD51*IPPU_Industry!AD76/IPPU_Industry!AD52,IPPU_Industry!AD75))+IF(IPPU_Industry!AD57&gt;=IPPU_Industry!AD56,IPPU_Industry!AD81,IF(IPPU_Industry!AD57&gt;0,IPPU_Industry!AD56*IPPU_Industry!AD81/IPPU_Industry!AD57,IPPU_Industry!AD80))+IF(IPPU_Industry!AD62&gt;=IPPU_Industry!AD61,IPPU_Industry!AD86,IF(IPPU_Industry!AD62&gt;0,IPPU_Industry!AD61*IPPU_Industry!AD86/IPPU_Industry!AD62,IPPU_Industry!AD85))+IF(IPPU_Industry!AD67&gt;=IPPU_Industry!AD66,IPPU_Industry!AD91,IF(IPPU_Industry!AD67&gt;0,IPPU_Industry!AD66*IPPU_Industry!AD91/IPPU_Industry!AD67,IPPU_Industry!AD90))</f>
        <v>19.366281288471651</v>
      </c>
      <c r="AE60" s="121">
        <f>IF(IPPU_Industry!AE52&gt;=IPPU_Industry!AE51,IPPU_Industry!AE76,IF(IPPU_Industry!AE52&gt;0,IPPU_Industry!AE51*IPPU_Industry!AE76/IPPU_Industry!AE52,IPPU_Industry!AE75))+IF(IPPU_Industry!AE57&gt;=IPPU_Industry!AE56,IPPU_Industry!AE81,IF(IPPU_Industry!AE57&gt;0,IPPU_Industry!AE56*IPPU_Industry!AE81/IPPU_Industry!AE57,IPPU_Industry!AE80))+IF(IPPU_Industry!AE62&gt;=IPPU_Industry!AE61,IPPU_Industry!AE86,IF(IPPU_Industry!AE62&gt;0,IPPU_Industry!AE61*IPPU_Industry!AE86/IPPU_Industry!AE62,IPPU_Industry!AE85))+IF(IPPU_Industry!AE67&gt;=IPPU_Industry!AE66,IPPU_Industry!AE91,IF(IPPU_Industry!AE67&gt;0,IPPU_Industry!AE66*IPPU_Industry!AE91/IPPU_Industry!AE67,IPPU_Industry!AE90))</f>
        <v>19.5774851003018</v>
      </c>
    </row>
    <row r="61" spans="1:35" x14ac:dyDescent="0.35">
      <c r="B61" s="115" t="s">
        <v>3150</v>
      </c>
      <c r="C61" s="115" t="s">
        <v>4</v>
      </c>
      <c r="D61" s="115" t="s">
        <v>3511</v>
      </c>
      <c r="E61" s="115" t="s">
        <v>2068</v>
      </c>
      <c r="H61" s="119" t="str">
        <f>Settings!$B$3&amp;".mit.t2.dek"</f>
        <v>egy.mit.t2.dek</v>
      </c>
      <c r="L61" s="121">
        <f t="shared" ref="L61:AE61" si="8">L60-L59</f>
        <v>0</v>
      </c>
      <c r="M61" s="121">
        <f t="shared" si="8"/>
        <v>0</v>
      </c>
      <c r="N61" s="121">
        <f t="shared" si="8"/>
        <v>0</v>
      </c>
      <c r="O61" s="121">
        <f t="shared" si="8"/>
        <v>0</v>
      </c>
      <c r="P61" s="121">
        <f t="shared" si="8"/>
        <v>0</v>
      </c>
      <c r="Q61" s="121">
        <f t="shared" si="8"/>
        <v>-1.8034823734254672</v>
      </c>
      <c r="R61" s="121">
        <f t="shared" si="8"/>
        <v>-3.4038282715434818</v>
      </c>
      <c r="S61" s="121">
        <f t="shared" si="8"/>
        <v>-4.8656915372554792</v>
      </c>
      <c r="T61" s="121">
        <f t="shared" si="8"/>
        <v>-6.2225478602626296</v>
      </c>
      <c r="U61" s="121">
        <f t="shared" si="8"/>
        <v>-7.5066267443782131</v>
      </c>
      <c r="V61" s="121">
        <f t="shared" si="8"/>
        <v>-8.7157186760409893</v>
      </c>
      <c r="W61" s="121">
        <f t="shared" si="8"/>
        <v>-9.8758285091552231</v>
      </c>
      <c r="X61" s="121">
        <f t="shared" si="8"/>
        <v>-10.996332382813595</v>
      </c>
      <c r="Y61" s="121">
        <f t="shared" si="8"/>
        <v>-12.083160385890309</v>
      </c>
      <c r="Z61" s="121">
        <f t="shared" si="8"/>
        <v>-13.1383314216598</v>
      </c>
      <c r="AA61" s="121">
        <f t="shared" si="8"/>
        <v>-14.165699701689586</v>
      </c>
      <c r="AB61" s="121">
        <f t="shared" si="8"/>
        <v>-15.169163772360289</v>
      </c>
      <c r="AC61" s="121">
        <f t="shared" si="8"/>
        <v>-16.15454877901696</v>
      </c>
      <c r="AD61" s="121">
        <f t="shared" si="8"/>
        <v>-17.126796024833798</v>
      </c>
      <c r="AE61" s="121">
        <f t="shared" si="8"/>
        <v>-18.08974541351477</v>
      </c>
    </row>
    <row r="62" spans="1:35" x14ac:dyDescent="0.35">
      <c r="B62" s="115" t="s">
        <v>3150</v>
      </c>
      <c r="C62" s="115" t="s">
        <v>4</v>
      </c>
      <c r="D62" s="115" t="s">
        <v>3512</v>
      </c>
      <c r="E62" s="115" t="s">
        <v>2068</v>
      </c>
      <c r="F62" s="115" t="s">
        <v>3513</v>
      </c>
      <c r="H62" s="119" t="str">
        <f>Settings!$B$3&amp;".mit.t2.indx"</f>
        <v>egy.mit.t2.indx</v>
      </c>
      <c r="L62" s="121">
        <f>IPPU_Industry!L11</f>
        <v>59.804205879849356</v>
      </c>
      <c r="M62" s="121">
        <f>IPPU_Industry!M11</f>
        <v>48.931828957170424</v>
      </c>
      <c r="N62" s="121">
        <f>IPPU_Industry!N11</f>
        <v>57.158576789144817</v>
      </c>
      <c r="O62" s="121">
        <f>IPPU_Industry!O11</f>
        <v>63.720179343286866</v>
      </c>
      <c r="P62" s="121">
        <f>IPPU_Industry!P11</f>
        <v>61.946242160955606</v>
      </c>
      <c r="Q62" s="121">
        <f>IPPU_Industry!Q11</f>
        <v>67.559423563084593</v>
      </c>
      <c r="R62" s="121">
        <f>IPPU_Industry!R11</f>
        <v>70.271483517026113</v>
      </c>
      <c r="S62" s="121">
        <f>IPPU_Industry!S11</f>
        <v>72.898243967174636</v>
      </c>
      <c r="T62" s="121">
        <f>IPPU_Industry!T11</f>
        <v>75.384269563412914</v>
      </c>
      <c r="U62" s="121">
        <f>IPPU_Industry!U11</f>
        <v>77.910341033518762</v>
      </c>
      <c r="V62" s="121">
        <f>IPPU_Industry!V11</f>
        <v>80.451479009297159</v>
      </c>
      <c r="W62" s="121">
        <f>IPPU_Industry!W11</f>
        <v>83.040753204531725</v>
      </c>
      <c r="X62" s="121">
        <f>IPPU_Industry!X11</f>
        <v>85.677916059881724</v>
      </c>
      <c r="Y62" s="121">
        <f>IPPU_Industry!Y11</f>
        <v>88.362687782476257</v>
      </c>
      <c r="Z62" s="121">
        <f>IPPU_Industry!Z11</f>
        <v>91.094755740472323</v>
      </c>
      <c r="AA62" s="121">
        <f>IPPU_Industry!AA11</f>
        <v>93.873773761327016</v>
      </c>
      <c r="AB62" s="121">
        <f>IPPU_Industry!AB11</f>
        <v>96.699361329439938</v>
      </c>
      <c r="AC62" s="121">
        <f>IPPU_Industry!AC11</f>
        <v>99.571102679005023</v>
      </c>
      <c r="AD62" s="121">
        <f>IPPU_Industry!AD11</f>
        <v>102.4885457780901</v>
      </c>
      <c r="AE62" s="121">
        <f>IPPU_Industry!AE11</f>
        <v>105.45120120012244</v>
      </c>
    </row>
    <row r="63" spans="1:35" x14ac:dyDescent="0.35">
      <c r="B63" s="115" t="s">
        <v>3150</v>
      </c>
      <c r="C63" s="115" t="s">
        <v>4</v>
      </c>
      <c r="D63" s="115" t="s">
        <v>3514</v>
      </c>
      <c r="E63" s="115" t="s">
        <v>2068</v>
      </c>
      <c r="H63" s="119" t="str">
        <f>Settings!$B$3&amp;".mit.t2.nk1"</f>
        <v>egy.mit.t2.nk1</v>
      </c>
      <c r="L63" s="121">
        <f t="shared" ref="L63:AE63" si="9">L62-L59</f>
        <v>38.965021807135976</v>
      </c>
      <c r="M63" s="121">
        <f t="shared" si="9"/>
        <v>28.254613881043674</v>
      </c>
      <c r="N63" s="121">
        <f t="shared" si="9"/>
        <v>35.460812218323298</v>
      </c>
      <c r="O63" s="121">
        <f t="shared" si="9"/>
        <v>41.250533027035672</v>
      </c>
      <c r="P63" s="121">
        <f t="shared" si="9"/>
        <v>38.787322087639708</v>
      </c>
      <c r="Q63" s="121">
        <f t="shared" si="9"/>
        <v>43.635721755281452</v>
      </c>
      <c r="R63" s="121">
        <f t="shared" si="9"/>
        <v>45.516396133081173</v>
      </c>
      <c r="S63" s="121">
        <f t="shared" si="9"/>
        <v>47.29795476389765</v>
      </c>
      <c r="T63" s="121">
        <f t="shared" si="9"/>
        <v>48.928998963507773</v>
      </c>
      <c r="U63" s="121">
        <f t="shared" si="9"/>
        <v>50.575023472729086</v>
      </c>
      <c r="V63" s="121">
        <f t="shared" si="9"/>
        <v>52.214258166721002</v>
      </c>
      <c r="W63" s="121">
        <f t="shared" si="9"/>
        <v>53.87449772424938</v>
      </c>
      <c r="X63" s="121">
        <f t="shared" si="9"/>
        <v>55.554766294515126</v>
      </c>
      <c r="Y63" s="121">
        <f t="shared" si="9"/>
        <v>57.254034923725293</v>
      </c>
      <c r="Z63" s="121">
        <f t="shared" si="9"/>
        <v>58.971220205561345</v>
      </c>
      <c r="AA63" s="121">
        <f t="shared" si="9"/>
        <v>60.705182816333213</v>
      </c>
      <c r="AB63" s="121">
        <f t="shared" si="9"/>
        <v>62.454725930080002</v>
      </c>
      <c r="AC63" s="121">
        <f t="shared" si="9"/>
        <v>64.218593509008258</v>
      </c>
      <c r="AD63" s="121">
        <f t="shared" si="9"/>
        <v>65.995468464784651</v>
      </c>
      <c r="AE63" s="121">
        <f t="shared" si="9"/>
        <v>67.783970686305878</v>
      </c>
    </row>
    <row r="64" spans="1:35" x14ac:dyDescent="0.35">
      <c r="B64" s="115" t="s">
        <v>3150</v>
      </c>
      <c r="C64" s="115" t="s">
        <v>4</v>
      </c>
      <c r="D64" s="115" t="s">
        <v>3664</v>
      </c>
      <c r="E64" s="115" t="s">
        <v>2068</v>
      </c>
      <c r="H64" s="119" t="str">
        <f>Settings!$B$3&amp;".mit.t2.dnk"</f>
        <v>egy.mit.t2.dnk</v>
      </c>
      <c r="L64" s="121">
        <f t="shared" ref="L64:AE64" si="10">IF($D$15="-",0,IF(OR(L31=0,L54=0),0,L63*L52/L31/L54))</f>
        <v>0</v>
      </c>
      <c r="M64" s="121">
        <f t="shared" si="10"/>
        <v>0</v>
      </c>
      <c r="N64" s="121">
        <f t="shared" si="10"/>
        <v>0</v>
      </c>
      <c r="O64" s="121">
        <f t="shared" si="10"/>
        <v>0</v>
      </c>
      <c r="P64" s="121">
        <f t="shared" si="10"/>
        <v>0</v>
      </c>
      <c r="Q64" s="121">
        <f t="shared" si="10"/>
        <v>0</v>
      </c>
      <c r="R64" s="121">
        <f t="shared" si="10"/>
        <v>0</v>
      </c>
      <c r="S64" s="121">
        <f t="shared" si="10"/>
        <v>0</v>
      </c>
      <c r="T64" s="121">
        <f t="shared" si="10"/>
        <v>0</v>
      </c>
      <c r="U64" s="121">
        <f t="shared" si="10"/>
        <v>0</v>
      </c>
      <c r="V64" s="121">
        <f t="shared" si="10"/>
        <v>0</v>
      </c>
      <c r="W64" s="121">
        <f t="shared" si="10"/>
        <v>0</v>
      </c>
      <c r="X64" s="121">
        <f t="shared" si="10"/>
        <v>0</v>
      </c>
      <c r="Y64" s="121">
        <f t="shared" si="10"/>
        <v>0</v>
      </c>
      <c r="Z64" s="121">
        <f t="shared" si="10"/>
        <v>0</v>
      </c>
      <c r="AA64" s="121">
        <f t="shared" si="10"/>
        <v>0</v>
      </c>
      <c r="AB64" s="121">
        <f t="shared" si="10"/>
        <v>0</v>
      </c>
      <c r="AC64" s="121">
        <f t="shared" si="10"/>
        <v>0</v>
      </c>
      <c r="AD64" s="121">
        <f t="shared" si="10"/>
        <v>0</v>
      </c>
      <c r="AE64" s="121">
        <f t="shared" si="10"/>
        <v>0</v>
      </c>
    </row>
    <row r="65" spans="1:35" x14ac:dyDescent="0.35">
      <c r="B65" s="115" t="s">
        <v>3150</v>
      </c>
      <c r="C65" s="115" t="s">
        <v>4</v>
      </c>
      <c r="D65" s="115" t="s">
        <v>3515</v>
      </c>
      <c r="E65" s="115" t="s">
        <v>2068</v>
      </c>
      <c r="H65" s="119" t="str">
        <f>Settings!$B$3&amp;".mit.t2.dik"</f>
        <v>egy.mit.t2.dik</v>
      </c>
      <c r="L65" s="121">
        <f t="shared" ref="L65:AE65" si="11">L61+L64</f>
        <v>0</v>
      </c>
      <c r="M65" s="121">
        <f t="shared" si="11"/>
        <v>0</v>
      </c>
      <c r="N65" s="121">
        <f t="shared" si="11"/>
        <v>0</v>
      </c>
      <c r="O65" s="121">
        <f t="shared" si="11"/>
        <v>0</v>
      </c>
      <c r="P65" s="121">
        <f t="shared" si="11"/>
        <v>0</v>
      </c>
      <c r="Q65" s="121">
        <f t="shared" si="11"/>
        <v>-1.8034823734254672</v>
      </c>
      <c r="R65" s="121">
        <f t="shared" si="11"/>
        <v>-3.4038282715434818</v>
      </c>
      <c r="S65" s="121">
        <f t="shared" si="11"/>
        <v>-4.8656915372554792</v>
      </c>
      <c r="T65" s="121">
        <f t="shared" si="11"/>
        <v>-6.2225478602626296</v>
      </c>
      <c r="U65" s="121">
        <f t="shared" si="11"/>
        <v>-7.5066267443782131</v>
      </c>
      <c r="V65" s="121">
        <f t="shared" si="11"/>
        <v>-8.7157186760409893</v>
      </c>
      <c r="W65" s="121">
        <f t="shared" si="11"/>
        <v>-9.8758285091552231</v>
      </c>
      <c r="X65" s="121">
        <f t="shared" si="11"/>
        <v>-10.996332382813595</v>
      </c>
      <c r="Y65" s="121">
        <f t="shared" si="11"/>
        <v>-12.083160385890309</v>
      </c>
      <c r="Z65" s="121">
        <f t="shared" si="11"/>
        <v>-13.1383314216598</v>
      </c>
      <c r="AA65" s="121">
        <f t="shared" si="11"/>
        <v>-14.165699701689586</v>
      </c>
      <c r="AB65" s="121">
        <f t="shared" si="11"/>
        <v>-15.169163772360289</v>
      </c>
      <c r="AC65" s="121">
        <f t="shared" si="11"/>
        <v>-16.15454877901696</v>
      </c>
      <c r="AD65" s="121">
        <f t="shared" si="11"/>
        <v>-17.126796024833798</v>
      </c>
      <c r="AE65" s="121">
        <f t="shared" si="11"/>
        <v>-18.08974541351477</v>
      </c>
    </row>
    <row r="66" spans="1:35" x14ac:dyDescent="0.35">
      <c r="B66" s="115" t="s">
        <v>3150</v>
      </c>
      <c r="C66" s="115" t="s">
        <v>4</v>
      </c>
      <c r="D66" s="115" t="s">
        <v>3516</v>
      </c>
      <c r="E66" s="115" t="s">
        <v>1852</v>
      </c>
      <c r="F66" s="115" t="s">
        <v>3517</v>
      </c>
      <c r="H66" s="119" t="str">
        <f>Settings!$B$3&amp;".mit.t2.ik1"</f>
        <v>egy.mit.t2.ik1</v>
      </c>
      <c r="L66" s="121">
        <f>IPPU_Industry!L26</f>
        <v>52.200349760476598</v>
      </c>
      <c r="M66" s="121">
        <f>IPPU_Industry!M26</f>
        <v>56.903431130804279</v>
      </c>
      <c r="N66" s="121">
        <f>IPPU_Industry!N26</f>
        <v>66.470418277289212</v>
      </c>
      <c r="O66" s="121">
        <f>IPPU_Industry!O26</f>
        <v>74.100987315984753</v>
      </c>
      <c r="P66" s="121">
        <f>IPPU_Industry!P26</f>
        <v>72.038053752362728</v>
      </c>
      <c r="Q66" s="121">
        <f>IPPU_Industry!Q26</f>
        <v>78.565692063620887</v>
      </c>
      <c r="R66" s="121">
        <f>IPPU_Industry!R26</f>
        <v>81.719580240308588</v>
      </c>
      <c r="S66" s="121">
        <f>IPPU_Industry!S26</f>
        <v>84.774272565481596</v>
      </c>
      <c r="T66" s="121">
        <f>IPPU_Industry!T26</f>
        <v>87.665302582544385</v>
      </c>
      <c r="U66" s="121">
        <f>IPPU_Industry!U26</f>
        <v>90.60290244329093</v>
      </c>
      <c r="V66" s="121">
        <f>IPPU_Industry!V26</f>
        <v>93.558023330457104</v>
      </c>
      <c r="W66" s="121">
        <f>IPPU_Industry!W26</f>
        <v>96.569122424591995</v>
      </c>
      <c r="X66" s="121">
        <f>IPPU_Industry!X26</f>
        <v>99.635911835866054</v>
      </c>
      <c r="Y66" s="121">
        <f>IPPU_Industry!Y26</f>
        <v>102.75806618967755</v>
      </c>
      <c r="Z66" s="121">
        <f>IPPU_Industry!Z26</f>
        <v>105.93522192257653</v>
      </c>
      <c r="AA66" s="121">
        <f>IPPU_Industry!AA26</f>
        <v>109.16697646621689</v>
      </c>
      <c r="AB66" s="121">
        <f>IPPU_Industry!AB26</f>
        <v>112.45288731428481</v>
      </c>
      <c r="AC66" s="121">
        <f>IPPU_Industry!AC26</f>
        <v>115.79247096756482</v>
      </c>
      <c r="AD66" s="121">
        <f>IPPU_Industry!AD26</f>
        <v>119.18520175251334</v>
      </c>
      <c r="AE66" s="121">
        <f>IPPU_Industry!AE26</f>
        <v>122.63051050889524</v>
      </c>
    </row>
    <row r="67" spans="1:35" x14ac:dyDescent="0.35">
      <c r="B67" s="115" t="s">
        <v>3150</v>
      </c>
      <c r="C67" s="115" t="s">
        <v>4</v>
      </c>
      <c r="D67" s="115" t="s">
        <v>3518</v>
      </c>
      <c r="E67" s="115" t="s">
        <v>1852</v>
      </c>
      <c r="F67" s="115" t="s">
        <v>3519</v>
      </c>
      <c r="H67" s="119" t="str">
        <f>Settings!$B$3&amp;".mit.t2.ik2"</f>
        <v>egy.mit.t2.ik2</v>
      </c>
      <c r="L67" s="121">
        <f>IPPU_Industry!L43</f>
        <v>52.200349760476598</v>
      </c>
      <c r="M67" s="121">
        <f>IPPU_Industry!M43</f>
        <v>56.903431130804279</v>
      </c>
      <c r="N67" s="121">
        <f>IPPU_Industry!N43</f>
        <v>66.470418277289212</v>
      </c>
      <c r="O67" s="121">
        <f>IPPU_Industry!O43</f>
        <v>74.100987315984753</v>
      </c>
      <c r="P67" s="121">
        <f>IPPU_Industry!P43</f>
        <v>72.038053752362728</v>
      </c>
      <c r="Q67" s="121">
        <f>IPPU_Industry!Q43</f>
        <v>78.565692063620887</v>
      </c>
      <c r="R67" s="121">
        <f>IPPU_Industry!R43</f>
        <v>81.719580240308588</v>
      </c>
      <c r="S67" s="121">
        <f>IPPU_Industry!S43</f>
        <v>84.774272565481596</v>
      </c>
      <c r="T67" s="121">
        <f>IPPU_Industry!T43</f>
        <v>87.665302582544385</v>
      </c>
      <c r="U67" s="121">
        <f>IPPU_Industry!U43</f>
        <v>90.60290244329093</v>
      </c>
      <c r="V67" s="121">
        <f>IPPU_Industry!V43</f>
        <v>93.558023330457104</v>
      </c>
      <c r="W67" s="121">
        <f>IPPU_Industry!W43</f>
        <v>96.569122424591995</v>
      </c>
      <c r="X67" s="121">
        <f>IPPU_Industry!X43</f>
        <v>99.635911835866054</v>
      </c>
      <c r="Y67" s="121">
        <f>IPPU_Industry!Y43</f>
        <v>102.75806618967755</v>
      </c>
      <c r="Z67" s="121">
        <f>IPPU_Industry!Z43</f>
        <v>105.93522192257653</v>
      </c>
      <c r="AA67" s="121">
        <f>IPPU_Industry!AA43</f>
        <v>109.16697646621689</v>
      </c>
      <c r="AB67" s="121">
        <f>IPPU_Industry!AB43</f>
        <v>112.45288731428481</v>
      </c>
      <c r="AC67" s="121">
        <f>IPPU_Industry!AC43</f>
        <v>115.79247096756482</v>
      </c>
      <c r="AD67" s="121">
        <f>IPPU_Industry!AD43</f>
        <v>119.18520175251334</v>
      </c>
      <c r="AE67" s="121">
        <f>IPPU_Industry!AE43</f>
        <v>122.63051050889524</v>
      </c>
    </row>
    <row r="68" spans="1:35" x14ac:dyDescent="0.35">
      <c r="B68" s="115" t="s">
        <v>3150</v>
      </c>
      <c r="C68" s="115" t="s">
        <v>4</v>
      </c>
      <c r="D68" s="115" t="s">
        <v>3520</v>
      </c>
      <c r="E68" s="115" t="s">
        <v>1852</v>
      </c>
      <c r="H68" s="119" t="str">
        <f>Settings!$B$3&amp;".mit.t2.dik_p"</f>
        <v>egy.mit.t2.dik_p</v>
      </c>
      <c r="L68" s="121">
        <f t="shared" ref="L68:AE68" si="12">L67-L66</f>
        <v>0</v>
      </c>
      <c r="M68" s="121">
        <f t="shared" si="12"/>
        <v>0</v>
      </c>
      <c r="N68" s="121">
        <f t="shared" si="12"/>
        <v>0</v>
      </c>
      <c r="O68" s="121">
        <f t="shared" si="12"/>
        <v>0</v>
      </c>
      <c r="P68" s="121">
        <f t="shared" si="12"/>
        <v>0</v>
      </c>
      <c r="Q68" s="121">
        <f t="shared" si="12"/>
        <v>0</v>
      </c>
      <c r="R68" s="121">
        <f t="shared" si="12"/>
        <v>0</v>
      </c>
      <c r="S68" s="121">
        <f t="shared" si="12"/>
        <v>0</v>
      </c>
      <c r="T68" s="121">
        <f t="shared" si="12"/>
        <v>0</v>
      </c>
      <c r="U68" s="121">
        <f t="shared" si="12"/>
        <v>0</v>
      </c>
      <c r="V68" s="121">
        <f t="shared" si="12"/>
        <v>0</v>
      </c>
      <c r="W68" s="121">
        <f t="shared" si="12"/>
        <v>0</v>
      </c>
      <c r="X68" s="121">
        <f t="shared" si="12"/>
        <v>0</v>
      </c>
      <c r="Y68" s="121">
        <f t="shared" si="12"/>
        <v>0</v>
      </c>
      <c r="Z68" s="121">
        <f t="shared" si="12"/>
        <v>0</v>
      </c>
      <c r="AA68" s="121">
        <f t="shared" si="12"/>
        <v>0</v>
      </c>
      <c r="AB68" s="121">
        <f t="shared" si="12"/>
        <v>0</v>
      </c>
      <c r="AC68" s="121">
        <f t="shared" si="12"/>
        <v>0</v>
      </c>
      <c r="AD68" s="121">
        <f t="shared" si="12"/>
        <v>0</v>
      </c>
      <c r="AE68" s="121">
        <f t="shared" si="12"/>
        <v>0</v>
      </c>
    </row>
    <row r="69" spans="1:35" x14ac:dyDescent="0.35">
      <c r="B69" s="115" t="s">
        <v>3150</v>
      </c>
      <c r="C69" s="115" t="s">
        <v>4</v>
      </c>
      <c r="D69" s="115" t="s">
        <v>3521</v>
      </c>
      <c r="E69" s="115" t="s">
        <v>1852</v>
      </c>
      <c r="F69" s="115" t="s">
        <v>3522</v>
      </c>
      <c r="H69" s="119" t="str">
        <f>Settings!$B$3&amp;".mit.t2.bp1"</f>
        <v>egy.mit.t2.bp1</v>
      </c>
      <c r="L69" s="121">
        <f>Mitigation_Industry!L390</f>
        <v>26.751620146588561</v>
      </c>
      <c r="M69" s="121">
        <f>Mitigation_Industry!M390</f>
        <v>27.646438017449757</v>
      </c>
      <c r="N69" s="121">
        <f>Mitigation_Industry!N390</f>
        <v>28.571608133999998</v>
      </c>
      <c r="O69" s="121">
        <f>Mitigation_Industry!O390</f>
        <v>29.528179985927999</v>
      </c>
      <c r="P69" s="121">
        <f>Mitigation_Industry!P390</f>
        <v>30.517240342133586</v>
      </c>
      <c r="Q69" s="121">
        <f>Mitigation_Industry!Q390</f>
        <v>31.539914624858142</v>
      </c>
      <c r="R69" s="121">
        <f>Mitigation_Industry!R390</f>
        <v>32.597368336956976</v>
      </c>
      <c r="S69" s="121">
        <f>Mitigation_Industry!S390</f>
        <v>33.690808544489862</v>
      </c>
      <c r="T69" s="121">
        <f>Mitigation_Industry!T390</f>
        <v>34.821485416900551</v>
      </c>
      <c r="U69" s="121">
        <f>Mitigation_Industry!U390</f>
        <v>35.990693827155248</v>
      </c>
      <c r="V69" s="121">
        <f>Mitigation_Industry!V390</f>
        <v>37.19977501431368</v>
      </c>
      <c r="W69" s="121">
        <f>Mitigation_Industry!W390</f>
        <v>38.450118311115105</v>
      </c>
      <c r="X69" s="121">
        <f>Mitigation_Industry!X390</f>
        <v>39.743162939274711</v>
      </c>
      <c r="Y69" s="121">
        <f>Mitigation_Industry!Y390</f>
        <v>41.08039987530541</v>
      </c>
      <c r="Z69" s="121">
        <f>Mitigation_Industry!Z390</f>
        <v>42.463373789803512</v>
      </c>
      <c r="AA69" s="121">
        <f>Mitigation_Industry!AA390</f>
        <v>43.893685063268059</v>
      </c>
      <c r="AB69" s="121">
        <f>Mitigation_Industry!AB390</f>
        <v>45.372991881658805</v>
      </c>
      <c r="AC69" s="121">
        <f>Mitigation_Industry!AC390</f>
        <v>46.903012415041424</v>
      </c>
      <c r="AD69" s="121">
        <f>Mitigation_Industry!AD390</f>
        <v>48.485527082817555</v>
      </c>
      <c r="AE69" s="121">
        <f>Mitigation_Industry!AE390</f>
        <v>50.122380909193787</v>
      </c>
    </row>
    <row r="70" spans="1:35" x14ac:dyDescent="0.35">
      <c r="B70" s="115" t="s">
        <v>3150</v>
      </c>
      <c r="C70" s="115" t="s">
        <v>4</v>
      </c>
      <c r="D70" s="115" t="s">
        <v>3523</v>
      </c>
      <c r="E70" s="115" t="s">
        <v>1852</v>
      </c>
      <c r="F70" s="115" t="s">
        <v>3524</v>
      </c>
      <c r="H70" s="119" t="str">
        <f>Settings!$B$3&amp;".mit.t2.be1"</f>
        <v>egy.mit.t2.be1</v>
      </c>
      <c r="L70" s="121">
        <f>Mitigation_Industry!L380</f>
        <v>48.086991333544489</v>
      </c>
      <c r="M70" s="121">
        <f>Mitigation_Industry!M380</f>
        <v>49.677032012339083</v>
      </c>
      <c r="N70" s="121">
        <f>Mitigation_Industry!N380</f>
        <v>51.320891261</v>
      </c>
      <c r="O70" s="121">
        <f>Mitigation_Industry!O380</f>
        <v>53.020436367115991</v>
      </c>
      <c r="P70" s="121">
        <f>Mitigation_Industry!P380</f>
        <v>54.77760125723205</v>
      </c>
      <c r="Q70" s="121">
        <f>Mitigation_Industry!Q380</f>
        <v>56.594388955214242</v>
      </c>
      <c r="R70" s="121">
        <f>Mitigation_Industry!R380</f>
        <v>58.472874134897971</v>
      </c>
      <c r="S70" s="121">
        <f>Mitigation_Industry!S380</f>
        <v>60.415205770798046</v>
      </c>
      <c r="T70" s="121">
        <f>Mitigation_Industry!T380</f>
        <v>62.423609890817644</v>
      </c>
      <c r="U70" s="121">
        <f>Mitigation_Industry!U380</f>
        <v>64.500392435059069</v>
      </c>
      <c r="V70" s="121">
        <f>Mitigation_Industry!V380</f>
        <v>66.647942225012031</v>
      </c>
      <c r="W70" s="121">
        <f>Mitigation_Industry!W380</f>
        <v>68.868734047575941</v>
      </c>
      <c r="X70" s="121">
        <f>Mitigation_Industry!X380</f>
        <v>71.165331858561302</v>
      </c>
      <c r="Y70" s="121">
        <f>Mitigation_Industry!Y380</f>
        <v>73.540392110512528</v>
      </c>
      <c r="Z70" s="121">
        <f>Mitigation_Industry!Z380</f>
        <v>75.996667209899613</v>
      </c>
      <c r="AA70" s="121">
        <f>Mitigation_Industry!AA380</f>
        <v>78.537009108942158</v>
      </c>
      <c r="AB70" s="121">
        <f>Mitigation_Industry!AB380</f>
        <v>81.164373037552508</v>
      </c>
      <c r="AC70" s="121">
        <f>Mitigation_Industry!AC380</f>
        <v>83.881821381120091</v>
      </c>
      <c r="AD70" s="121">
        <f>Mitigation_Industry!AD380</f>
        <v>86.692527710104301</v>
      </c>
      <c r="AE70" s="121">
        <f>Mitigation_Industry!AE380</f>
        <v>89.599780967658063</v>
      </c>
    </row>
    <row r="71" spans="1:35" x14ac:dyDescent="0.35">
      <c r="B71" s="115" t="s">
        <v>3150</v>
      </c>
      <c r="C71" s="115" t="s">
        <v>4</v>
      </c>
      <c r="D71" s="115" t="s">
        <v>3525</v>
      </c>
      <c r="E71" s="115" t="s">
        <v>16</v>
      </c>
      <c r="F71" s="115" t="s">
        <v>3526</v>
      </c>
      <c r="H71" s="119" t="str">
        <f>Settings!$B$3&amp;".mit.t2.cp"</f>
        <v>egy.mit.t2.cp</v>
      </c>
      <c r="L71" s="121">
        <f>Scenarios!L42</f>
        <v>0</v>
      </c>
      <c r="M71" s="121">
        <f>Scenarios!M42</f>
        <v>0</v>
      </c>
      <c r="N71" s="121">
        <f>Scenarios!N42</f>
        <v>0</v>
      </c>
      <c r="O71" s="121">
        <f>Scenarios!O42</f>
        <v>0</v>
      </c>
      <c r="P71" s="121">
        <f>Scenarios!P42</f>
        <v>0</v>
      </c>
      <c r="Q71" s="121">
        <f>Scenarios!Q42</f>
        <v>12.5</v>
      </c>
      <c r="R71" s="121">
        <f>Scenarios!R42</f>
        <v>25</v>
      </c>
      <c r="S71" s="121">
        <f>Scenarios!S42</f>
        <v>37.5</v>
      </c>
      <c r="T71" s="121">
        <f>Scenarios!T42</f>
        <v>50</v>
      </c>
      <c r="U71" s="121">
        <f>Scenarios!U42</f>
        <v>62.5</v>
      </c>
      <c r="V71" s="121">
        <f>Scenarios!V42</f>
        <v>75</v>
      </c>
      <c r="W71" s="121">
        <f>Scenarios!W42</f>
        <v>87.5</v>
      </c>
      <c r="X71" s="121">
        <f>Scenarios!X42</f>
        <v>100</v>
      </c>
      <c r="Y71" s="121">
        <f>Scenarios!Y42</f>
        <v>112.5</v>
      </c>
      <c r="Z71" s="121">
        <f>Scenarios!Z42</f>
        <v>125</v>
      </c>
      <c r="AA71" s="121">
        <f>Scenarios!AA42</f>
        <v>137.5</v>
      </c>
      <c r="AB71" s="121">
        <f>Scenarios!AB42</f>
        <v>150</v>
      </c>
      <c r="AC71" s="121">
        <f>Scenarios!AC42</f>
        <v>162.5</v>
      </c>
      <c r="AD71" s="121">
        <f>Scenarios!AD42</f>
        <v>175</v>
      </c>
      <c r="AE71" s="121">
        <f>Scenarios!AE42</f>
        <v>187.5</v>
      </c>
    </row>
    <row r="72" spans="1:35" x14ac:dyDescent="0.35">
      <c r="B72" s="115" t="s">
        <v>3150</v>
      </c>
      <c r="C72" s="115" t="s">
        <v>4</v>
      </c>
      <c r="D72" s="115" t="s">
        <v>3527</v>
      </c>
      <c r="E72" s="115" t="s">
        <v>79</v>
      </c>
      <c r="F72" s="115" t="s">
        <v>3528</v>
      </c>
      <c r="H72" s="119" t="str">
        <f>Settings!$B$3&amp;".mit.t2.encov"</f>
        <v>egy.mit.t2.encov</v>
      </c>
      <c r="L72" s="121">
        <f>Scenarios!L45</f>
        <v>1</v>
      </c>
      <c r="M72" s="121">
        <f>Scenarios!M45</f>
        <v>1</v>
      </c>
      <c r="N72" s="121">
        <f>Scenarios!N45</f>
        <v>1</v>
      </c>
      <c r="O72" s="121">
        <f>Scenarios!O45</f>
        <v>1</v>
      </c>
      <c r="P72" s="121">
        <f>Scenarios!P45</f>
        <v>1</v>
      </c>
      <c r="Q72" s="121">
        <f>Scenarios!Q45</f>
        <v>1</v>
      </c>
      <c r="R72" s="121">
        <f>Scenarios!R45</f>
        <v>1</v>
      </c>
      <c r="S72" s="121">
        <f>Scenarios!S45</f>
        <v>1</v>
      </c>
      <c r="T72" s="121">
        <f>Scenarios!T45</f>
        <v>1</v>
      </c>
      <c r="U72" s="121">
        <f>Scenarios!U45</f>
        <v>1</v>
      </c>
      <c r="V72" s="121">
        <f>Scenarios!V45</f>
        <v>1</v>
      </c>
      <c r="W72" s="121">
        <f>Scenarios!W45</f>
        <v>1</v>
      </c>
      <c r="X72" s="121">
        <f>Scenarios!X45</f>
        <v>1</v>
      </c>
      <c r="Y72" s="121">
        <f>Scenarios!Y45</f>
        <v>1</v>
      </c>
      <c r="Z72" s="121">
        <f>Scenarios!Z45</f>
        <v>1</v>
      </c>
      <c r="AA72" s="121">
        <f>Scenarios!AA45</f>
        <v>1</v>
      </c>
      <c r="AB72" s="121">
        <f>Scenarios!AB45</f>
        <v>1</v>
      </c>
      <c r="AC72" s="121">
        <f>Scenarios!AC45</f>
        <v>1</v>
      </c>
      <c r="AD72" s="121">
        <f>Scenarios!AD45</f>
        <v>1</v>
      </c>
      <c r="AE72" s="121">
        <f>Scenarios!AE45</f>
        <v>1</v>
      </c>
    </row>
    <row r="73" spans="1:35" x14ac:dyDescent="0.35">
      <c r="B73" s="115" t="s">
        <v>3150</v>
      </c>
      <c r="C73" s="115" t="s">
        <v>4</v>
      </c>
      <c r="D73" s="115" t="s">
        <v>3529</v>
      </c>
      <c r="E73" s="115" t="s">
        <v>3408</v>
      </c>
      <c r="F73" s="115" t="s">
        <v>3530</v>
      </c>
      <c r="H73" s="119" t="str">
        <f>Settings!$B$3&amp;".mit.t2.revp"</f>
        <v>egy.mit.t2.revp</v>
      </c>
      <c r="L73" s="121">
        <f>Mitigation_Industry!L782/1000</f>
        <v>0</v>
      </c>
      <c r="M73" s="121">
        <f>Mitigation_Industry!M782/1000</f>
        <v>0</v>
      </c>
      <c r="N73" s="121">
        <f>Mitigation_Industry!N782/1000</f>
        <v>0</v>
      </c>
      <c r="O73" s="121">
        <f>Mitigation_Industry!O782/1000</f>
        <v>0</v>
      </c>
      <c r="P73" s="121">
        <f>Mitigation_Industry!P782/1000</f>
        <v>0</v>
      </c>
      <c r="Q73" s="121">
        <f>Mitigation_Industry!Q782/1000</f>
        <v>0</v>
      </c>
      <c r="R73" s="121">
        <f>Mitigation_Industry!R782/1000</f>
        <v>0</v>
      </c>
      <c r="S73" s="121">
        <f>Mitigation_Industry!S782/1000</f>
        <v>0</v>
      </c>
      <c r="T73" s="121">
        <f>Mitigation_Industry!T782/1000</f>
        <v>0</v>
      </c>
      <c r="U73" s="121">
        <f>Mitigation_Industry!U782/1000</f>
        <v>0</v>
      </c>
      <c r="V73" s="121">
        <f>Mitigation_Industry!V782/1000</f>
        <v>0</v>
      </c>
      <c r="W73" s="121">
        <f>Mitigation_Industry!W782/1000</f>
        <v>0</v>
      </c>
      <c r="X73" s="121">
        <f>Mitigation_Industry!X782/1000</f>
        <v>0</v>
      </c>
      <c r="Y73" s="121">
        <f>Mitigation_Industry!Y782/1000</f>
        <v>0</v>
      </c>
      <c r="Z73" s="121">
        <f>Mitigation_Industry!Z782/1000</f>
        <v>0</v>
      </c>
      <c r="AA73" s="121">
        <f>Mitigation_Industry!AA782/1000</f>
        <v>0</v>
      </c>
      <c r="AB73" s="121">
        <f>Mitigation_Industry!AB782/1000</f>
        <v>0</v>
      </c>
      <c r="AC73" s="121">
        <f>Mitigation_Industry!AC782/1000</f>
        <v>0</v>
      </c>
      <c r="AD73" s="121">
        <f>Mitigation_Industry!AD782/1000</f>
        <v>0</v>
      </c>
      <c r="AE73" s="121">
        <f>Mitigation_Industry!AE782/1000</f>
        <v>0</v>
      </c>
    </row>
    <row r="74" spans="1:35" x14ac:dyDescent="0.35">
      <c r="B74" s="115" t="s">
        <v>3150</v>
      </c>
      <c r="C74" s="115" t="s">
        <v>4</v>
      </c>
      <c r="D74" s="115" t="s">
        <v>3531</v>
      </c>
      <c r="E74" s="115" t="s">
        <v>3408</v>
      </c>
      <c r="F74" s="115" t="s">
        <v>3532</v>
      </c>
      <c r="H74" s="119" t="str">
        <f>Settings!$B$3&amp;".mit.t2.obr"</f>
        <v>egy.mit.t2.obr</v>
      </c>
      <c r="L74" s="121">
        <f>Rebate_Industry!L217/1000</f>
        <v>0</v>
      </c>
      <c r="M74" s="121">
        <f>Rebate_Industry!M217/1000</f>
        <v>0</v>
      </c>
      <c r="N74" s="121">
        <f>Rebate_Industry!N217/1000</f>
        <v>0</v>
      </c>
      <c r="O74" s="121">
        <f>Rebate_Industry!O217/1000</f>
        <v>0</v>
      </c>
      <c r="P74" s="121">
        <f>Rebate_Industry!P217/1000</f>
        <v>0</v>
      </c>
      <c r="Q74" s="121">
        <f>Rebate_Industry!Q217/1000</f>
        <v>0</v>
      </c>
      <c r="R74" s="121">
        <f>Rebate_Industry!R217/1000</f>
        <v>0</v>
      </c>
      <c r="S74" s="121">
        <f>Rebate_Industry!S217/1000</f>
        <v>0</v>
      </c>
      <c r="T74" s="121">
        <f>Rebate_Industry!T217/1000</f>
        <v>0</v>
      </c>
      <c r="U74" s="121">
        <f>Rebate_Industry!U217/1000</f>
        <v>0</v>
      </c>
      <c r="V74" s="121">
        <f>Rebate_Industry!V217/1000</f>
        <v>0</v>
      </c>
      <c r="W74" s="121">
        <f>Rebate_Industry!W217/1000</f>
        <v>0</v>
      </c>
      <c r="X74" s="121">
        <f>Rebate_Industry!X217/1000</f>
        <v>0</v>
      </c>
      <c r="Y74" s="121">
        <f>Rebate_Industry!Y217/1000</f>
        <v>0</v>
      </c>
      <c r="Z74" s="121">
        <f>Rebate_Industry!Z217/1000</f>
        <v>0</v>
      </c>
      <c r="AA74" s="121">
        <f>Rebate_Industry!AA217/1000</f>
        <v>0</v>
      </c>
      <c r="AB74" s="121">
        <f>Rebate_Industry!AB217/1000</f>
        <v>0</v>
      </c>
      <c r="AC74" s="121">
        <f>Rebate_Industry!AC217/1000</f>
        <v>0</v>
      </c>
      <c r="AD74" s="121">
        <f>Rebate_Industry!AD217/1000</f>
        <v>0</v>
      </c>
      <c r="AE74" s="121">
        <f>Rebate_Industry!AE217/1000</f>
        <v>0</v>
      </c>
    </row>
    <row r="75" spans="1:35" x14ac:dyDescent="0.35">
      <c r="B75" s="115" t="s">
        <v>3150</v>
      </c>
      <c r="C75" s="115" t="s">
        <v>4</v>
      </c>
      <c r="D75" s="115" t="s">
        <v>3533</v>
      </c>
      <c r="E75" s="115" t="s">
        <v>3408</v>
      </c>
      <c r="F75" s="115" t="s">
        <v>3534</v>
      </c>
      <c r="H75" s="119" t="str">
        <f>Settings!$B$3&amp;".mit.t2.fund"</f>
        <v>egy.mit.t2.fund</v>
      </c>
      <c r="L75" s="121">
        <f>Fund_Industry!L329/1000</f>
        <v>0</v>
      </c>
      <c r="M75" s="121">
        <f>Fund_Industry!M329/1000</f>
        <v>0</v>
      </c>
      <c r="N75" s="121">
        <f>Fund_Industry!N329/1000</f>
        <v>0</v>
      </c>
      <c r="O75" s="121">
        <f>Fund_Industry!O329/1000</f>
        <v>0</v>
      </c>
      <c r="P75" s="121">
        <f>Fund_Industry!P329/1000</f>
        <v>0</v>
      </c>
      <c r="Q75" s="121">
        <f>Fund_Industry!Q329/1000</f>
        <v>0</v>
      </c>
      <c r="R75" s="121">
        <f>Fund_Industry!R329/1000</f>
        <v>0</v>
      </c>
      <c r="S75" s="121">
        <f>Fund_Industry!S329/1000</f>
        <v>0</v>
      </c>
      <c r="T75" s="121">
        <f>Fund_Industry!T329/1000</f>
        <v>0</v>
      </c>
      <c r="U75" s="121">
        <f>Fund_Industry!U329/1000</f>
        <v>0</v>
      </c>
      <c r="V75" s="121">
        <f>Fund_Industry!V329/1000</f>
        <v>0</v>
      </c>
      <c r="W75" s="121">
        <f>Fund_Industry!W329/1000</f>
        <v>0</v>
      </c>
      <c r="X75" s="121">
        <f>Fund_Industry!X329/1000</f>
        <v>0</v>
      </c>
      <c r="Y75" s="121">
        <f>Fund_Industry!Y329/1000</f>
        <v>0</v>
      </c>
      <c r="Z75" s="121">
        <f>Fund_Industry!Z329/1000</f>
        <v>0</v>
      </c>
      <c r="AA75" s="121">
        <f>Fund_Industry!AA329/1000</f>
        <v>0</v>
      </c>
      <c r="AB75" s="121">
        <f>Fund_Industry!AB329/1000</f>
        <v>0</v>
      </c>
      <c r="AC75" s="121">
        <f>Fund_Industry!AC329/1000</f>
        <v>0</v>
      </c>
      <c r="AD75" s="121">
        <f>Fund_Industry!AD329/1000</f>
        <v>0</v>
      </c>
      <c r="AE75" s="121">
        <f>Fund_Industry!AE329/1000</f>
        <v>0</v>
      </c>
    </row>
    <row r="78" spans="1:35" customFormat="1" ht="18" customHeight="1" x14ac:dyDescent="0.45">
      <c r="A78" s="8"/>
      <c r="B78" s="9" t="s">
        <v>3535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80" spans="1:35" customFormat="1" ht="14.25" x14ac:dyDescent="0.45">
      <c r="A80" s="11"/>
      <c r="B80" s="6" t="s">
        <v>1488</v>
      </c>
      <c r="C80" s="7" t="s">
        <v>33</v>
      </c>
      <c r="D80" s="6" t="s">
        <v>34</v>
      </c>
      <c r="E80" s="7" t="s">
        <v>35</v>
      </c>
      <c r="F80" s="7" t="s">
        <v>36</v>
      </c>
      <c r="G80" s="7" t="s">
        <v>37</v>
      </c>
      <c r="H80" s="12" t="s">
        <v>38</v>
      </c>
      <c r="I80" s="6" t="s">
        <v>39</v>
      </c>
      <c r="J80" s="48"/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2:35" x14ac:dyDescent="0.35">
      <c r="B81" s="115" t="s">
        <v>3536</v>
      </c>
      <c r="C81" s="115" t="s">
        <v>3537</v>
      </c>
      <c r="D81" s="115" t="s">
        <v>3538</v>
      </c>
      <c r="E81" s="115" t="s">
        <v>1852</v>
      </c>
      <c r="H81" s="119" t="str">
        <f>Settings!$B$3&amp;".mit.t2.col.ripr"</f>
        <v>egy.mit.t2.col.ripr</v>
      </c>
      <c r="L81" s="121">
        <f t="shared" ref="L81:AE81" si="13">IF($D$15="-",0,L68-L50)</f>
        <v>0</v>
      </c>
      <c r="M81" s="121">
        <f t="shared" si="13"/>
        <v>0</v>
      </c>
      <c r="N81" s="121">
        <f t="shared" si="13"/>
        <v>0</v>
      </c>
      <c r="O81" s="121">
        <f t="shared" si="13"/>
        <v>0</v>
      </c>
      <c r="P81" s="121">
        <f t="shared" si="13"/>
        <v>0</v>
      </c>
      <c r="Q81" s="121">
        <f t="shared" si="13"/>
        <v>0</v>
      </c>
      <c r="R81" s="121">
        <f t="shared" si="13"/>
        <v>0</v>
      </c>
      <c r="S81" s="121">
        <f t="shared" si="13"/>
        <v>0</v>
      </c>
      <c r="T81" s="121">
        <f t="shared" si="13"/>
        <v>0</v>
      </c>
      <c r="U81" s="121">
        <f t="shared" si="13"/>
        <v>0</v>
      </c>
      <c r="V81" s="121">
        <f t="shared" si="13"/>
        <v>0</v>
      </c>
      <c r="W81" s="121">
        <f t="shared" si="13"/>
        <v>0</v>
      </c>
      <c r="X81" s="121">
        <f t="shared" si="13"/>
        <v>0</v>
      </c>
      <c r="Y81" s="121">
        <f t="shared" si="13"/>
        <v>0</v>
      </c>
      <c r="Z81" s="121">
        <f t="shared" si="13"/>
        <v>0</v>
      </c>
      <c r="AA81" s="121">
        <f t="shared" si="13"/>
        <v>0</v>
      </c>
      <c r="AB81" s="121">
        <f t="shared" si="13"/>
        <v>0</v>
      </c>
      <c r="AC81" s="121">
        <f t="shared" si="13"/>
        <v>0</v>
      </c>
      <c r="AD81" s="121">
        <f t="shared" si="13"/>
        <v>0</v>
      </c>
      <c r="AE81" s="121">
        <f t="shared" si="13"/>
        <v>0</v>
      </c>
    </row>
    <row r="82" spans="2:35" x14ac:dyDescent="0.35">
      <c r="B82" s="115" t="s">
        <v>3536</v>
      </c>
      <c r="C82" s="115" t="s">
        <v>3537</v>
      </c>
      <c r="D82" s="115" t="s">
        <v>3539</v>
      </c>
      <c r="E82" s="115" t="s">
        <v>1852</v>
      </c>
      <c r="H82" s="119" t="str">
        <f>Settings!$B$3&amp;".mit.t2.col.rind"</f>
        <v>egy.mit.t2.col.rind</v>
      </c>
      <c r="L82" s="121">
        <f t="shared" ref="L82:AE82" si="14">IF($D$15="-",0,L65-L52)</f>
        <v>0</v>
      </c>
      <c r="M82" s="121">
        <f t="shared" si="14"/>
        <v>0</v>
      </c>
      <c r="N82" s="121">
        <f t="shared" si="14"/>
        <v>0</v>
      </c>
      <c r="O82" s="121">
        <f t="shared" si="14"/>
        <v>0</v>
      </c>
      <c r="P82" s="121">
        <f t="shared" si="14"/>
        <v>0</v>
      </c>
      <c r="Q82" s="121">
        <f t="shared" si="14"/>
        <v>0</v>
      </c>
      <c r="R82" s="121">
        <f t="shared" si="14"/>
        <v>0</v>
      </c>
      <c r="S82" s="121">
        <f t="shared" si="14"/>
        <v>0</v>
      </c>
      <c r="T82" s="121">
        <f t="shared" si="14"/>
        <v>0</v>
      </c>
      <c r="U82" s="121">
        <f t="shared" si="14"/>
        <v>0</v>
      </c>
      <c r="V82" s="121">
        <f t="shared" si="14"/>
        <v>0</v>
      </c>
      <c r="W82" s="121">
        <f t="shared" si="14"/>
        <v>0</v>
      </c>
      <c r="X82" s="121">
        <f t="shared" si="14"/>
        <v>0</v>
      </c>
      <c r="Y82" s="121">
        <f t="shared" si="14"/>
        <v>0</v>
      </c>
      <c r="Z82" s="121">
        <f t="shared" si="14"/>
        <v>0</v>
      </c>
      <c r="AA82" s="121">
        <f t="shared" si="14"/>
        <v>0</v>
      </c>
      <c r="AB82" s="121">
        <f t="shared" si="14"/>
        <v>0</v>
      </c>
      <c r="AC82" s="121">
        <f t="shared" si="14"/>
        <v>0</v>
      </c>
      <c r="AD82" s="121">
        <f t="shared" si="14"/>
        <v>0</v>
      </c>
      <c r="AE82" s="121">
        <f t="shared" si="14"/>
        <v>0</v>
      </c>
    </row>
    <row r="83" spans="2:35" ht="13.9" x14ac:dyDescent="0.4">
      <c r="B83" s="124" t="s">
        <v>3540</v>
      </c>
      <c r="C83" s="124" t="s">
        <v>3537</v>
      </c>
      <c r="D83" s="124" t="s">
        <v>3541</v>
      </c>
      <c r="E83" s="124" t="s">
        <v>1852</v>
      </c>
      <c r="F83" s="124"/>
      <c r="G83" s="124"/>
      <c r="H83" s="145" t="str">
        <f>Settings!$B$3&amp;".mit.t2.col.k"</f>
        <v>egy.mit.t2.col.k</v>
      </c>
      <c r="I83" s="124"/>
      <c r="J83" s="124"/>
      <c r="K83" s="124"/>
      <c r="L83" s="146">
        <f t="shared" ref="L83:AE83" si="15">IF($D$15="-",0,L49+L81+L82)</f>
        <v>0</v>
      </c>
      <c r="M83" s="146">
        <f t="shared" si="15"/>
        <v>0</v>
      </c>
      <c r="N83" s="146">
        <f t="shared" si="15"/>
        <v>0</v>
      </c>
      <c r="O83" s="146">
        <f t="shared" si="15"/>
        <v>0</v>
      </c>
      <c r="P83" s="146">
        <f t="shared" si="15"/>
        <v>0</v>
      </c>
      <c r="Q83" s="146">
        <f t="shared" si="15"/>
        <v>0</v>
      </c>
      <c r="R83" s="146">
        <f t="shared" si="15"/>
        <v>0</v>
      </c>
      <c r="S83" s="146">
        <f t="shared" si="15"/>
        <v>0</v>
      </c>
      <c r="T83" s="146">
        <f t="shared" si="15"/>
        <v>0</v>
      </c>
      <c r="U83" s="146">
        <f t="shared" si="15"/>
        <v>0</v>
      </c>
      <c r="V83" s="146">
        <f t="shared" si="15"/>
        <v>0</v>
      </c>
      <c r="W83" s="146">
        <f t="shared" si="15"/>
        <v>0</v>
      </c>
      <c r="X83" s="146">
        <f t="shared" si="15"/>
        <v>0</v>
      </c>
      <c r="Y83" s="146">
        <f t="shared" si="15"/>
        <v>0</v>
      </c>
      <c r="Z83" s="146">
        <f t="shared" si="15"/>
        <v>0</v>
      </c>
      <c r="AA83" s="146">
        <f t="shared" si="15"/>
        <v>0</v>
      </c>
      <c r="AB83" s="146">
        <f t="shared" si="15"/>
        <v>0</v>
      </c>
      <c r="AC83" s="146">
        <f t="shared" si="15"/>
        <v>0</v>
      </c>
      <c r="AD83" s="146">
        <f t="shared" si="15"/>
        <v>0</v>
      </c>
      <c r="AE83" s="146">
        <f t="shared" si="15"/>
        <v>0</v>
      </c>
      <c r="AF83" s="124"/>
      <c r="AG83" s="124"/>
      <c r="AH83" s="124"/>
      <c r="AI83" s="124"/>
    </row>
    <row r="84" spans="2:35" x14ac:dyDescent="0.35">
      <c r="B84" s="115" t="s">
        <v>3542</v>
      </c>
      <c r="C84" s="115" t="s">
        <v>3537</v>
      </c>
      <c r="D84" s="115" t="s">
        <v>3665</v>
      </c>
      <c r="E84" s="115" t="s">
        <v>84</v>
      </c>
      <c r="H84" s="119" t="str">
        <f>Settings!$B$3&amp;".mit.t2.col.j"</f>
        <v>egy.mit.t2.col.j</v>
      </c>
      <c r="I84" s="115" t="s">
        <v>3543</v>
      </c>
      <c r="L84" s="121">
        <f t="shared" ref="L84:AE84" si="16">IF(L25=0,0,100*(IF($D$16="All sectors",L29,L72*L62)+$D$17*L69)/L25)</f>
        <v>0</v>
      </c>
      <c r="M84" s="121">
        <f t="shared" si="16"/>
        <v>0</v>
      </c>
      <c r="N84" s="121">
        <f t="shared" si="16"/>
        <v>0</v>
      </c>
      <c r="O84" s="121">
        <f t="shared" si="16"/>
        <v>0</v>
      </c>
      <c r="P84" s="121">
        <f t="shared" si="16"/>
        <v>0</v>
      </c>
      <c r="Q84" s="121">
        <f t="shared" si="16"/>
        <v>0</v>
      </c>
      <c r="R84" s="121">
        <f t="shared" si="16"/>
        <v>0</v>
      </c>
      <c r="S84" s="121">
        <f t="shared" si="16"/>
        <v>0</v>
      </c>
      <c r="T84" s="121">
        <f t="shared" si="16"/>
        <v>0</v>
      </c>
      <c r="U84" s="121">
        <f t="shared" si="16"/>
        <v>0</v>
      </c>
      <c r="V84" s="121">
        <f t="shared" si="16"/>
        <v>0</v>
      </c>
      <c r="W84" s="121">
        <f t="shared" si="16"/>
        <v>0</v>
      </c>
      <c r="X84" s="121">
        <f t="shared" si="16"/>
        <v>0</v>
      </c>
      <c r="Y84" s="121">
        <f t="shared" si="16"/>
        <v>0</v>
      </c>
      <c r="Z84" s="121">
        <f t="shared" si="16"/>
        <v>0</v>
      </c>
      <c r="AA84" s="121">
        <f t="shared" si="16"/>
        <v>0</v>
      </c>
      <c r="AB84" s="121">
        <f t="shared" si="16"/>
        <v>0</v>
      </c>
      <c r="AC84" s="121">
        <f t="shared" si="16"/>
        <v>0</v>
      </c>
      <c r="AD84" s="121">
        <f t="shared" si="16"/>
        <v>0</v>
      </c>
      <c r="AE84" s="121">
        <f t="shared" si="16"/>
        <v>0</v>
      </c>
    </row>
    <row r="85" spans="2:35" x14ac:dyDescent="0.35">
      <c r="B85" s="115" t="s">
        <v>3544</v>
      </c>
      <c r="C85" s="115" t="s">
        <v>3537</v>
      </c>
      <c r="D85" s="115" t="s">
        <v>3545</v>
      </c>
      <c r="E85" s="115" t="s">
        <v>84</v>
      </c>
      <c r="H85" s="119" t="str">
        <f>Settings!$B$3&amp;".mit.t2.col.l"</f>
        <v>egy.mit.t2.col.l</v>
      </c>
      <c r="L85" s="121">
        <f t="shared" ref="L85:AE85" si="17">IF(L25=0,0,100*L83/L25)</f>
        <v>0</v>
      </c>
      <c r="M85" s="121">
        <f t="shared" si="17"/>
        <v>0</v>
      </c>
      <c r="N85" s="121">
        <f t="shared" si="17"/>
        <v>0</v>
      </c>
      <c r="O85" s="121">
        <f t="shared" si="17"/>
        <v>0</v>
      </c>
      <c r="P85" s="121">
        <f t="shared" si="17"/>
        <v>0</v>
      </c>
      <c r="Q85" s="121">
        <f t="shared" si="17"/>
        <v>0</v>
      </c>
      <c r="R85" s="121">
        <f t="shared" si="17"/>
        <v>0</v>
      </c>
      <c r="S85" s="121">
        <f t="shared" si="17"/>
        <v>0</v>
      </c>
      <c r="T85" s="121">
        <f t="shared" si="17"/>
        <v>0</v>
      </c>
      <c r="U85" s="121">
        <f t="shared" si="17"/>
        <v>0</v>
      </c>
      <c r="V85" s="121">
        <f t="shared" si="17"/>
        <v>0</v>
      </c>
      <c r="W85" s="121">
        <f t="shared" si="17"/>
        <v>0</v>
      </c>
      <c r="X85" s="121">
        <f t="shared" si="17"/>
        <v>0</v>
      </c>
      <c r="Y85" s="121">
        <f t="shared" si="17"/>
        <v>0</v>
      </c>
      <c r="Z85" s="121">
        <f t="shared" si="17"/>
        <v>0</v>
      </c>
      <c r="AA85" s="121">
        <f t="shared" si="17"/>
        <v>0</v>
      </c>
      <c r="AB85" s="121">
        <f t="shared" si="17"/>
        <v>0</v>
      </c>
      <c r="AC85" s="121">
        <f t="shared" si="17"/>
        <v>0</v>
      </c>
      <c r="AD85" s="121">
        <f t="shared" si="17"/>
        <v>0</v>
      </c>
      <c r="AE85" s="121">
        <f t="shared" si="17"/>
        <v>0</v>
      </c>
    </row>
    <row r="86" spans="2:35" x14ac:dyDescent="0.35">
      <c r="B86" s="115" t="s">
        <v>3546</v>
      </c>
      <c r="C86" s="115" t="s">
        <v>3537</v>
      </c>
      <c r="D86" s="115" t="s">
        <v>3547</v>
      </c>
      <c r="E86" s="115" t="s">
        <v>84</v>
      </c>
      <c r="H86" s="119" t="str">
        <f>Settings!$B$3&amp;".mit.t2.col.m"</f>
        <v>egy.mit.t2.col.m</v>
      </c>
      <c r="I86" s="115" t="s">
        <v>3548</v>
      </c>
      <c r="L86" s="121">
        <f>100*Mitigation_Industry!L683</f>
        <v>44.368280475207889</v>
      </c>
      <c r="M86" s="121">
        <f>100*Mitigation_Industry!M683</f>
        <v>44.347645385531962</v>
      </c>
      <c r="N86" s="121">
        <f>100*Mitigation_Industry!N683</f>
        <v>44.32752933168122</v>
      </c>
      <c r="O86" s="121">
        <f>100*Mitigation_Industry!O683</f>
        <v>44.307927265114358</v>
      </c>
      <c r="P86" s="121">
        <f>100*Mitigation_Industry!P683</f>
        <v>44.288834045823563</v>
      </c>
      <c r="Q86" s="121">
        <f>100*Mitigation_Industry!Q683</f>
        <v>44.270244440986659</v>
      </c>
      <c r="R86" s="121">
        <f>100*Mitigation_Industry!R683</f>
        <v>44.252153123593246</v>
      </c>
      <c r="S86" s="121">
        <f>100*Mitigation_Industry!S683</f>
        <v>44.234554671045309</v>
      </c>
      <c r="T86" s="121">
        <f>100*Mitigation_Industry!T683</f>
        <v>44.217443563732914</v>
      </c>
      <c r="U86" s="121">
        <f>100*Mitigation_Industry!U683</f>
        <v>44.2008141835854</v>
      </c>
      <c r="V86" s="121">
        <f>100*Mitigation_Industry!V683</f>
        <v>44.184660812598779</v>
      </c>
      <c r="W86" s="121">
        <f>100*Mitigation_Industry!W683</f>
        <v>44.168977631339978</v>
      </c>
      <c r="X86" s="121">
        <f>100*Mitigation_Industry!X683</f>
        <v>44.153758717428722</v>
      </c>
      <c r="Y86" s="121">
        <f>100*Mitigation_Industry!Y683</f>
        <v>44.138998043997361</v>
      </c>
      <c r="Z86" s="121">
        <f>100*Mitigation_Industry!Z683</f>
        <v>44.12468947813008</v>
      </c>
      <c r="AA86" s="121">
        <f>100*Mitigation_Industry!AA683</f>
        <v>44.110826779281624</v>
      </c>
      <c r="AB86" s="121">
        <f>100*Mitigation_Industry!AB683</f>
        <v>44.097403597677044</v>
      </c>
      <c r="AC86" s="121">
        <f>100*Mitigation_Industry!AC683</f>
        <v>44.084413472692866</v>
      </c>
      <c r="AD86" s="121">
        <f>100*Mitigation_Industry!AD683</f>
        <v>44.071849831220909</v>
      </c>
      <c r="AE86" s="121">
        <f>100*Mitigation_Industry!AE683</f>
        <v>44.059705986015793</v>
      </c>
    </row>
    <row r="87" spans="2:35" x14ac:dyDescent="0.35">
      <c r="B87" s="115" t="s">
        <v>3549</v>
      </c>
      <c r="C87" s="115" t="s">
        <v>3537</v>
      </c>
      <c r="D87" s="115" t="s">
        <v>3550</v>
      </c>
      <c r="E87" s="115" t="s">
        <v>84</v>
      </c>
      <c r="H87" s="119" t="str">
        <f>Settings!$B$3&amp;".mit.t2.col.n"</f>
        <v>egy.mit.t2.col.n</v>
      </c>
      <c r="I87" s="115" t="s">
        <v>3551</v>
      </c>
      <c r="L87" s="121">
        <f>100*Mitigation_Industry!L685</f>
        <v>0</v>
      </c>
      <c r="M87" s="121">
        <f>100*Mitigation_Industry!M685</f>
        <v>0</v>
      </c>
      <c r="N87" s="121">
        <f>100*Mitigation_Industry!N685</f>
        <v>0</v>
      </c>
      <c r="O87" s="121">
        <f>100*Mitigation_Industry!O685</f>
        <v>0</v>
      </c>
      <c r="P87" s="121">
        <f>100*Mitigation_Industry!P685</f>
        <v>-1.1102230246251565E-14</v>
      </c>
      <c r="Q87" s="121">
        <f>100*Mitigation_Industry!Q685</f>
        <v>0</v>
      </c>
      <c r="R87" s="121">
        <f>100*Mitigation_Industry!R685</f>
        <v>2.2204460492503131E-14</v>
      </c>
      <c r="S87" s="121">
        <f>100*Mitigation_Industry!S685</f>
        <v>-1.1102230246251565E-14</v>
      </c>
      <c r="T87" s="121">
        <f>100*Mitigation_Industry!T685</f>
        <v>0</v>
      </c>
      <c r="U87" s="121">
        <f>100*Mitigation_Industry!U685</f>
        <v>0</v>
      </c>
      <c r="V87" s="121">
        <f>100*Mitigation_Industry!V685</f>
        <v>0</v>
      </c>
      <c r="W87" s="121">
        <f>100*Mitigation_Industry!W685</f>
        <v>0</v>
      </c>
      <c r="X87" s="121">
        <f>100*Mitigation_Industry!X685</f>
        <v>0</v>
      </c>
      <c r="Y87" s="121">
        <f>100*Mitigation_Industry!Y685</f>
        <v>0</v>
      </c>
      <c r="Z87" s="121">
        <f>100*Mitigation_Industry!Z685</f>
        <v>0</v>
      </c>
      <c r="AA87" s="121">
        <f>100*Mitigation_Industry!AA685</f>
        <v>0</v>
      </c>
      <c r="AB87" s="121">
        <f>100*Mitigation_Industry!AB685</f>
        <v>2.2204460492503131E-14</v>
      </c>
      <c r="AC87" s="121">
        <f>100*Mitigation_Industry!AC685</f>
        <v>0</v>
      </c>
      <c r="AD87" s="121">
        <f>100*Mitigation_Industry!AD685</f>
        <v>2.2204460492503131E-14</v>
      </c>
      <c r="AE87" s="121">
        <f>100*Mitigation_Industry!AE685</f>
        <v>0</v>
      </c>
    </row>
    <row r="88" spans="2:35" x14ac:dyDescent="0.35">
      <c r="B88" s="115" t="s">
        <v>3552</v>
      </c>
      <c r="C88" s="115" t="s">
        <v>3537</v>
      </c>
      <c r="D88" s="115" t="s">
        <v>3553</v>
      </c>
      <c r="E88" s="115" t="s">
        <v>84</v>
      </c>
      <c r="H88" s="119" t="str">
        <f>Settings!$B$3&amp;".mit.t2.col.o"</f>
        <v>egy.mit.t2.col.o</v>
      </c>
      <c r="I88" s="115" t="s">
        <v>3554</v>
      </c>
      <c r="L88" s="121">
        <f>100*Mitigation_Industry!L771</f>
        <v>0</v>
      </c>
      <c r="M88" s="121">
        <f>100*Mitigation_Industry!M771</f>
        <v>0</v>
      </c>
      <c r="N88" s="121">
        <f>100*Mitigation_Industry!N771</f>
        <v>0</v>
      </c>
      <c r="O88" s="121">
        <f>100*Mitigation_Industry!O771</f>
        <v>0</v>
      </c>
      <c r="P88" s="121">
        <f>100*Mitigation_Industry!P771</f>
        <v>-2.2204460492503131E-14</v>
      </c>
      <c r="Q88" s="121">
        <f>100*Mitigation_Industry!Q771</f>
        <v>-75.386771619452347</v>
      </c>
      <c r="R88" s="121">
        <f>100*Mitigation_Industry!R771</f>
        <v>-75.386771619452333</v>
      </c>
      <c r="S88" s="121">
        <f>100*Mitigation_Industry!S771</f>
        <v>-63.408719017979905</v>
      </c>
      <c r="T88" s="121">
        <f>100*Mitigation_Industry!T771</f>
        <v>-53.410854810573127</v>
      </c>
      <c r="U88" s="121">
        <f>100*Mitigation_Industry!U771</f>
        <v>-53.211410779092596</v>
      </c>
      <c r="V88" s="121">
        <f>100*Mitigation_Industry!V771</f>
        <v>-53.079804853557832</v>
      </c>
      <c r="W88" s="121">
        <f>100*Mitigation_Industry!W771</f>
        <v>-52.986456464515733</v>
      </c>
      <c r="X88" s="121">
        <f>100*Mitigation_Industry!X771</f>
        <v>-52.437567936948149</v>
      </c>
      <c r="Y88" s="121">
        <f>100*Mitigation_Industry!Y771</f>
        <v>-55.393861451477044</v>
      </c>
      <c r="Z88" s="121">
        <f>100*Mitigation_Industry!Z771</f>
        <v>-57.243443966823882</v>
      </c>
      <c r="AA88" s="121">
        <f>100*Mitigation_Industry!AA771</f>
        <v>-59.093026482170671</v>
      </c>
      <c r="AB88" s="121">
        <f>100*Mitigation_Industry!AB771</f>
        <v>-60.942608997517489</v>
      </c>
      <c r="AC88" s="121">
        <f>100*Mitigation_Industry!AC771</f>
        <v>-62.792191512864306</v>
      </c>
      <c r="AD88" s="121">
        <f>100*Mitigation_Industry!AD771</f>
        <v>-64.641774028211117</v>
      </c>
      <c r="AE88" s="121">
        <f>100*Mitigation_Industry!AE771</f>
        <v>-66.491356543557927</v>
      </c>
    </row>
    <row r="89" spans="2:35" x14ac:dyDescent="0.35">
      <c r="B89" s="115" t="s">
        <v>3555</v>
      </c>
      <c r="C89" s="115" t="s">
        <v>3537</v>
      </c>
      <c r="D89" s="115" t="s">
        <v>3556</v>
      </c>
      <c r="E89" s="115" t="s">
        <v>84</v>
      </c>
      <c r="H89" s="119" t="str">
        <f>Settings!$B$3&amp;".mit.t2.col.t"</f>
        <v>egy.mit.t2.col.t</v>
      </c>
      <c r="I89" s="115" t="s">
        <v>3557</v>
      </c>
      <c r="L89" s="121">
        <f>IF(L70=0,0,100*Mitigation_Industry!L727/L70)</f>
        <v>0</v>
      </c>
      <c r="M89" s="121">
        <f>IF(M70=0,0,100*Mitigation_Industry!M727/M70)</f>
        <v>0</v>
      </c>
      <c r="N89" s="121">
        <f>IF(N70=0,0,100*Mitigation_Industry!N727/N70)</f>
        <v>0</v>
      </c>
      <c r="O89" s="121">
        <f>IF(O70=0,0,100*Mitigation_Industry!O727/O70)</f>
        <v>0</v>
      </c>
      <c r="P89" s="121">
        <f>IF(P70=0,0,100*Mitigation_Industry!P727/P70)</f>
        <v>0</v>
      </c>
      <c r="Q89" s="121">
        <f>IF(Q70=0,0,100*Mitigation_Industry!Q727/Q70)</f>
        <v>0</v>
      </c>
      <c r="R89" s="121">
        <f>IF(R70=0,0,100*Mitigation_Industry!R727/R70)</f>
        <v>0</v>
      </c>
      <c r="S89" s="121">
        <f>IF(S70=0,0,100*Mitigation_Industry!S727/S70)</f>
        <v>0</v>
      </c>
      <c r="T89" s="121">
        <f>IF(T70=0,0,100*Mitigation_Industry!T727/T70)</f>
        <v>0</v>
      </c>
      <c r="U89" s="121">
        <f>IF(U70=0,0,100*Mitigation_Industry!U727/U70)</f>
        <v>0</v>
      </c>
      <c r="V89" s="121">
        <f>IF(V70=0,0,100*Mitigation_Industry!V727/V70)</f>
        <v>0</v>
      </c>
      <c r="W89" s="121">
        <f>IF(W70=0,0,100*Mitigation_Industry!W727/W70)</f>
        <v>0</v>
      </c>
      <c r="X89" s="121">
        <f>IF(X70=0,0,100*Mitigation_Industry!X727/X70)</f>
        <v>0</v>
      </c>
      <c r="Y89" s="121">
        <f>IF(Y70=0,0,100*Mitigation_Industry!Y727/Y70)</f>
        <v>0</v>
      </c>
      <c r="Z89" s="121">
        <f>IF(Z70=0,0,100*Mitigation_Industry!Z727/Z70)</f>
        <v>0</v>
      </c>
      <c r="AA89" s="121">
        <f>IF(AA70=0,0,100*Mitigation_Industry!AA727/AA70)</f>
        <v>0</v>
      </c>
      <c r="AB89" s="121">
        <f>IF(AB70=0,0,100*Mitigation_Industry!AB727/AB70)</f>
        <v>0</v>
      </c>
      <c r="AC89" s="121">
        <f>IF(AC70=0,0,100*Mitigation_Industry!AC727/AC70)</f>
        <v>0</v>
      </c>
      <c r="AD89" s="121">
        <f>IF(AD70=0,0,100*Mitigation_Industry!AD727/AD70)</f>
        <v>0</v>
      </c>
      <c r="AE89" s="121">
        <f>IF(AE70=0,0,100*Mitigation_Industry!AE727/AE70)</f>
        <v>0</v>
      </c>
    </row>
    <row r="90" spans="2:35" x14ac:dyDescent="0.35">
      <c r="B90" s="115" t="s">
        <v>3558</v>
      </c>
      <c r="C90" s="115" t="s">
        <v>3537</v>
      </c>
      <c r="D90" s="115" t="s">
        <v>3559</v>
      </c>
      <c r="E90" s="115" t="s">
        <v>84</v>
      </c>
      <c r="H90" s="119" t="str">
        <f>Settings!$B$3&amp;".mit.t2.col.u"</f>
        <v>egy.mit.t2.col.u</v>
      </c>
      <c r="I90" s="115" t="s">
        <v>3560</v>
      </c>
      <c r="L90" s="121">
        <f>100*Mitigation_Industry!L706</f>
        <v>0</v>
      </c>
      <c r="M90" s="121">
        <f>100*Mitigation_Industry!M706</f>
        <v>0</v>
      </c>
      <c r="N90" s="121">
        <f>100*Mitigation_Industry!N706</f>
        <v>0</v>
      </c>
      <c r="O90" s="121">
        <f>100*Mitigation_Industry!O706</f>
        <v>0</v>
      </c>
      <c r="P90" s="121">
        <f>100*Mitigation_Industry!P706</f>
        <v>0</v>
      </c>
      <c r="Q90" s="121">
        <f>100*Mitigation_Industry!Q706</f>
        <v>0</v>
      </c>
      <c r="R90" s="121">
        <f>100*Mitigation_Industry!R706</f>
        <v>0</v>
      </c>
      <c r="S90" s="121">
        <f>100*Mitigation_Industry!S706</f>
        <v>0</v>
      </c>
      <c r="T90" s="121">
        <f>100*Mitigation_Industry!T706</f>
        <v>0</v>
      </c>
      <c r="U90" s="121">
        <f>100*Mitigation_Industry!U706</f>
        <v>0</v>
      </c>
      <c r="V90" s="121">
        <f>100*Mitigation_Industry!V706</f>
        <v>0</v>
      </c>
      <c r="W90" s="121">
        <f>100*Mitigation_Industry!W706</f>
        <v>0</v>
      </c>
      <c r="X90" s="121">
        <f>100*Mitigation_Industry!X706</f>
        <v>0</v>
      </c>
      <c r="Y90" s="121">
        <f>100*Mitigation_Industry!Y706</f>
        <v>0</v>
      </c>
      <c r="Z90" s="121">
        <f>100*Mitigation_Industry!Z706</f>
        <v>0</v>
      </c>
      <c r="AA90" s="121">
        <f>100*Mitigation_Industry!AA706</f>
        <v>0</v>
      </c>
      <c r="AB90" s="121">
        <f>100*Mitigation_Industry!AB706</f>
        <v>0</v>
      </c>
      <c r="AC90" s="121">
        <f>100*Mitigation_Industry!AC706</f>
        <v>0</v>
      </c>
      <c r="AD90" s="121">
        <f>100*Mitigation_Industry!AD706</f>
        <v>0</v>
      </c>
      <c r="AE90" s="121">
        <f>100*Mitigation_Industry!AE706</f>
        <v>0</v>
      </c>
    </row>
    <row r="91" spans="2:35" x14ac:dyDescent="0.35">
      <c r="B91" s="115" t="s">
        <v>3561</v>
      </c>
      <c r="C91" s="115" t="s">
        <v>3537</v>
      </c>
      <c r="D91" s="115" t="s">
        <v>3666</v>
      </c>
      <c r="E91" s="115" t="s">
        <v>3408</v>
      </c>
      <c r="H91" s="119" t="str">
        <f>Settings!$B$3&amp;".mit.t2.col.pg"</f>
        <v>egy.mit.t2.col.pg</v>
      </c>
      <c r="L91" s="121">
        <f t="shared" ref="L91:AE91" si="18">IF($D$15="-",0,IF($D$16="All sectors",L47+L71*L72*L82/1000,L71*L72*(L60+L63+L64)/1000)+L73)</f>
        <v>0</v>
      </c>
      <c r="M91" s="121">
        <f t="shared" si="18"/>
        <v>0</v>
      </c>
      <c r="N91" s="121">
        <f t="shared" si="18"/>
        <v>0</v>
      </c>
      <c r="O91" s="121">
        <f t="shared" si="18"/>
        <v>0</v>
      </c>
      <c r="P91" s="121">
        <f t="shared" si="18"/>
        <v>0</v>
      </c>
      <c r="Q91" s="121">
        <f t="shared" si="18"/>
        <v>0</v>
      </c>
      <c r="R91" s="121">
        <f t="shared" si="18"/>
        <v>0</v>
      </c>
      <c r="S91" s="121">
        <f t="shared" si="18"/>
        <v>0</v>
      </c>
      <c r="T91" s="121">
        <f t="shared" si="18"/>
        <v>0</v>
      </c>
      <c r="U91" s="121">
        <f t="shared" si="18"/>
        <v>0</v>
      </c>
      <c r="V91" s="121">
        <f t="shared" si="18"/>
        <v>0</v>
      </c>
      <c r="W91" s="121">
        <f t="shared" si="18"/>
        <v>0</v>
      </c>
      <c r="X91" s="121">
        <f t="shared" si="18"/>
        <v>0</v>
      </c>
      <c r="Y91" s="121">
        <f t="shared" si="18"/>
        <v>0</v>
      </c>
      <c r="Z91" s="121">
        <f t="shared" si="18"/>
        <v>0</v>
      </c>
      <c r="AA91" s="121">
        <f t="shared" si="18"/>
        <v>0</v>
      </c>
      <c r="AB91" s="121">
        <f t="shared" si="18"/>
        <v>0</v>
      </c>
      <c r="AC91" s="121">
        <f t="shared" si="18"/>
        <v>0</v>
      </c>
      <c r="AD91" s="121">
        <f t="shared" si="18"/>
        <v>0</v>
      </c>
      <c r="AE91" s="121">
        <f t="shared" si="18"/>
        <v>0</v>
      </c>
    </row>
    <row r="92" spans="2:35" ht="13.9" x14ac:dyDescent="0.4">
      <c r="B92" s="124" t="s">
        <v>3561</v>
      </c>
      <c r="C92" s="124" t="s">
        <v>3537</v>
      </c>
      <c r="D92" s="124" t="s">
        <v>3562</v>
      </c>
      <c r="E92" s="124" t="s">
        <v>3408</v>
      </c>
      <c r="F92" s="124"/>
      <c r="G92" s="124"/>
      <c r="H92" s="145" t="str">
        <f>Settings!$B$3&amp;".mit.t2.col.p"</f>
        <v>egy.mit.t2.col.p</v>
      </c>
      <c r="I92" s="124"/>
      <c r="J92" s="124"/>
      <c r="K92" s="124"/>
      <c r="L92" s="146">
        <f t="shared" ref="L92:AE92" si="19">IF($D$15="-",0,L91-L74-L75)</f>
        <v>0</v>
      </c>
      <c r="M92" s="146">
        <f t="shared" si="19"/>
        <v>0</v>
      </c>
      <c r="N92" s="146">
        <f t="shared" si="19"/>
        <v>0</v>
      </c>
      <c r="O92" s="146">
        <f t="shared" si="19"/>
        <v>0</v>
      </c>
      <c r="P92" s="146">
        <f t="shared" si="19"/>
        <v>0</v>
      </c>
      <c r="Q92" s="146">
        <f t="shared" si="19"/>
        <v>0</v>
      </c>
      <c r="R92" s="146">
        <f t="shared" si="19"/>
        <v>0</v>
      </c>
      <c r="S92" s="146">
        <f t="shared" si="19"/>
        <v>0</v>
      </c>
      <c r="T92" s="146">
        <f t="shared" si="19"/>
        <v>0</v>
      </c>
      <c r="U92" s="146">
        <f t="shared" si="19"/>
        <v>0</v>
      </c>
      <c r="V92" s="146">
        <f t="shared" si="19"/>
        <v>0</v>
      </c>
      <c r="W92" s="146">
        <f t="shared" si="19"/>
        <v>0</v>
      </c>
      <c r="X92" s="146">
        <f t="shared" si="19"/>
        <v>0</v>
      </c>
      <c r="Y92" s="146">
        <f t="shared" si="19"/>
        <v>0</v>
      </c>
      <c r="Z92" s="146">
        <f t="shared" si="19"/>
        <v>0</v>
      </c>
      <c r="AA92" s="146">
        <f t="shared" si="19"/>
        <v>0</v>
      </c>
      <c r="AB92" s="146">
        <f t="shared" si="19"/>
        <v>0</v>
      </c>
      <c r="AC92" s="146">
        <f t="shared" si="19"/>
        <v>0</v>
      </c>
      <c r="AD92" s="146">
        <f t="shared" si="19"/>
        <v>0</v>
      </c>
      <c r="AE92" s="146">
        <f t="shared" si="19"/>
        <v>0</v>
      </c>
      <c r="AF92" s="124"/>
      <c r="AG92" s="124"/>
      <c r="AH92" s="124"/>
      <c r="AI92" s="124"/>
    </row>
    <row r="93" spans="2:35" x14ac:dyDescent="0.35">
      <c r="B93" s="115" t="s">
        <v>3563</v>
      </c>
      <c r="C93" s="115" t="s">
        <v>3537</v>
      </c>
      <c r="D93" s="115" t="s">
        <v>3564</v>
      </c>
      <c r="E93" s="115" t="s">
        <v>2068</v>
      </c>
      <c r="H93" s="119" t="str">
        <f>Settings!$B$3&amp;".mit.t2.col.denk"</f>
        <v>egy.mit.t2.col.denk</v>
      </c>
      <c r="L93" s="121">
        <f t="shared" ref="L93:AE93" si="20">IF($D$15="-",0,L51-L52+L65)</f>
        <v>0</v>
      </c>
      <c r="M93" s="121">
        <f t="shared" si="20"/>
        <v>0</v>
      </c>
      <c r="N93" s="121">
        <f t="shared" si="20"/>
        <v>0</v>
      </c>
      <c r="O93" s="121">
        <f t="shared" si="20"/>
        <v>0</v>
      </c>
      <c r="P93" s="121">
        <f t="shared" si="20"/>
        <v>0</v>
      </c>
      <c r="Q93" s="121">
        <f t="shared" si="20"/>
        <v>0</v>
      </c>
      <c r="R93" s="121">
        <f t="shared" si="20"/>
        <v>0</v>
      </c>
      <c r="S93" s="121">
        <f t="shared" si="20"/>
        <v>0</v>
      </c>
      <c r="T93" s="121">
        <f t="shared" si="20"/>
        <v>0</v>
      </c>
      <c r="U93" s="121">
        <f t="shared" si="20"/>
        <v>0</v>
      </c>
      <c r="V93" s="121">
        <f t="shared" si="20"/>
        <v>0</v>
      </c>
      <c r="W93" s="121">
        <f t="shared" si="20"/>
        <v>0</v>
      </c>
      <c r="X93" s="121">
        <f t="shared" si="20"/>
        <v>0</v>
      </c>
      <c r="Y93" s="121">
        <f t="shared" si="20"/>
        <v>0</v>
      </c>
      <c r="Z93" s="121">
        <f t="shared" si="20"/>
        <v>0</v>
      </c>
      <c r="AA93" s="121">
        <f t="shared" si="20"/>
        <v>0</v>
      </c>
      <c r="AB93" s="121">
        <f t="shared" si="20"/>
        <v>0</v>
      </c>
      <c r="AC93" s="121">
        <f t="shared" si="20"/>
        <v>0</v>
      </c>
      <c r="AD93" s="121">
        <f t="shared" si="20"/>
        <v>0</v>
      </c>
      <c r="AE93" s="121">
        <f t="shared" si="20"/>
        <v>0</v>
      </c>
    </row>
    <row r="94" spans="2:35" x14ac:dyDescent="0.35">
      <c r="B94" s="115" t="s">
        <v>3563</v>
      </c>
      <c r="C94" s="115" t="s">
        <v>3537</v>
      </c>
      <c r="D94" s="115" t="s">
        <v>3667</v>
      </c>
      <c r="E94" s="115" t="s">
        <v>3262</v>
      </c>
      <c r="H94" s="119" t="str">
        <f>Settings!$B$3&amp;".mit.t2.col.q"</f>
        <v>egy.mit.t2.col.q</v>
      </c>
      <c r="L94" s="121">
        <f t="shared" ref="L94:AE94" si="21">IF(L51+(1/L54-1)*L52=0,0,L48/L54*L93/(L51+(1/L54-1)*L52))</f>
        <v>0</v>
      </c>
      <c r="M94" s="121">
        <f t="shared" si="21"/>
        <v>0</v>
      </c>
      <c r="N94" s="121">
        <f t="shared" si="21"/>
        <v>0</v>
      </c>
      <c r="O94" s="121">
        <f t="shared" si="21"/>
        <v>0</v>
      </c>
      <c r="P94" s="121">
        <f t="shared" si="21"/>
        <v>0</v>
      </c>
      <c r="Q94" s="121">
        <f t="shared" si="21"/>
        <v>0</v>
      </c>
      <c r="R94" s="121">
        <f t="shared" si="21"/>
        <v>0</v>
      </c>
      <c r="S94" s="121">
        <f t="shared" si="21"/>
        <v>0</v>
      </c>
      <c r="T94" s="121">
        <f t="shared" si="21"/>
        <v>0</v>
      </c>
      <c r="U94" s="121">
        <f t="shared" si="21"/>
        <v>0</v>
      </c>
      <c r="V94" s="121">
        <f t="shared" si="21"/>
        <v>0</v>
      </c>
      <c r="W94" s="121">
        <f t="shared" si="21"/>
        <v>0</v>
      </c>
      <c r="X94" s="121">
        <f t="shared" si="21"/>
        <v>0</v>
      </c>
      <c r="Y94" s="121">
        <f t="shared" si="21"/>
        <v>0</v>
      </c>
      <c r="Z94" s="121">
        <f t="shared" si="21"/>
        <v>0</v>
      </c>
      <c r="AA94" s="121">
        <f t="shared" si="21"/>
        <v>0</v>
      </c>
      <c r="AB94" s="121">
        <f t="shared" si="21"/>
        <v>0</v>
      </c>
      <c r="AC94" s="121">
        <f t="shared" si="21"/>
        <v>0</v>
      </c>
      <c r="AD94" s="121">
        <f t="shared" si="21"/>
        <v>0</v>
      </c>
      <c r="AE94" s="121">
        <f t="shared" si="21"/>
        <v>0</v>
      </c>
    </row>
    <row r="95" spans="2:35" x14ac:dyDescent="0.35">
      <c r="B95" s="115" t="s">
        <v>3565</v>
      </c>
      <c r="C95" s="115" t="s">
        <v>3537</v>
      </c>
      <c r="D95" s="115" t="s">
        <v>3566</v>
      </c>
      <c r="E95" s="115" t="s">
        <v>84</v>
      </c>
      <c r="H95" s="119" t="str">
        <f>Settings!$B$3&amp;".mit.t2.col.r"</f>
        <v>egy.mit.t2.col.r</v>
      </c>
      <c r="L95" s="121">
        <f t="shared" ref="L95:AE95" si="22">IF(L46=0,0,100*L94/L46)</f>
        <v>0</v>
      </c>
      <c r="M95" s="121">
        <f t="shared" si="22"/>
        <v>0</v>
      </c>
      <c r="N95" s="121">
        <f t="shared" si="22"/>
        <v>0</v>
      </c>
      <c r="O95" s="121">
        <f t="shared" si="22"/>
        <v>0</v>
      </c>
      <c r="P95" s="121">
        <f t="shared" si="22"/>
        <v>0</v>
      </c>
      <c r="Q95" s="121">
        <f t="shared" si="22"/>
        <v>0</v>
      </c>
      <c r="R95" s="121">
        <f t="shared" si="22"/>
        <v>0</v>
      </c>
      <c r="S95" s="121">
        <f t="shared" si="22"/>
        <v>0</v>
      </c>
      <c r="T95" s="121">
        <f t="shared" si="22"/>
        <v>0</v>
      </c>
      <c r="U95" s="121">
        <f t="shared" si="22"/>
        <v>0</v>
      </c>
      <c r="V95" s="121">
        <f t="shared" si="22"/>
        <v>0</v>
      </c>
      <c r="W95" s="121">
        <f t="shared" si="22"/>
        <v>0</v>
      </c>
      <c r="X95" s="121">
        <f t="shared" si="22"/>
        <v>0</v>
      </c>
      <c r="Y95" s="121">
        <f t="shared" si="22"/>
        <v>0</v>
      </c>
      <c r="Z95" s="121">
        <f t="shared" si="22"/>
        <v>0</v>
      </c>
      <c r="AA95" s="121">
        <f t="shared" si="22"/>
        <v>0</v>
      </c>
      <c r="AB95" s="121">
        <f t="shared" si="22"/>
        <v>0</v>
      </c>
      <c r="AC95" s="121">
        <f t="shared" si="22"/>
        <v>0</v>
      </c>
      <c r="AD95" s="121">
        <f t="shared" si="22"/>
        <v>0</v>
      </c>
      <c r="AE95" s="121">
        <f t="shared" si="22"/>
        <v>0</v>
      </c>
    </row>
    <row r="96" spans="2:35" x14ac:dyDescent="0.35">
      <c r="B96" s="115" t="s">
        <v>3567</v>
      </c>
      <c r="C96" s="115" t="s">
        <v>3537</v>
      </c>
      <c r="D96" s="115" t="s">
        <v>3668</v>
      </c>
      <c r="E96" s="115" t="s">
        <v>3408</v>
      </c>
      <c r="H96" s="119" t="str">
        <f>Settings!$B$3&amp;".mit.t2.col.ar"</f>
        <v>egy.mit.t2.col.ar</v>
      </c>
      <c r="I96" s="115" t="s">
        <v>3568</v>
      </c>
      <c r="L96" s="121">
        <f t="shared" ref="L96:AE96" si="23">IF($D$15="-",0,L53-L47/L54+L92)</f>
        <v>0</v>
      </c>
      <c r="M96" s="121">
        <f t="shared" si="23"/>
        <v>0</v>
      </c>
      <c r="N96" s="121">
        <f t="shared" si="23"/>
        <v>0</v>
      </c>
      <c r="O96" s="121">
        <f t="shared" si="23"/>
        <v>0</v>
      </c>
      <c r="P96" s="121">
        <f t="shared" si="23"/>
        <v>0</v>
      </c>
      <c r="Q96" s="121">
        <f t="shared" si="23"/>
        <v>0</v>
      </c>
      <c r="R96" s="121">
        <f t="shared" si="23"/>
        <v>0</v>
      </c>
      <c r="S96" s="121">
        <f t="shared" si="23"/>
        <v>0</v>
      </c>
      <c r="T96" s="121">
        <f t="shared" si="23"/>
        <v>0</v>
      </c>
      <c r="U96" s="121">
        <f t="shared" si="23"/>
        <v>0</v>
      </c>
      <c r="V96" s="121">
        <f t="shared" si="23"/>
        <v>0</v>
      </c>
      <c r="W96" s="121">
        <f t="shared" si="23"/>
        <v>0</v>
      </c>
      <c r="X96" s="121">
        <f t="shared" si="23"/>
        <v>0</v>
      </c>
      <c r="Y96" s="121">
        <f t="shared" si="23"/>
        <v>0</v>
      </c>
      <c r="Z96" s="121">
        <f t="shared" si="23"/>
        <v>0</v>
      </c>
      <c r="AA96" s="121">
        <f t="shared" si="23"/>
        <v>0</v>
      </c>
      <c r="AB96" s="121">
        <f t="shared" si="23"/>
        <v>0</v>
      </c>
      <c r="AC96" s="121">
        <f t="shared" si="23"/>
        <v>0</v>
      </c>
      <c r="AD96" s="121">
        <f t="shared" si="23"/>
        <v>0</v>
      </c>
      <c r="AE96" s="121">
        <f t="shared" si="23"/>
        <v>0</v>
      </c>
    </row>
    <row r="99" spans="1:35" customFormat="1" ht="18" customHeight="1" x14ac:dyDescent="0.45">
      <c r="A99" s="8"/>
      <c r="B99" s="9" t="s">
        <v>3569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1" spans="1:35" customFormat="1" ht="69.75" x14ac:dyDescent="0.45">
      <c r="A101" s="11"/>
      <c r="B101" s="153" t="s">
        <v>1726</v>
      </c>
      <c r="C101" s="154" t="s">
        <v>3464</v>
      </c>
      <c r="D101" s="153" t="s">
        <v>3469</v>
      </c>
      <c r="E101" s="154" t="s">
        <v>1735</v>
      </c>
      <c r="F101" s="154" t="s">
        <v>3570</v>
      </c>
      <c r="G101" s="154" t="s">
        <v>3571</v>
      </c>
      <c r="H101" s="155" t="s">
        <v>3572</v>
      </c>
      <c r="I101" s="153" t="s">
        <v>3573</v>
      </c>
      <c r="J101" s="156" t="s">
        <v>3574</v>
      </c>
      <c r="K101" s="153" t="s">
        <v>3575</v>
      </c>
      <c r="L101" s="157" t="s">
        <v>3576</v>
      </c>
      <c r="M101" s="153" t="s">
        <v>3577</v>
      </c>
      <c r="N101" s="153" t="s">
        <v>3578</v>
      </c>
      <c r="O101" s="153" t="s">
        <v>3579</v>
      </c>
      <c r="P101" s="153" t="s">
        <v>3580</v>
      </c>
      <c r="Q101" s="153" t="s">
        <v>3581</v>
      </c>
      <c r="R101" s="153" t="s">
        <v>3675</v>
      </c>
      <c r="S101" s="153" t="s">
        <v>3582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3.9" x14ac:dyDescent="0.4">
      <c r="A102" s="115" t="s">
        <v>3583</v>
      </c>
      <c r="B102" s="124" t="str">
        <f>$D$14</f>
        <v>LEGACY</v>
      </c>
      <c r="C102" s="124" t="str">
        <f>$D$15</f>
        <v>-</v>
      </c>
      <c r="D102" s="124" t="str">
        <f>$D$16</f>
        <v>All sectors</v>
      </c>
      <c r="E102" s="124" t="str">
        <f>$D$18</f>
        <v>CPAT default</v>
      </c>
      <c r="F102" s="159">
        <f>INDEX($L$84:$AE$84,MATCH($D$19,$L$80:$AE$80,0))</f>
        <v>0</v>
      </c>
      <c r="G102" s="160">
        <f>INDEX($L$83:$AE$83,MATCH($D$19,$L$80:$AE$80,0))</f>
        <v>0</v>
      </c>
      <c r="H102" s="160">
        <f>INDEX($L$85:$AE$85,MATCH($D$19,$L$80:$AE$80,0))</f>
        <v>0</v>
      </c>
      <c r="I102" s="159">
        <f>INDEX($L$86:$AE$86,MATCH($D$19,$L$80:$AE$80,0))</f>
        <v>44.217443563732914</v>
      </c>
      <c r="J102" s="159">
        <f>INDEX($L$87:$AE$87,MATCH($D$19,$L$80:$AE$80,0))</f>
        <v>0</v>
      </c>
      <c r="K102" s="159">
        <f>INDEX($L$88:$AE$88,MATCH($D$19,$L$80:$AE$80,0))</f>
        <v>-53.410854810573127</v>
      </c>
      <c r="L102" s="160">
        <f>INDEX($L$92:$AE$92,MATCH($D$19,$L$80:$AE$80,0))</f>
        <v>0</v>
      </c>
      <c r="M102" s="161">
        <f>INDEX($L$94:$AE$94,MATCH($D$19,$L$80:$AE$80,0))</f>
        <v>0</v>
      </c>
      <c r="N102" s="160">
        <f>INDEX($L$95:$AE$95,MATCH($D$19,$L$80:$AE$80,0))</f>
        <v>0</v>
      </c>
      <c r="O102" s="159">
        <f>INDEX($L$89:$AE$89,MATCH($D$19,$L$80:$AE$80,0))</f>
        <v>0</v>
      </c>
      <c r="P102" s="159">
        <f>INDEX($L$90:$AE$90,MATCH($D$19,$L$80:$AE$80,0))</f>
        <v>0</v>
      </c>
      <c r="Q102" s="160">
        <f>INDEX($L$96:$AE$96,MATCH($D$19,$L$80:$AE$80,0))</f>
        <v>0</v>
      </c>
    </row>
    <row r="103" spans="1:35" x14ac:dyDescent="0.35">
      <c r="A103" s="115" t="s">
        <v>3584</v>
      </c>
      <c r="B103" s="115" t="s">
        <v>1741</v>
      </c>
      <c r="C103" s="117" t="s">
        <v>3260</v>
      </c>
      <c r="D103" s="117" t="s">
        <v>1740</v>
      </c>
      <c r="E103" s="117" t="s">
        <v>1743</v>
      </c>
      <c r="F103" s="162">
        <v>63.195774412258828</v>
      </c>
      <c r="G103" s="163">
        <v>-29.002049379749582</v>
      </c>
      <c r="H103" s="163">
        <v>-4.8812179595509573</v>
      </c>
      <c r="I103" s="162">
        <v>100</v>
      </c>
      <c r="J103" s="162">
        <v>-3.6267135628823777</v>
      </c>
      <c r="K103" s="162">
        <v>-42.92340738622439</v>
      </c>
      <c r="L103" s="163">
        <v>6.8869437409925442</v>
      </c>
      <c r="M103" s="164">
        <v>1421.0224808035136</v>
      </c>
      <c r="N103" s="163">
        <v>1.7193046433842465</v>
      </c>
      <c r="O103" s="162">
        <v>-9.5246603990637944</v>
      </c>
      <c r="P103" s="162">
        <v>-6.1198980072447178</v>
      </c>
      <c r="Q103" s="163">
        <v>11.086943740992544</v>
      </c>
      <c r="R103" s="117">
        <v>-31.35</v>
      </c>
      <c r="S103" s="158">
        <f t="shared" ref="S103:S108" si="24">G103-R103</f>
        <v>2.347950620250419</v>
      </c>
    </row>
    <row r="104" spans="1:35" x14ac:dyDescent="0.35">
      <c r="A104" s="115" t="s">
        <v>3584</v>
      </c>
      <c r="B104" s="115" t="s">
        <v>1744</v>
      </c>
      <c r="C104" s="117" t="s">
        <v>3260</v>
      </c>
      <c r="D104" s="117" t="s">
        <v>1740</v>
      </c>
      <c r="E104" s="117" t="s">
        <v>1743</v>
      </c>
      <c r="F104" s="162">
        <v>57.335110644342571</v>
      </c>
      <c r="G104" s="163">
        <v>-25.47248111524333</v>
      </c>
      <c r="H104" s="163">
        <v>-4.287170560466163</v>
      </c>
      <c r="I104" s="162">
        <v>44.212685103625091</v>
      </c>
      <c r="J104" s="162">
        <v>-1.1102230246251565E-14</v>
      </c>
      <c r="K104" s="162">
        <v>-21.623739355442527</v>
      </c>
      <c r="L104" s="163">
        <v>6.2790459619144041</v>
      </c>
      <c r="M104" s="164">
        <v>1420.861570378564</v>
      </c>
      <c r="N104" s="163">
        <v>1.7191099567803947</v>
      </c>
      <c r="O104" s="162">
        <v>-2.5843866899953705</v>
      </c>
      <c r="P104" s="162">
        <v>-2.5843866899953705</v>
      </c>
      <c r="Q104" s="163">
        <v>10.479045961914403</v>
      </c>
      <c r="R104" s="117">
        <v>-27.82</v>
      </c>
      <c r="S104" s="158">
        <f t="shared" si="24"/>
        <v>2.3475188847566706</v>
      </c>
    </row>
    <row r="105" spans="1:35" x14ac:dyDescent="0.35">
      <c r="A105" s="115" t="s">
        <v>3584</v>
      </c>
      <c r="B105" s="115" t="s">
        <v>1746</v>
      </c>
      <c r="C105" s="117" t="s">
        <v>3266</v>
      </c>
      <c r="D105" s="117" t="s">
        <v>1740</v>
      </c>
      <c r="E105" s="117" t="s">
        <v>1748</v>
      </c>
      <c r="F105" s="162">
        <v>57.335110644342571</v>
      </c>
      <c r="G105" s="163">
        <v>-26.706387630119149</v>
      </c>
      <c r="H105" s="163">
        <v>-4.4948443893723447</v>
      </c>
      <c r="I105" s="162">
        <v>44.212685103625091</v>
      </c>
      <c r="J105" s="162">
        <v>-1.1102230246251565E-14</v>
      </c>
      <c r="K105" s="162">
        <v>-21.623739355442527</v>
      </c>
      <c r="L105" s="163">
        <v>6.2447078316168874</v>
      </c>
      <c r="M105" s="164">
        <v>1473.1517241594549</v>
      </c>
      <c r="N105" s="163">
        <v>1.7823761650306167</v>
      </c>
      <c r="O105" s="162">
        <v>-2.5843866899953705</v>
      </c>
      <c r="P105" s="162">
        <v>-2.5843866899953705</v>
      </c>
      <c r="Q105" s="163">
        <v>10.674707831616885</v>
      </c>
      <c r="R105" s="117">
        <v>-29.34</v>
      </c>
      <c r="S105" s="158">
        <f t="shared" si="24"/>
        <v>2.6336123698808507</v>
      </c>
    </row>
    <row r="106" spans="1:35" x14ac:dyDescent="0.35">
      <c r="A106" s="115" t="s">
        <v>3584</v>
      </c>
      <c r="B106" s="115" t="s">
        <v>1749</v>
      </c>
      <c r="C106" s="117" t="s">
        <v>3269</v>
      </c>
      <c r="D106" s="117" t="s">
        <v>1751</v>
      </c>
      <c r="E106" s="117" t="s">
        <v>1748</v>
      </c>
      <c r="F106" s="162">
        <v>18.548286137026885</v>
      </c>
      <c r="G106" s="163">
        <v>-21.128593456322697</v>
      </c>
      <c r="H106" s="163">
        <v>-3.5560683484341986</v>
      </c>
      <c r="I106" s="162">
        <v>100</v>
      </c>
      <c r="J106" s="162">
        <v>-3.6267135628823777</v>
      </c>
      <c r="K106" s="162">
        <v>-42.92340738622439</v>
      </c>
      <c r="L106" s="163">
        <v>1.8782382507293389</v>
      </c>
      <c r="M106" s="164">
        <v>816.35690253982591</v>
      </c>
      <c r="N106" s="163">
        <v>0.98771569919278168</v>
      </c>
      <c r="O106" s="162">
        <v>-9.5246603990637944</v>
      </c>
      <c r="P106" s="162">
        <v>-6.1198980072447178</v>
      </c>
      <c r="Q106" s="163">
        <v>2.8375947175689644</v>
      </c>
      <c r="R106" s="117">
        <v>-25.07</v>
      </c>
      <c r="S106" s="158">
        <f t="shared" si="24"/>
        <v>3.9414065436773029</v>
      </c>
    </row>
    <row r="107" spans="1:35" x14ac:dyDescent="0.35">
      <c r="A107" s="115" t="s">
        <v>3584</v>
      </c>
      <c r="B107" s="115" t="s">
        <v>1752</v>
      </c>
      <c r="C107" s="117" t="s">
        <v>3269</v>
      </c>
      <c r="D107" s="117" t="s">
        <v>1751</v>
      </c>
      <c r="E107" s="117" t="s">
        <v>1754</v>
      </c>
      <c r="F107" s="162">
        <v>18.548286137026885</v>
      </c>
      <c r="G107" s="163">
        <v>-17.448010060389201</v>
      </c>
      <c r="H107" s="163">
        <v>-2.9366042016556602</v>
      </c>
      <c r="I107" s="162">
        <v>100</v>
      </c>
      <c r="J107" s="162">
        <v>-3.6456080040097483</v>
      </c>
      <c r="K107" s="162">
        <v>-2.8696581835748636</v>
      </c>
      <c r="L107" s="163">
        <v>0.98459223811734098</v>
      </c>
      <c r="M107" s="164">
        <v>745.87967521003213</v>
      </c>
      <c r="N107" s="163">
        <v>0.9024448285078609</v>
      </c>
      <c r="O107" s="162">
        <v>-3.6456080040097518</v>
      </c>
      <c r="P107" s="162">
        <v>0</v>
      </c>
      <c r="Q107" s="163">
        <v>1.9439487049569664</v>
      </c>
      <c r="R107" s="117">
        <v>-19.63</v>
      </c>
      <c r="S107" s="158">
        <f t="shared" si="24"/>
        <v>2.1819899396107978</v>
      </c>
    </row>
    <row r="108" spans="1:35" x14ac:dyDescent="0.35">
      <c r="A108" s="115" t="s">
        <v>3584</v>
      </c>
      <c r="B108" s="115" t="s">
        <v>1755</v>
      </c>
      <c r="C108" s="117" t="s">
        <v>3269</v>
      </c>
      <c r="D108" s="117" t="s">
        <v>1751</v>
      </c>
      <c r="E108" s="117" t="s">
        <v>1757</v>
      </c>
      <c r="F108" s="162">
        <v>18.548286137026885</v>
      </c>
      <c r="G108" s="163">
        <v>-32.883228353745039</v>
      </c>
      <c r="H108" s="163">
        <v>-5.5344435390276363</v>
      </c>
      <c r="I108" s="162">
        <v>100</v>
      </c>
      <c r="J108" s="162">
        <v>-21.115083156891799</v>
      </c>
      <c r="K108" s="162">
        <v>-51.925392087974572</v>
      </c>
      <c r="L108" s="163">
        <v>0.72663167124820072</v>
      </c>
      <c r="M108" s="164">
        <v>984.8812130495653</v>
      </c>
      <c r="N108" s="163">
        <v>1.1916143943201718</v>
      </c>
      <c r="O108" s="162">
        <v>-25.942759610789842</v>
      </c>
      <c r="P108" s="162">
        <v>-6.1198980072447178</v>
      </c>
      <c r="Q108" s="163">
        <v>1.6859881380878261</v>
      </c>
      <c r="R108" s="117">
        <v>-30.6</v>
      </c>
      <c r="S108" s="158">
        <f t="shared" si="24"/>
        <v>-2.283228353745038</v>
      </c>
    </row>
    <row r="110" spans="1:35" x14ac:dyDescent="0.35">
      <c r="B110" s="115" t="s">
        <v>3688</v>
      </c>
    </row>
    <row r="112" spans="1:35" ht="13.9" x14ac:dyDescent="0.4">
      <c r="B112" s="124" t="s">
        <v>3788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6DEA-AD39-4D93-A6E2-EF86317851B7}">
  <dimension ref="B1:W90"/>
  <sheetViews>
    <sheetView workbookViewId="0"/>
  </sheetViews>
  <sheetFormatPr defaultRowHeight="14.25" x14ac:dyDescent="0.45"/>
  <cols>
    <col min="2" max="2" width="58.59765625" customWidth="1"/>
    <col min="3" max="3" width="12.59765625" customWidth="1"/>
    <col min="4" max="5" width="14.59765625" customWidth="1"/>
    <col min="6" max="23" width="12.59765625" customWidth="1"/>
  </cols>
  <sheetData>
    <row r="1" spans="2:8" ht="16.899999999999999" x14ac:dyDescent="0.5">
      <c r="B1" s="167" t="s">
        <v>3795</v>
      </c>
    </row>
    <row r="2" spans="2:8" x14ac:dyDescent="0.45">
      <c r="B2" t="s">
        <v>3689</v>
      </c>
    </row>
    <row r="3" spans="2:8" x14ac:dyDescent="0.45">
      <c r="B3" t="s">
        <v>3796</v>
      </c>
    </row>
    <row r="5" spans="2:8" x14ac:dyDescent="0.45">
      <c r="B5" s="52" t="s">
        <v>3690</v>
      </c>
    </row>
    <row r="6" spans="2:8" x14ac:dyDescent="0.45">
      <c r="B6" t="s">
        <v>3468</v>
      </c>
      <c r="D6" s="168" t="str">
        <f>Table2_Industry!$D$14</f>
        <v>LEGACY</v>
      </c>
      <c r="G6" s="52" t="s">
        <v>1726</v>
      </c>
      <c r="H6" s="52" t="s">
        <v>3713</v>
      </c>
    </row>
    <row r="7" spans="2:8" x14ac:dyDescent="0.45">
      <c r="B7" t="s">
        <v>3464</v>
      </c>
      <c r="D7" s="168" t="str">
        <f>Table2_Industry!$D$15</f>
        <v>-</v>
      </c>
      <c r="E7" t="s">
        <v>3691</v>
      </c>
      <c r="G7" t="s">
        <v>1741</v>
      </c>
      <c r="H7" s="43">
        <v>-22.3</v>
      </c>
    </row>
    <row r="8" spans="2:8" x14ac:dyDescent="0.45">
      <c r="B8" t="s">
        <v>3469</v>
      </c>
      <c r="D8" s="168" t="str">
        <f>Table2_Industry!$D$16</f>
        <v>All sectors</v>
      </c>
      <c r="G8" t="s">
        <v>1744</v>
      </c>
      <c r="H8" s="43">
        <v>-10.5</v>
      </c>
    </row>
    <row r="9" spans="2:8" x14ac:dyDescent="0.45">
      <c r="B9" t="s">
        <v>3692</v>
      </c>
      <c r="D9" s="134">
        <f>Table2_Industry!$D$17</f>
        <v>0</v>
      </c>
      <c r="G9" t="s">
        <v>1746</v>
      </c>
      <c r="H9" s="43">
        <v>-10.5</v>
      </c>
    </row>
    <row r="10" spans="2:8" x14ac:dyDescent="0.45">
      <c r="B10" t="s">
        <v>1735</v>
      </c>
      <c r="D10" s="168" t="str">
        <f>Table2_Industry!$D$18</f>
        <v>CPAT default</v>
      </c>
      <c r="G10" t="s">
        <v>1749</v>
      </c>
      <c r="H10" s="43">
        <v>-22.3</v>
      </c>
    </row>
    <row r="11" spans="2:8" x14ac:dyDescent="0.45">
      <c r="B11" t="s">
        <v>3693</v>
      </c>
      <c r="D11" s="134">
        <f>IF(ISNUMBER(SEARCH("output-based",D10)),1,0)</f>
        <v>0</v>
      </c>
      <c r="E11" t="s">
        <v>3694</v>
      </c>
      <c r="G11" t="s">
        <v>1752</v>
      </c>
      <c r="H11" s="43">
        <v>-2.9</v>
      </c>
    </row>
    <row r="12" spans="2:8" x14ac:dyDescent="0.45">
      <c r="B12" t="s">
        <v>3695</v>
      </c>
      <c r="C12" t="s">
        <v>1852</v>
      </c>
      <c r="D12" s="148">
        <f>Table2_Industry!$T$25</f>
        <v>0</v>
      </c>
      <c r="G12" t="s">
        <v>1755</v>
      </c>
      <c r="H12" s="43">
        <v>-34.6</v>
      </c>
    </row>
    <row r="13" spans="2:8" x14ac:dyDescent="0.45">
      <c r="B13" t="s">
        <v>3696</v>
      </c>
      <c r="C13" t="s">
        <v>2068</v>
      </c>
      <c r="D13" s="148">
        <f>Table2_Industry!$T$29</f>
        <v>0</v>
      </c>
    </row>
    <row r="14" spans="2:8" x14ac:dyDescent="0.45">
      <c r="B14" t="s">
        <v>3697</v>
      </c>
      <c r="C14" t="s">
        <v>2068</v>
      </c>
      <c r="D14" s="148">
        <f>Table2_Industry!$T$31</f>
        <v>0</v>
      </c>
    </row>
    <row r="15" spans="2:8" x14ac:dyDescent="0.45">
      <c r="B15" t="s">
        <v>3698</v>
      </c>
      <c r="C15" t="s">
        <v>2068</v>
      </c>
      <c r="D15" s="148">
        <f>Table2_Industry!$T$32</f>
        <v>0</v>
      </c>
    </row>
    <row r="16" spans="2:8" x14ac:dyDescent="0.45">
      <c r="B16" t="s">
        <v>3699</v>
      </c>
      <c r="C16" t="s">
        <v>79</v>
      </c>
      <c r="D16" s="148">
        <f>Table2_Industry!$T$54</f>
        <v>1</v>
      </c>
    </row>
    <row r="17" spans="2:5" x14ac:dyDescent="0.45">
      <c r="B17" t="s">
        <v>3700</v>
      </c>
      <c r="C17" t="s">
        <v>16</v>
      </c>
      <c r="D17" s="148">
        <f>Table2_Industry!$T$71</f>
        <v>50</v>
      </c>
    </row>
    <row r="18" spans="2:5" x14ac:dyDescent="0.45">
      <c r="B18" t="s">
        <v>2003</v>
      </c>
      <c r="C18" t="s">
        <v>16</v>
      </c>
      <c r="D18" s="148">
        <f>'Manual inputs'!$T$79</f>
        <v>100</v>
      </c>
    </row>
    <row r="19" spans="2:5" x14ac:dyDescent="0.45">
      <c r="B19" t="s">
        <v>3701</v>
      </c>
      <c r="C19" t="s">
        <v>79</v>
      </c>
      <c r="D19" s="148">
        <f>'Manual inputs'!$T$81</f>
        <v>0.48499999999999999</v>
      </c>
    </row>
    <row r="20" spans="2:5" x14ac:dyDescent="0.45">
      <c r="B20" t="s">
        <v>3702</v>
      </c>
      <c r="C20" t="s">
        <v>79</v>
      </c>
      <c r="D20" s="169">
        <f>1/3</f>
        <v>0.33333333333333331</v>
      </c>
      <c r="E20" t="s">
        <v>3703</v>
      </c>
    </row>
    <row r="21" spans="2:5" x14ac:dyDescent="0.45">
      <c r="B21" t="s">
        <v>3704</v>
      </c>
      <c r="D21" s="168" t="str">
        <f>IF(D7="EG3","EG1",D7)</f>
        <v>-</v>
      </c>
      <c r="E21" t="s">
        <v>3705</v>
      </c>
    </row>
    <row r="22" spans="2:5" x14ac:dyDescent="0.45">
      <c r="B22" t="s">
        <v>3706</v>
      </c>
      <c r="C22" t="s">
        <v>2068</v>
      </c>
      <c r="D22" s="148" t="e">
        <f>INDEX(CPAT_National!$T$6:$T$133,MATCH(Table2_Industry!$G$31&amp;"|"&amp;D21,CPAT_National!$B$6:$B$133,0))</f>
        <v>#N/A</v>
      </c>
    </row>
    <row r="23" spans="2:5" x14ac:dyDescent="0.45">
      <c r="B23" t="s">
        <v>3707</v>
      </c>
      <c r="C23" t="s">
        <v>2068</v>
      </c>
      <c r="D23" s="148" t="e">
        <f>INDEX(CPAT_National!$T$6:$T$133,MATCH(Table2_Industry!$G$32&amp;"|"&amp;D21,CPAT_National!$B$6:$B$133,0))</f>
        <v>#N/A</v>
      </c>
    </row>
    <row r="24" spans="2:5" x14ac:dyDescent="0.45">
      <c r="B24" t="s">
        <v>3708</v>
      </c>
      <c r="C24" t="s">
        <v>87</v>
      </c>
      <c r="D24" s="148">
        <f>Emissions_Industry!$T$15/Emissions_Industry!$N$15</f>
        <v>1.2635446530457402</v>
      </c>
    </row>
    <row r="25" spans="2:5" x14ac:dyDescent="0.45">
      <c r="B25" t="s">
        <v>3709</v>
      </c>
      <c r="C25" t="s">
        <v>87</v>
      </c>
      <c r="D25" s="148">
        <f>Emissions_Industry!$T$27/Emissions_Industry!$N$27</f>
        <v>1.2161641007698121</v>
      </c>
    </row>
    <row r="26" spans="2:5" x14ac:dyDescent="0.45">
      <c r="B26" t="s">
        <v>3710</v>
      </c>
      <c r="C26" t="s">
        <v>87</v>
      </c>
      <c r="D26" s="148">
        <f>IPPU_Industry!$T$11/IPPU_Industry!$N$11</f>
        <v>1.3188619066129268</v>
      </c>
      <c r="E26" t="s">
        <v>3711</v>
      </c>
    </row>
    <row r="27" spans="2:5" x14ac:dyDescent="0.45">
      <c r="B27" t="s">
        <v>3712</v>
      </c>
      <c r="C27" t="s">
        <v>84</v>
      </c>
      <c r="D27" s="148" t="e">
        <f>INDEX($H$7:$H$12,MATCH(D6,$G$7:$G$12,0))</f>
        <v>#N/A</v>
      </c>
    </row>
    <row r="29" spans="2:5" x14ac:dyDescent="0.45">
      <c r="B29" s="52" t="s">
        <v>3714</v>
      </c>
    </row>
    <row r="30" spans="2:5" x14ac:dyDescent="0.45">
      <c r="B30" t="s">
        <v>3715</v>
      </c>
      <c r="C30" t="s">
        <v>79</v>
      </c>
      <c r="D30" s="19" t="e">
        <f>D15/D14-1</f>
        <v>#DIV/0!</v>
      </c>
      <c r="E30" t="s">
        <v>3716</v>
      </c>
    </row>
    <row r="31" spans="2:5" x14ac:dyDescent="0.45">
      <c r="B31" t="s">
        <v>3717</v>
      </c>
      <c r="C31" t="s">
        <v>79</v>
      </c>
      <c r="D31" s="19" t="e">
        <f>(D23/D22)^D20-1</f>
        <v>#N/A</v>
      </c>
    </row>
    <row r="32" spans="2:5" x14ac:dyDescent="0.45">
      <c r="B32" t="s">
        <v>3718</v>
      </c>
      <c r="C32" t="s">
        <v>79</v>
      </c>
      <c r="D32" s="19">
        <f>IF(D11=1,1,(D19*D18-D17)/(D19*D18))</f>
        <v>-3.0927835051546393E-2</v>
      </c>
    </row>
    <row r="33" spans="2:23" x14ac:dyDescent="0.45">
      <c r="B33" t="s">
        <v>3719</v>
      </c>
      <c r="C33" t="s">
        <v>79</v>
      </c>
      <c r="D33" s="19">
        <f>IF(D11=1,1,(D18-D17)/D18)</f>
        <v>0.5</v>
      </c>
    </row>
    <row r="35" spans="2:23" x14ac:dyDescent="0.45">
      <c r="B35" s="52" t="s">
        <v>3720</v>
      </c>
    </row>
    <row r="36" spans="2:23" ht="60" customHeight="1" x14ac:dyDescent="0.45">
      <c r="B36" s="170" t="s">
        <v>33</v>
      </c>
      <c r="C36" s="170" t="s">
        <v>34</v>
      </c>
      <c r="D36" s="170" t="s">
        <v>3721</v>
      </c>
      <c r="E36" s="52" t="s">
        <v>3722</v>
      </c>
      <c r="F36" s="170" t="s">
        <v>3723</v>
      </c>
      <c r="G36" s="170" t="s">
        <v>3724</v>
      </c>
      <c r="H36" s="170" t="s">
        <v>3725</v>
      </c>
      <c r="I36" s="170" t="s">
        <v>3726</v>
      </c>
      <c r="J36" s="170" t="s">
        <v>3727</v>
      </c>
      <c r="K36" s="170" t="s">
        <v>3728</v>
      </c>
      <c r="L36" s="170" t="s">
        <v>3729</v>
      </c>
      <c r="M36" s="170" t="s">
        <v>3730</v>
      </c>
      <c r="N36" s="170" t="s">
        <v>3731</v>
      </c>
      <c r="O36" s="170" t="s">
        <v>3732</v>
      </c>
      <c r="P36" s="170" t="s">
        <v>3733</v>
      </c>
      <c r="Q36" s="170" t="s">
        <v>3734</v>
      </c>
      <c r="R36" s="170" t="s">
        <v>3735</v>
      </c>
      <c r="S36" s="170" t="s">
        <v>3736</v>
      </c>
      <c r="T36" s="170" t="s">
        <v>3737</v>
      </c>
      <c r="U36" s="170" t="s">
        <v>3738</v>
      </c>
      <c r="V36" s="170" t="s">
        <v>3739</v>
      </c>
      <c r="W36" s="170" t="s">
        <v>3740</v>
      </c>
    </row>
    <row r="37" spans="2:23" x14ac:dyDescent="0.45">
      <c r="B37" t="s">
        <v>117</v>
      </c>
      <c r="C37" t="s">
        <v>3741</v>
      </c>
      <c r="D37">
        <v>374</v>
      </c>
      <c r="E37">
        <v>385</v>
      </c>
      <c r="F37" s="19">
        <f>Mitigation_Industry!N374+Mitigation_Industry!N385</f>
        <v>4.5030026999999997</v>
      </c>
      <c r="G37" s="19">
        <f>Mitigation_Industry!T374</f>
        <v>4.4511999700969529</v>
      </c>
      <c r="H37" s="19">
        <f>Mitigation_Industry!T385</f>
        <v>0.67986580794250906</v>
      </c>
      <c r="I37" s="19">
        <f>Mitigation_Industry!T773</f>
        <v>4.4511999700969529</v>
      </c>
      <c r="J37" s="19">
        <f>Mitigation_Industry!T784</f>
        <v>0.67986580794250906</v>
      </c>
      <c r="K37" s="19">
        <f>SUM(Mitigation_Industry!T280:T282)</f>
        <v>5908.1856777777657</v>
      </c>
      <c r="L37" s="19">
        <f>SUM(Mitigation_Industry!T679:T681)</f>
        <v>5908.1856777777657</v>
      </c>
      <c r="M37" s="19">
        <f>L37/K37-1</f>
        <v>0</v>
      </c>
      <c r="N37" s="19">
        <f>$D$26</f>
        <v>1.3188619066129268</v>
      </c>
      <c r="O37" s="19">
        <f>(G37+H37)/F37</f>
        <v>1.1394765048751718</v>
      </c>
      <c r="P37" s="19">
        <f>N37/O37</f>
        <v>1.1574279074384306</v>
      </c>
      <c r="Q37" s="19">
        <f>P37*G37</f>
        <v>5.1519430669793209</v>
      </c>
      <c r="R37" s="19">
        <f>P37*H37</f>
        <v>0.78689565942583617</v>
      </c>
      <c r="S37" s="19" t="e">
        <f>P37*(I37*(1+$D$31)-G37)</f>
        <v>#N/A</v>
      </c>
      <c r="T37" s="19">
        <f>P37*(J37-H37)</f>
        <v>0</v>
      </c>
      <c r="U37" s="19">
        <f>G37+H37</f>
        <v>5.1310657780394617</v>
      </c>
      <c r="V37" s="19" t="e">
        <f>(I37*(1+$D$31)+J37)/(1+M37)</f>
        <v>#N/A</v>
      </c>
      <c r="W37" s="19">
        <f>(I37+J37)/(1+M37)</f>
        <v>5.1310657780394617</v>
      </c>
    </row>
    <row r="38" spans="2:23" x14ac:dyDescent="0.45">
      <c r="B38" t="s">
        <v>43</v>
      </c>
      <c r="C38" t="s">
        <v>3742</v>
      </c>
      <c r="D38">
        <v>375</v>
      </c>
      <c r="E38">
        <v>386</v>
      </c>
      <c r="F38" s="19">
        <f>Mitigation_Industry!N375+Mitigation_Industry!N386</f>
        <v>3.5318816489999998</v>
      </c>
      <c r="G38" s="19">
        <f>Mitigation_Industry!T375</f>
        <v>4.0494599341595423</v>
      </c>
      <c r="H38" s="19">
        <f>Mitigation_Industry!T386</f>
        <v>0.52362359727935659</v>
      </c>
      <c r="I38" s="19">
        <f>Mitigation_Industry!T774</f>
        <v>4.0494599341595423</v>
      </c>
      <c r="J38" s="19">
        <f>Mitigation_Industry!T785</f>
        <v>0.52362359727935659</v>
      </c>
      <c r="K38" s="19">
        <f>SUM(Mitigation_Industry!T276:T278)</f>
        <v>12818.528892117214</v>
      </c>
      <c r="L38" s="19">
        <f>SUM(Mitigation_Industry!T675:T677)</f>
        <v>12818.528892117214</v>
      </c>
      <c r="M38" s="19">
        <f>L38/K38-1</f>
        <v>0</v>
      </c>
      <c r="N38" s="19">
        <f>$D$24</f>
        <v>1.2635446530457402</v>
      </c>
      <c r="O38" s="19">
        <f>(G38+H38)/F38</f>
        <v>1.2948008981936583</v>
      </c>
      <c r="P38" s="19">
        <f>N38/O38</f>
        <v>0.9758601919480262</v>
      </c>
      <c r="Q38" s="19">
        <f>P38*G38</f>
        <v>3.9517067486347726</v>
      </c>
      <c r="R38" s="19">
        <f>P38*H38</f>
        <v>0.51098342414954889</v>
      </c>
      <c r="S38" s="19" t="e">
        <f>P38*(I38*(1+$D$31)-G38)</f>
        <v>#N/A</v>
      </c>
      <c r="T38" s="19">
        <f>P38*(J38-H38)</f>
        <v>0</v>
      </c>
      <c r="U38" s="19">
        <f>G38+H38</f>
        <v>4.5730835314388987</v>
      </c>
      <c r="V38" s="19" t="e">
        <f>(I38*(1+$D$31)+J38)/(1+M38)</f>
        <v>#N/A</v>
      </c>
      <c r="W38" s="19">
        <f>(I38+J38)/(1+M38)</f>
        <v>4.5730835314388987</v>
      </c>
    </row>
    <row r="39" spans="2:23" x14ac:dyDescent="0.45">
      <c r="B39" t="s">
        <v>115</v>
      </c>
      <c r="C39" t="s">
        <v>3743</v>
      </c>
      <c r="D39">
        <v>376</v>
      </c>
      <c r="E39">
        <v>387</v>
      </c>
      <c r="F39" s="19">
        <f>Mitigation_Industry!N376+Mitigation_Industry!N387</f>
        <v>0.75627391200000005</v>
      </c>
      <c r="G39" s="19">
        <f>Mitigation_Industry!T376</f>
        <v>5.105303376316575E-2</v>
      </c>
      <c r="H39" s="19">
        <f>Mitigation_Industry!T387</f>
        <v>0.99172980973970914</v>
      </c>
      <c r="I39" s="19">
        <f>Mitigation_Industry!T775</f>
        <v>5.105303376316575E-2</v>
      </c>
      <c r="J39" s="19">
        <f>Mitigation_Industry!T786</f>
        <v>0.99172980973970914</v>
      </c>
      <c r="K39" s="19">
        <f>SUM(Mitigation_Industry!T283:T283)</f>
        <v>413.65284202856708</v>
      </c>
      <c r="L39" s="19">
        <f>SUM(Mitigation_Industry!T682:T682)</f>
        <v>413.65284202856708</v>
      </c>
      <c r="M39" s="19">
        <f>L39/K39-1</f>
        <v>0</v>
      </c>
      <c r="N39" s="19">
        <f>$D$26</f>
        <v>1.3188619066129268</v>
      </c>
      <c r="O39" s="19">
        <f>(G39+H39)/F39</f>
        <v>1.3788428067618903</v>
      </c>
      <c r="P39" s="19">
        <f>N39/O39</f>
        <v>0.95649910210589983</v>
      </c>
      <c r="Q39" s="19">
        <f>P39*G39</f>
        <v>4.883218095425023E-2</v>
      </c>
      <c r="R39" s="19">
        <f>P39*H39</f>
        <v>0.94858867254768664</v>
      </c>
      <c r="S39" s="19" t="e">
        <f>P39*(I39*(1+$D$31)-G39)</f>
        <v>#N/A</v>
      </c>
      <c r="T39" s="19">
        <f>P39*(J39-H39)</f>
        <v>0</v>
      </c>
      <c r="U39" s="19">
        <f>G39+H39</f>
        <v>1.042782843502875</v>
      </c>
      <c r="V39" s="19" t="e">
        <f>(I39*(1+$D$31)+J39)/(1+M39)</f>
        <v>#N/A</v>
      </c>
      <c r="W39" s="19">
        <f>(I39+J39)/(1+M39)</f>
        <v>1.042782843502875</v>
      </c>
    </row>
    <row r="40" spans="2:23" x14ac:dyDescent="0.45">
      <c r="B40" t="s">
        <v>113</v>
      </c>
      <c r="C40" t="s">
        <v>3744</v>
      </c>
      <c r="D40">
        <v>378</v>
      </c>
      <c r="E40">
        <v>389</v>
      </c>
      <c r="F40" s="19">
        <f>Mitigation_Industry!N378+Mitigation_Industry!N389</f>
        <v>42.529733</v>
      </c>
      <c r="G40" s="19">
        <f>Mitigation_Industry!T378</f>
        <v>19.050411535897432</v>
      </c>
      <c r="H40" s="19">
        <f>Mitigation_Industry!T389</f>
        <v>32.626266201938975</v>
      </c>
      <c r="I40" s="19">
        <f>Mitigation_Industry!T777</f>
        <v>19.050411535897432</v>
      </c>
      <c r="J40" s="19">
        <f>Mitigation_Industry!T788</f>
        <v>32.626266201938975</v>
      </c>
      <c r="K40" s="19">
        <f>SUM(Mitigation_Industry!T279:T279)</f>
        <v>60753.588245941261</v>
      </c>
      <c r="L40" s="19">
        <f>SUM(Mitigation_Industry!T678:T678)</f>
        <v>60753.588245941261</v>
      </c>
      <c r="M40" s="19">
        <f>L40/K40-1</f>
        <v>0</v>
      </c>
      <c r="N40" s="19">
        <f>$D$25</f>
        <v>1.2161641007698121</v>
      </c>
      <c r="O40" s="19">
        <f>(G40+H40)/F40</f>
        <v>1.2150717649188254</v>
      </c>
      <c r="P40" s="19">
        <f>N40/O40</f>
        <v>1.0008989887531949</v>
      </c>
      <c r="Q40" s="19">
        <f>P40*G40</f>
        <v>19.067537641611938</v>
      </c>
      <c r="R40" s="19">
        <f>P40*H40</f>
        <v>32.655596848313266</v>
      </c>
      <c r="S40" s="19" t="e">
        <f>P40*(I40*(1+$D$31)-G40)</f>
        <v>#N/A</v>
      </c>
      <c r="T40" s="19">
        <f>P40*(J40-H40)</f>
        <v>0</v>
      </c>
      <c r="U40" s="19">
        <f>G40+H40</f>
        <v>51.676677737836407</v>
      </c>
      <c r="V40" s="19" t="e">
        <f>(I40*(1+$D$31)+J40)/(1+M40)</f>
        <v>#N/A</v>
      </c>
      <c r="W40" s="19">
        <f>(I40+J40)/(1+M40)</f>
        <v>51.676677737836407</v>
      </c>
    </row>
    <row r="41" spans="2:23" x14ac:dyDescent="0.45">
      <c r="B41" s="52" t="s">
        <v>111</v>
      </c>
      <c r="F41" s="19">
        <f t="shared" ref="F41:L41" si="0">SUM(F37:F40)</f>
        <v>51.320891261</v>
      </c>
      <c r="G41" s="19">
        <f t="shared" si="0"/>
        <v>27.602124473917094</v>
      </c>
      <c r="H41" s="19">
        <f t="shared" si="0"/>
        <v>34.821485416900551</v>
      </c>
      <c r="I41" s="19">
        <f t="shared" si="0"/>
        <v>27.602124473917094</v>
      </c>
      <c r="J41" s="19">
        <f t="shared" si="0"/>
        <v>34.821485416900551</v>
      </c>
      <c r="K41" s="19">
        <f t="shared" si="0"/>
        <v>79893.955657864804</v>
      </c>
      <c r="L41" s="19">
        <f t="shared" si="0"/>
        <v>79893.955657864804</v>
      </c>
      <c r="Q41" s="19">
        <f t="shared" ref="Q41:W41" si="1">SUM(Q37:Q40)</f>
        <v>28.220019638180283</v>
      </c>
      <c r="R41" s="19">
        <f t="shared" si="1"/>
        <v>34.90206460443634</v>
      </c>
      <c r="S41" s="19" t="e">
        <f t="shared" si="1"/>
        <v>#N/A</v>
      </c>
      <c r="T41" s="19">
        <f t="shared" si="1"/>
        <v>0</v>
      </c>
      <c r="U41" s="19">
        <f t="shared" si="1"/>
        <v>62.423609890817644</v>
      </c>
      <c r="V41" s="19" t="e">
        <f t="shared" si="1"/>
        <v>#N/A</v>
      </c>
      <c r="W41" s="19">
        <f t="shared" si="1"/>
        <v>62.423609890817644</v>
      </c>
    </row>
    <row r="43" spans="2:23" x14ac:dyDescent="0.45">
      <c r="B43" s="52" t="s">
        <v>3745</v>
      </c>
    </row>
    <row r="44" spans="2:23" x14ac:dyDescent="0.45">
      <c r="B44" t="s">
        <v>3746</v>
      </c>
      <c r="C44" t="s">
        <v>2068</v>
      </c>
      <c r="D44" s="148">
        <f>Q41</f>
        <v>28.220019638180283</v>
      </c>
    </row>
    <row r="45" spans="2:23" x14ac:dyDescent="0.45">
      <c r="B45" t="s">
        <v>3747</v>
      </c>
      <c r="C45" t="s">
        <v>2068</v>
      </c>
      <c r="D45" s="148">
        <f>R41</f>
        <v>34.90206460443634</v>
      </c>
    </row>
    <row r="46" spans="2:23" x14ac:dyDescent="0.45">
      <c r="B46" t="s">
        <v>3748</v>
      </c>
      <c r="C46" t="s">
        <v>2068</v>
      </c>
      <c r="D46" s="148" t="e">
        <f>S41</f>
        <v>#N/A</v>
      </c>
    </row>
    <row r="47" spans="2:23" x14ac:dyDescent="0.45">
      <c r="B47" t="s">
        <v>3749</v>
      </c>
      <c r="C47" t="s">
        <v>2068</v>
      </c>
      <c r="D47" s="148">
        <f>T41</f>
        <v>0</v>
      </c>
    </row>
    <row r="48" spans="2:23" x14ac:dyDescent="0.45">
      <c r="B48" t="s">
        <v>3750</v>
      </c>
      <c r="C48" t="s">
        <v>2068</v>
      </c>
      <c r="D48" s="148" t="e">
        <f>D30*(D44+D45)</f>
        <v>#DIV/0!</v>
      </c>
    </row>
    <row r="49" spans="2:5" x14ac:dyDescent="0.45">
      <c r="B49" t="s">
        <v>3751</v>
      </c>
      <c r="C49" t="s">
        <v>2068</v>
      </c>
      <c r="D49" s="148" t="e">
        <f>D46-D30*D44</f>
        <v>#N/A</v>
      </c>
    </row>
    <row r="50" spans="2:5" x14ac:dyDescent="0.45">
      <c r="B50" t="s">
        <v>3752</v>
      </c>
      <c r="C50" t="s">
        <v>2068</v>
      </c>
      <c r="D50" s="148" t="e">
        <f>D47-D30*D45</f>
        <v>#DIV/0!</v>
      </c>
    </row>
    <row r="51" spans="2:5" x14ac:dyDescent="0.45">
      <c r="B51" t="s">
        <v>3753</v>
      </c>
      <c r="C51" t="s">
        <v>3754</v>
      </c>
      <c r="D51" s="148" t="e">
        <f>100*(V41-W41)/U41</f>
        <v>#N/A</v>
      </c>
    </row>
    <row r="52" spans="2:5" x14ac:dyDescent="0.45">
      <c r="B52" t="s">
        <v>3755</v>
      </c>
      <c r="C52" t="s">
        <v>3754</v>
      </c>
      <c r="D52" s="148">
        <f>100*(W41/U41-1)-Table2_Industry!$T$87</f>
        <v>0</v>
      </c>
      <c r="E52" t="s">
        <v>3756</v>
      </c>
    </row>
    <row r="54" spans="2:5" x14ac:dyDescent="0.45">
      <c r="B54" t="s">
        <v>3757</v>
      </c>
      <c r="C54" t="s">
        <v>1852</v>
      </c>
      <c r="D54" s="148">
        <f>Table2_Industry!$T$49</f>
        <v>0</v>
      </c>
    </row>
    <row r="55" spans="2:5" x14ac:dyDescent="0.45">
      <c r="B55" t="s">
        <v>3758</v>
      </c>
      <c r="C55" t="s">
        <v>3408</v>
      </c>
      <c r="D55" s="148">
        <f>Table2_Industry!$T$47</f>
        <v>0</v>
      </c>
    </row>
    <row r="56" spans="2:5" x14ac:dyDescent="0.45">
      <c r="B56" t="s">
        <v>3759</v>
      </c>
      <c r="C56" t="s">
        <v>3262</v>
      </c>
      <c r="D56" s="134">
        <f>Table2_Industry!$T$48</f>
        <v>0</v>
      </c>
    </row>
    <row r="57" spans="2:5" x14ac:dyDescent="0.45">
      <c r="B57" t="s">
        <v>3760</v>
      </c>
      <c r="C57" t="s">
        <v>2068</v>
      </c>
      <c r="D57" s="148">
        <f>Table2_Industry!$T$51</f>
        <v>0</v>
      </c>
    </row>
    <row r="58" spans="2:5" x14ac:dyDescent="0.45">
      <c r="B58" t="s">
        <v>3761</v>
      </c>
      <c r="C58" t="s">
        <v>3408</v>
      </c>
      <c r="D58" s="148">
        <f>Table2_Industry!$T$73</f>
        <v>0</v>
      </c>
    </row>
    <row r="59" spans="2:5" x14ac:dyDescent="0.45">
      <c r="B59" t="s">
        <v>3762</v>
      </c>
      <c r="C59" t="s">
        <v>3408</v>
      </c>
      <c r="D59" s="148">
        <f>Table2_Industry!$T$74</f>
        <v>0</v>
      </c>
    </row>
    <row r="60" spans="2:5" x14ac:dyDescent="0.45">
      <c r="B60" t="s">
        <v>3763</v>
      </c>
      <c r="C60" t="s">
        <v>3408</v>
      </c>
      <c r="D60" s="148">
        <f>Table2_Industry!$T$75</f>
        <v>0</v>
      </c>
    </row>
    <row r="61" spans="2:5" x14ac:dyDescent="0.45">
      <c r="B61" t="s">
        <v>3764</v>
      </c>
      <c r="C61" t="s">
        <v>84</v>
      </c>
      <c r="D61" s="148">
        <f>Table2_Industry!$T$87</f>
        <v>0</v>
      </c>
    </row>
    <row r="62" spans="2:5" x14ac:dyDescent="0.45">
      <c r="B62" t="s">
        <v>3765</v>
      </c>
      <c r="C62" t="s">
        <v>84</v>
      </c>
      <c r="D62" s="148">
        <f>Table2_Industry!$T$88</f>
        <v>-53.410854810573127</v>
      </c>
    </row>
    <row r="63" spans="2:5" x14ac:dyDescent="0.45">
      <c r="B63" t="s">
        <v>3766</v>
      </c>
      <c r="C63" t="s">
        <v>84</v>
      </c>
      <c r="D63" s="148">
        <f>Table2_Industry!$T$86</f>
        <v>44.217443563732914</v>
      </c>
    </row>
    <row r="65" spans="2:13" x14ac:dyDescent="0.45">
      <c r="B65" s="52" t="s">
        <v>3767</v>
      </c>
    </row>
    <row r="66" spans="2:13" x14ac:dyDescent="0.45">
      <c r="B66" t="s">
        <v>3570</v>
      </c>
      <c r="C66" t="s">
        <v>84</v>
      </c>
      <c r="D66" s="171" t="e">
        <f>100*(IF(D8="All sectors",D13,D16*D14)+IF(D9=1,D45,0))/D12</f>
        <v>#DIV/0!</v>
      </c>
      <c r="E66" t="s">
        <v>3768</v>
      </c>
    </row>
    <row r="67" spans="2:13" x14ac:dyDescent="0.45">
      <c r="B67" t="s">
        <v>3769</v>
      </c>
      <c r="C67" t="s">
        <v>1852</v>
      </c>
      <c r="D67" s="173" t="e">
        <f>D54+D49+D50</f>
        <v>#N/A</v>
      </c>
      <c r="E67" t="s">
        <v>3770</v>
      </c>
    </row>
    <row r="68" spans="2:13" x14ac:dyDescent="0.45">
      <c r="B68" t="s">
        <v>3771</v>
      </c>
      <c r="C68" t="s">
        <v>84</v>
      </c>
      <c r="D68" s="173" t="e">
        <f>100*D67/D12</f>
        <v>#N/A</v>
      </c>
    </row>
    <row r="69" spans="2:13" x14ac:dyDescent="0.45">
      <c r="B69" t="s">
        <v>3573</v>
      </c>
      <c r="C69" t="s">
        <v>84</v>
      </c>
      <c r="D69" s="171">
        <f>D63</f>
        <v>44.217443563732914</v>
      </c>
      <c r="E69" t="s">
        <v>1160</v>
      </c>
    </row>
    <row r="70" spans="2:13" x14ac:dyDescent="0.45">
      <c r="B70" t="s">
        <v>3772</v>
      </c>
      <c r="C70" t="s">
        <v>84</v>
      </c>
      <c r="D70" s="173" t="e">
        <f>D61+D51</f>
        <v>#N/A</v>
      </c>
      <c r="E70" t="s">
        <v>3773</v>
      </c>
    </row>
    <row r="71" spans="2:13" x14ac:dyDescent="0.45">
      <c r="B71" t="s">
        <v>3797</v>
      </c>
      <c r="C71" t="s">
        <v>84</v>
      </c>
      <c r="D71" s="173" t="e">
        <f>D62+D32*D51</f>
        <v>#N/A</v>
      </c>
      <c r="E71" t="s">
        <v>3774</v>
      </c>
    </row>
    <row r="72" spans="2:13" x14ac:dyDescent="0.45">
      <c r="B72" t="s">
        <v>3775</v>
      </c>
      <c r="C72" t="s">
        <v>84</v>
      </c>
      <c r="D72" s="173" t="e">
        <f>D27+D33*D51</f>
        <v>#N/A</v>
      </c>
      <c r="E72" t="s">
        <v>3776</v>
      </c>
    </row>
    <row r="73" spans="2:13" x14ac:dyDescent="0.45">
      <c r="B73" t="s">
        <v>3576</v>
      </c>
      <c r="C73" t="s">
        <v>3408</v>
      </c>
      <c r="D73" s="173" t="e">
        <f>D55+D17*D49/1000+D58-D59-D60</f>
        <v>#N/A</v>
      </c>
      <c r="E73" t="s">
        <v>3777</v>
      </c>
    </row>
    <row r="74" spans="2:13" x14ac:dyDescent="0.45">
      <c r="B74" t="s">
        <v>3577</v>
      </c>
      <c r="C74" t="s">
        <v>3262</v>
      </c>
      <c r="D74" s="171" t="e">
        <f>D56*(D57+D49)/D57</f>
        <v>#N/A</v>
      </c>
      <c r="E74" t="s">
        <v>3778</v>
      </c>
    </row>
    <row r="75" spans="2:13" x14ac:dyDescent="0.45">
      <c r="B75" t="s">
        <v>3779</v>
      </c>
      <c r="C75" t="s">
        <v>84</v>
      </c>
      <c r="D75" s="173" t="e">
        <f>100*(D46+D47)/(D44+D45)</f>
        <v>#N/A</v>
      </c>
    </row>
    <row r="78" spans="2:13" x14ac:dyDescent="0.45">
      <c r="B78" s="52" t="s">
        <v>3780</v>
      </c>
      <c r="M78" t="s">
        <v>3799</v>
      </c>
    </row>
    <row r="79" spans="2:13" x14ac:dyDescent="0.45">
      <c r="B79" s="52" t="s">
        <v>1726</v>
      </c>
      <c r="C79" s="52" t="s">
        <v>3542</v>
      </c>
      <c r="D79" s="52" t="s">
        <v>3540</v>
      </c>
      <c r="E79" s="52" t="s">
        <v>3544</v>
      </c>
      <c r="F79" s="52" t="s">
        <v>3546</v>
      </c>
      <c r="G79" s="52" t="s">
        <v>3549</v>
      </c>
      <c r="H79" s="52" t="s">
        <v>3552</v>
      </c>
      <c r="I79" s="52" t="s">
        <v>3781</v>
      </c>
      <c r="J79" s="52" t="s">
        <v>3561</v>
      </c>
      <c r="K79" s="52" t="s">
        <v>3563</v>
      </c>
      <c r="L79" s="52" t="s">
        <v>3555</v>
      </c>
      <c r="M79" s="52" t="s">
        <v>3798</v>
      </c>
    </row>
    <row r="80" spans="2:13" x14ac:dyDescent="0.45">
      <c r="B80" t="s">
        <v>1741</v>
      </c>
      <c r="C80" s="172">
        <v>63.209336136123014</v>
      </c>
      <c r="D80" s="172">
        <v>-37.389792301353275</v>
      </c>
      <c r="E80" s="172">
        <v>-6.2929251410998583</v>
      </c>
      <c r="F80" s="172">
        <v>100</v>
      </c>
      <c r="G80" s="172">
        <v>-5.7721191674164682</v>
      </c>
      <c r="H80" s="172">
        <v>-44.184109648682565</v>
      </c>
      <c r="I80" s="172">
        <v>-24.016324483627272</v>
      </c>
      <c r="J80" s="172">
        <v>6.8594937250370798</v>
      </c>
      <c r="K80" s="172">
        <v>1501.1341153516501</v>
      </c>
      <c r="L80" s="172">
        <v>-11.550384490597358</v>
      </c>
      <c r="M80">
        <v>-5.42</v>
      </c>
    </row>
    <row r="81" spans="2:13" x14ac:dyDescent="0.45">
      <c r="B81" t="s">
        <v>1744</v>
      </c>
      <c r="C81" s="172">
        <v>57.335110644342571</v>
      </c>
      <c r="D81" s="172">
        <v>-33.077154647427115</v>
      </c>
      <c r="E81" s="172">
        <v>-5.567082491370468</v>
      </c>
      <c r="F81" s="172">
        <v>44.212685103625091</v>
      </c>
      <c r="G81" s="172">
        <v>-2.1443870416018251</v>
      </c>
      <c r="H81" s="172">
        <v>-22.883843080919881</v>
      </c>
      <c r="I81" s="172">
        <v>-12.215509633281451</v>
      </c>
      <c r="J81" s="172">
        <v>6.2668866648981085</v>
      </c>
      <c r="K81" s="172">
        <v>1456.3479307694702</v>
      </c>
      <c r="L81" s="172">
        <v>-4.7181673963572184</v>
      </c>
      <c r="M81">
        <v>-2.5499999999999998</v>
      </c>
    </row>
    <row r="82" spans="2:13" x14ac:dyDescent="0.45">
      <c r="B82" t="s">
        <v>1746</v>
      </c>
      <c r="C82" s="172">
        <v>57.335110644342571</v>
      </c>
      <c r="D82" s="172">
        <v>-34.827655299254971</v>
      </c>
      <c r="E82" s="172">
        <v>-5.8617021959308619</v>
      </c>
      <c r="F82" s="172">
        <v>44.212685103625091</v>
      </c>
      <c r="G82" s="172">
        <v>-2.2593898397569312</v>
      </c>
      <c r="H82" s="172">
        <v>-22.951422044784223</v>
      </c>
      <c r="I82" s="172">
        <v>-12.307511871805536</v>
      </c>
      <c r="J82" s="172">
        <v>6.2294418069623259</v>
      </c>
      <c r="K82" s="172">
        <v>1517.1987207126515</v>
      </c>
      <c r="L82" s="172">
        <v>-4.8318297164994597</v>
      </c>
      <c r="M82">
        <v>-2.69</v>
      </c>
    </row>
    <row r="83" spans="2:13" x14ac:dyDescent="0.45">
      <c r="B83" t="s">
        <v>1749</v>
      </c>
      <c r="C83" s="172">
        <v>13.915632294034401</v>
      </c>
      <c r="D83" s="172">
        <v>-22.76631822644433</v>
      </c>
      <c r="E83" s="172">
        <v>-3.8317071991942071</v>
      </c>
      <c r="F83" s="172">
        <v>100</v>
      </c>
      <c r="G83" s="172">
        <v>-5.7721191674164682</v>
      </c>
      <c r="H83" s="172">
        <v>-44.184109648682565</v>
      </c>
      <c r="I83" s="172">
        <v>-24.016324483627272</v>
      </c>
      <c r="J83" s="172">
        <v>1.5352488618688684</v>
      </c>
      <c r="K83" s="172">
        <v>551.58950848201914</v>
      </c>
      <c r="L83" s="172">
        <v>-11.550384490597358</v>
      </c>
      <c r="M83">
        <v>-5.42</v>
      </c>
    </row>
    <row r="84" spans="2:13" x14ac:dyDescent="0.45">
      <c r="B84" t="s">
        <v>1752</v>
      </c>
      <c r="C84" s="172">
        <v>13.915632294034401</v>
      </c>
      <c r="D84" s="172">
        <v>-19.140348013204175</v>
      </c>
      <c r="E84" s="172">
        <v>-3.2214347769279748</v>
      </c>
      <c r="F84" s="172">
        <v>100</v>
      </c>
      <c r="G84" s="172">
        <v>-5.7984149124688518</v>
      </c>
      <c r="H84" s="172">
        <v>-5.0224650920339675</v>
      </c>
      <c r="I84" s="172">
        <v>-5.0528069084591039</v>
      </c>
      <c r="J84" s="172">
        <v>0.64253706634669661</v>
      </c>
      <c r="K84" s="172">
        <v>490.67565048441554</v>
      </c>
      <c r="L84" s="172">
        <v>-5.8060076933601428</v>
      </c>
      <c r="M84">
        <v>-5.42</v>
      </c>
    </row>
    <row r="85" spans="2:13" x14ac:dyDescent="0.45">
      <c r="B85" t="s">
        <v>1755</v>
      </c>
      <c r="C85" s="172">
        <v>13.915632294034401</v>
      </c>
      <c r="D85" s="172">
        <v>-33.039563461624198</v>
      </c>
      <c r="E85" s="172">
        <v>-5.5607556705013836</v>
      </c>
      <c r="F85" s="172">
        <v>100</v>
      </c>
      <c r="G85" s="172">
        <v>-23.071731175222151</v>
      </c>
      <c r="H85" s="172">
        <v>-53.075174944106841</v>
      </c>
      <c r="I85" s="172">
        <v>-36.165318414664284</v>
      </c>
      <c r="J85" s="172">
        <v>0.4060502367633877</v>
      </c>
      <c r="K85" s="172">
        <v>646.30920346902712</v>
      </c>
      <c r="L85" s="172">
        <v>-27.825584806862715</v>
      </c>
      <c r="M85">
        <v>-20.74</v>
      </c>
    </row>
    <row r="86" spans="2:13" x14ac:dyDescent="0.45">
      <c r="B86" t="s">
        <v>3583</v>
      </c>
      <c r="C86" s="172" t="e">
        <f>D66</f>
        <v>#DIV/0!</v>
      </c>
      <c r="D86" s="172" t="e">
        <f>D67</f>
        <v>#N/A</v>
      </c>
      <c r="E86" s="172" t="e">
        <f>D68</f>
        <v>#N/A</v>
      </c>
      <c r="F86" s="172">
        <f>D69</f>
        <v>44.217443563732914</v>
      </c>
      <c r="G86" s="172" t="e">
        <f>D70</f>
        <v>#N/A</v>
      </c>
      <c r="H86" s="172" t="e">
        <f>D71</f>
        <v>#N/A</v>
      </c>
      <c r="I86" s="172" t="e">
        <f>D72</f>
        <v>#N/A</v>
      </c>
      <c r="J86" s="172" t="e">
        <f>D73</f>
        <v>#N/A</v>
      </c>
      <c r="K86" s="172" t="e">
        <f>D74</f>
        <v>#N/A</v>
      </c>
      <c r="L86" s="172" t="e">
        <f>D75</f>
        <v>#N/A</v>
      </c>
    </row>
    <row r="87" spans="2:13" x14ac:dyDescent="0.45">
      <c r="B87" t="s">
        <v>3782</v>
      </c>
      <c r="C87" s="148" t="str">
        <f t="shared" ref="C87:L87" si="2">IFERROR(C86-INDEX(C$80:C$85,MATCH($D$6,$B$80:$B$85,0)),"n/a")</f>
        <v>n/a</v>
      </c>
      <c r="D87" s="148" t="str">
        <f t="shared" si="2"/>
        <v>n/a</v>
      </c>
      <c r="E87" s="148" t="str">
        <f t="shared" si="2"/>
        <v>n/a</v>
      </c>
      <c r="F87" s="148" t="str">
        <f t="shared" si="2"/>
        <v>n/a</v>
      </c>
      <c r="G87" s="148" t="str">
        <f t="shared" si="2"/>
        <v>n/a</v>
      </c>
      <c r="H87" s="148" t="str">
        <f t="shared" si="2"/>
        <v>n/a</v>
      </c>
      <c r="I87" s="148" t="str">
        <f t="shared" si="2"/>
        <v>n/a</v>
      </c>
      <c r="J87" s="148" t="str">
        <f t="shared" si="2"/>
        <v>n/a</v>
      </c>
      <c r="K87" s="148" t="str">
        <f t="shared" si="2"/>
        <v>n/a</v>
      </c>
      <c r="L87" s="148" t="str">
        <f t="shared" si="2"/>
        <v>n/a</v>
      </c>
    </row>
    <row r="88" spans="2:13" x14ac:dyDescent="0.45">
      <c r="B88" t="s">
        <v>3783</v>
      </c>
      <c r="D88" s="92" t="str">
        <f>IFERROR(MAX(INDEX(ABS(C87:L87),0)),"n/a")</f>
        <v>n/a</v>
      </c>
    </row>
    <row r="90" spans="2:13" x14ac:dyDescent="0.45">
      <c r="B90" t="s">
        <v>3784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42" t="s">
        <v>465</v>
      </c>
      <c r="C225" s="42" t="s">
        <v>141</v>
      </c>
      <c r="D225" s="42"/>
      <c r="E225" s="42"/>
      <c r="F225" s="42" t="s">
        <v>466</v>
      </c>
      <c r="G225" s="42" t="s">
        <v>466</v>
      </c>
      <c r="H225" s="42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42" t="s">
        <v>497</v>
      </c>
      <c r="C238" s="42" t="s">
        <v>141</v>
      </c>
      <c r="D238" s="42"/>
      <c r="E238" s="42"/>
      <c r="F238" s="42" t="s">
        <v>424</v>
      </c>
      <c r="G238" s="42" t="s">
        <v>424</v>
      </c>
      <c r="H238" s="42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1827</v>
      </c>
      <c r="H64" s="5" t="s">
        <v>1828</v>
      </c>
      <c r="I64" s="28" t="s">
        <v>1023</v>
      </c>
      <c r="J64" t="s">
        <v>1709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1827</v>
      </c>
      <c r="H66" s="5" t="s">
        <v>1829</v>
      </c>
      <c r="I66" s="28" t="s">
        <v>1025</v>
      </c>
      <c r="J66" t="s">
        <v>1709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1827</v>
      </c>
      <c r="H68" s="5" t="s">
        <v>1830</v>
      </c>
      <c r="I68" s="28" t="s">
        <v>1029</v>
      </c>
      <c r="J68" t="s">
        <v>1709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1827</v>
      </c>
      <c r="H70" s="5" t="s">
        <v>1831</v>
      </c>
      <c r="I70" s="28" t="s">
        <v>1033</v>
      </c>
      <c r="J70" t="s">
        <v>1709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1827</v>
      </c>
      <c r="H72" s="5" t="s">
        <v>1832</v>
      </c>
      <c r="I72" s="28" t="s">
        <v>1037</v>
      </c>
      <c r="J72" t="s">
        <v>1709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1827</v>
      </c>
      <c r="H74" s="5" t="s">
        <v>1833</v>
      </c>
      <c r="I74" s="28" t="s">
        <v>1041</v>
      </c>
      <c r="J74" t="s">
        <v>1709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1827</v>
      </c>
      <c r="H76" s="5" t="s">
        <v>1834</v>
      </c>
      <c r="I76" s="28" t="s">
        <v>1045</v>
      </c>
      <c r="J76" t="s">
        <v>1709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1827</v>
      </c>
      <c r="H78" s="5" t="s">
        <v>1835</v>
      </c>
      <c r="I78" s="28" t="s">
        <v>1049</v>
      </c>
      <c r="J78" t="s">
        <v>1709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1827</v>
      </c>
      <c r="H80" s="5" t="s">
        <v>1836</v>
      </c>
      <c r="I80" s="28" t="s">
        <v>1053</v>
      </c>
      <c r="J80" t="s">
        <v>1709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2869</v>
      </c>
      <c r="H81" s="5">
        <v>8710</v>
      </c>
      <c r="I81" s="28" t="s">
        <v>1054</v>
      </c>
      <c r="K81" s="18"/>
      <c r="L81" s="18">
        <f>Fund_Industry!L$410</f>
        <v>0</v>
      </c>
      <c r="M81" s="18">
        <f>Fund_Industry!M$410</f>
        <v>0</v>
      </c>
      <c r="N81" s="18">
        <f>Fund_Industry!N$410</f>
        <v>0</v>
      </c>
      <c r="O81" s="18">
        <f>Fund_Industry!O$410</f>
        <v>0</v>
      </c>
      <c r="P81" s="18">
        <f>Fund_Industry!P$410</f>
        <v>0</v>
      </c>
      <c r="Q81" s="18">
        <f>Fund_Industry!Q$410</f>
        <v>0</v>
      </c>
      <c r="R81" s="18">
        <f>Fund_Industry!R$410</f>
        <v>0</v>
      </c>
      <c r="S81" s="18">
        <f>Fund_Industry!S$410</f>
        <v>0</v>
      </c>
      <c r="T81" s="18">
        <f>Fund_Industry!T$410</f>
        <v>0</v>
      </c>
      <c r="U81" s="18">
        <f>Fund_Industry!U$410</f>
        <v>0</v>
      </c>
      <c r="V81" s="18">
        <f>Fund_Industry!V$410</f>
        <v>0</v>
      </c>
      <c r="W81" s="18">
        <f>Fund_Industry!W$410</f>
        <v>0</v>
      </c>
      <c r="X81" s="18">
        <f>Fund_Industry!X$410</f>
        <v>0</v>
      </c>
      <c r="Y81" s="18">
        <f>Fund_Industry!Y$410</f>
        <v>0</v>
      </c>
      <c r="Z81" s="18">
        <f>Fund_Industry!Z$410</f>
        <v>0</v>
      </c>
      <c r="AA81" s="18">
        <f>Fund_Industry!AA$410</f>
        <v>0</v>
      </c>
      <c r="AB81" s="18">
        <f>Fund_Industry!AB$410</f>
        <v>0</v>
      </c>
      <c r="AC81" s="18">
        <f>Fund_Industry!AC$410</f>
        <v>0</v>
      </c>
      <c r="AD81" s="18">
        <f>Fund_Industry!AD$410</f>
        <v>0</v>
      </c>
      <c r="AE81" s="18">
        <f>Fund_Industry!AE$410</f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2870</v>
      </c>
      <c r="H82" s="5">
        <v>8713</v>
      </c>
      <c r="I82" s="28" t="s">
        <v>1055</v>
      </c>
      <c r="K82" s="18"/>
      <c r="L82" s="18">
        <f>Fund_Industry!L$411</f>
        <v>0</v>
      </c>
      <c r="M82" s="18">
        <f>Fund_Industry!M$411</f>
        <v>0</v>
      </c>
      <c r="N82" s="18">
        <f>Fund_Industry!N$411</f>
        <v>0</v>
      </c>
      <c r="O82" s="18">
        <f>Fund_Industry!O$411</f>
        <v>0</v>
      </c>
      <c r="P82" s="18">
        <f>Fund_Industry!P$411</f>
        <v>0</v>
      </c>
      <c r="Q82" s="18">
        <f>Fund_Industry!Q$411</f>
        <v>0</v>
      </c>
      <c r="R82" s="18">
        <f>Fund_Industry!R$411</f>
        <v>0</v>
      </c>
      <c r="S82" s="18">
        <f>Fund_Industry!S$411</f>
        <v>0</v>
      </c>
      <c r="T82" s="18">
        <f>Fund_Industry!T$411</f>
        <v>0</v>
      </c>
      <c r="U82" s="18">
        <f>Fund_Industry!U$411</f>
        <v>0</v>
      </c>
      <c r="V82" s="18">
        <f>Fund_Industry!V$411</f>
        <v>0</v>
      </c>
      <c r="W82" s="18">
        <f>Fund_Industry!W$411</f>
        <v>0</v>
      </c>
      <c r="X82" s="18">
        <f>Fund_Industry!X$411</f>
        <v>0</v>
      </c>
      <c r="Y82" s="18">
        <f>Fund_Industry!Y$411</f>
        <v>0</v>
      </c>
      <c r="Z82" s="18">
        <f>Fund_Industry!Z$411</f>
        <v>0</v>
      </c>
      <c r="AA82" s="18">
        <f>Fund_Industry!AA$411</f>
        <v>0</v>
      </c>
      <c r="AB82" s="18">
        <f>Fund_Industry!AB$411</f>
        <v>0</v>
      </c>
      <c r="AC82" s="18">
        <f>Fund_Industry!AC$411</f>
        <v>0</v>
      </c>
      <c r="AD82" s="18">
        <f>Fund_Industry!AD$411</f>
        <v>0</v>
      </c>
      <c r="AE82" s="18">
        <f>Fund_Industry!AE$411</f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2871</v>
      </c>
      <c r="H83" s="5">
        <v>8714</v>
      </c>
      <c r="I83" s="28" t="s">
        <v>1057</v>
      </c>
      <c r="K83" s="18"/>
      <c r="L83" s="18">
        <f>Fund_Industry!L$412</f>
        <v>0</v>
      </c>
      <c r="M83" s="18">
        <f>Fund_Industry!M$412</f>
        <v>0</v>
      </c>
      <c r="N83" s="18">
        <f>Fund_Industry!N$412</f>
        <v>0</v>
      </c>
      <c r="O83" s="18">
        <f>Fund_Industry!O$412</f>
        <v>0</v>
      </c>
      <c r="P83" s="18">
        <f>Fund_Industry!P$412</f>
        <v>0</v>
      </c>
      <c r="Q83" s="18">
        <f>Fund_Industry!Q$412</f>
        <v>0</v>
      </c>
      <c r="R83" s="18">
        <f>Fund_Industry!R$412</f>
        <v>0</v>
      </c>
      <c r="S83" s="18">
        <f>Fund_Industry!S$412</f>
        <v>0</v>
      </c>
      <c r="T83" s="18">
        <f>Fund_Industry!T$412</f>
        <v>0</v>
      </c>
      <c r="U83" s="18">
        <f>Fund_Industry!U$412</f>
        <v>0</v>
      </c>
      <c r="V83" s="18">
        <f>Fund_Industry!V$412</f>
        <v>0</v>
      </c>
      <c r="W83" s="18">
        <f>Fund_Industry!W$412</f>
        <v>0</v>
      </c>
      <c r="X83" s="18">
        <f>Fund_Industry!X$412</f>
        <v>0</v>
      </c>
      <c r="Y83" s="18">
        <f>Fund_Industry!Y$412</f>
        <v>0</v>
      </c>
      <c r="Z83" s="18">
        <f>Fund_Industry!Z$412</f>
        <v>0</v>
      </c>
      <c r="AA83" s="18">
        <f>Fund_Industry!AA$412</f>
        <v>0</v>
      </c>
      <c r="AB83" s="18">
        <f>Fund_Industry!AB$412</f>
        <v>0</v>
      </c>
      <c r="AC83" s="18">
        <f>Fund_Industry!AC$412</f>
        <v>0</v>
      </c>
      <c r="AD83" s="18">
        <f>Fund_Industry!AD$412</f>
        <v>0</v>
      </c>
      <c r="AE83" s="18">
        <f>Fund_Industry!AE$412</f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2872</v>
      </c>
      <c r="H84" s="5">
        <v>8715</v>
      </c>
      <c r="I84" s="28" t="s">
        <v>1059</v>
      </c>
      <c r="K84" s="18"/>
      <c r="L84" s="18">
        <f>Fund_Industry!L$413</f>
        <v>0</v>
      </c>
      <c r="M84" s="18">
        <f>Fund_Industry!M$413</f>
        <v>0</v>
      </c>
      <c r="N84" s="18">
        <f>Fund_Industry!N$413</f>
        <v>0</v>
      </c>
      <c r="O84" s="18">
        <f>Fund_Industry!O$413</f>
        <v>0</v>
      </c>
      <c r="P84" s="18">
        <f>Fund_Industry!P$413</f>
        <v>0</v>
      </c>
      <c r="Q84" s="18">
        <f>Fund_Industry!Q$413</f>
        <v>0</v>
      </c>
      <c r="R84" s="18">
        <f>Fund_Industry!R$413</f>
        <v>0</v>
      </c>
      <c r="S84" s="18">
        <f>Fund_Industry!S$413</f>
        <v>0</v>
      </c>
      <c r="T84" s="18">
        <f>Fund_Industry!T$413</f>
        <v>0</v>
      </c>
      <c r="U84" s="18">
        <f>Fund_Industry!U$413</f>
        <v>0</v>
      </c>
      <c r="V84" s="18">
        <f>Fund_Industry!V$413</f>
        <v>0</v>
      </c>
      <c r="W84" s="18">
        <f>Fund_Industry!W$413</f>
        <v>0</v>
      </c>
      <c r="X84" s="18">
        <f>Fund_Industry!X$413</f>
        <v>0</v>
      </c>
      <c r="Y84" s="18">
        <f>Fund_Industry!Y$413</f>
        <v>0</v>
      </c>
      <c r="Z84" s="18">
        <f>Fund_Industry!Z$413</f>
        <v>0</v>
      </c>
      <c r="AA84" s="18">
        <f>Fund_Industry!AA$413</f>
        <v>0</v>
      </c>
      <c r="AB84" s="18">
        <f>Fund_Industry!AB$413</f>
        <v>0</v>
      </c>
      <c r="AC84" s="18">
        <f>Fund_Industry!AC$413</f>
        <v>0</v>
      </c>
      <c r="AD84" s="18">
        <f>Fund_Industry!AD$413</f>
        <v>0</v>
      </c>
      <c r="AE84" s="18">
        <f>Fund_Industry!AE$413</f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2873</v>
      </c>
      <c r="H85" s="5">
        <v>8716</v>
      </c>
      <c r="I85" s="28" t="s">
        <v>1061</v>
      </c>
      <c r="K85" s="18"/>
      <c r="L85" s="18">
        <f>Fund_Industry!L$414</f>
        <v>0</v>
      </c>
      <c r="M85" s="18">
        <f>Fund_Industry!M$414</f>
        <v>0</v>
      </c>
      <c r="N85" s="18">
        <f>Fund_Industry!N$414</f>
        <v>0</v>
      </c>
      <c r="O85" s="18">
        <f>Fund_Industry!O$414</f>
        <v>0</v>
      </c>
      <c r="P85" s="18">
        <f>Fund_Industry!P$414</f>
        <v>0</v>
      </c>
      <c r="Q85" s="18">
        <f>Fund_Industry!Q$414</f>
        <v>0</v>
      </c>
      <c r="R85" s="18">
        <f>Fund_Industry!R$414</f>
        <v>0</v>
      </c>
      <c r="S85" s="18">
        <f>Fund_Industry!S$414</f>
        <v>0</v>
      </c>
      <c r="T85" s="18">
        <f>Fund_Industry!T$414</f>
        <v>0</v>
      </c>
      <c r="U85" s="18">
        <f>Fund_Industry!U$414</f>
        <v>0</v>
      </c>
      <c r="V85" s="18">
        <f>Fund_Industry!V$414</f>
        <v>0</v>
      </c>
      <c r="W85" s="18">
        <f>Fund_Industry!W$414</f>
        <v>0</v>
      </c>
      <c r="X85" s="18">
        <f>Fund_Industry!X$414</f>
        <v>0</v>
      </c>
      <c r="Y85" s="18">
        <f>Fund_Industry!Y$414</f>
        <v>0</v>
      </c>
      <c r="Z85" s="18">
        <f>Fund_Industry!Z$414</f>
        <v>0</v>
      </c>
      <c r="AA85" s="18">
        <f>Fund_Industry!AA$414</f>
        <v>0</v>
      </c>
      <c r="AB85" s="18">
        <f>Fund_Industry!AB$414</f>
        <v>0</v>
      </c>
      <c r="AC85" s="18">
        <f>Fund_Industry!AC$414</f>
        <v>0</v>
      </c>
      <c r="AD85" s="18">
        <f>Fund_Industry!AD$414</f>
        <v>0</v>
      </c>
      <c r="AE85" s="18">
        <f>Fund_Industry!AE$414</f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2874</v>
      </c>
      <c r="H86" s="5">
        <v>8717</v>
      </c>
      <c r="I86" s="28" t="s">
        <v>1063</v>
      </c>
      <c r="K86" s="18"/>
      <c r="L86" s="18">
        <f>Fund_Industry!L$415</f>
        <v>0</v>
      </c>
      <c r="M86" s="18">
        <f>Fund_Industry!M$415</f>
        <v>0</v>
      </c>
      <c r="N86" s="18">
        <f>Fund_Industry!N$415</f>
        <v>0</v>
      </c>
      <c r="O86" s="18">
        <f>Fund_Industry!O$415</f>
        <v>0</v>
      </c>
      <c r="P86" s="18">
        <f>Fund_Industry!P$415</f>
        <v>0</v>
      </c>
      <c r="Q86" s="18">
        <f>Fund_Industry!Q$415</f>
        <v>0</v>
      </c>
      <c r="R86" s="18">
        <f>Fund_Industry!R$415</f>
        <v>0</v>
      </c>
      <c r="S86" s="18">
        <f>Fund_Industry!S$415</f>
        <v>0</v>
      </c>
      <c r="T86" s="18">
        <f>Fund_Industry!T$415</f>
        <v>0</v>
      </c>
      <c r="U86" s="18">
        <f>Fund_Industry!U$415</f>
        <v>0</v>
      </c>
      <c r="V86" s="18">
        <f>Fund_Industry!V$415</f>
        <v>0</v>
      </c>
      <c r="W86" s="18">
        <f>Fund_Industry!W$415</f>
        <v>0</v>
      </c>
      <c r="X86" s="18">
        <f>Fund_Industry!X$415</f>
        <v>0</v>
      </c>
      <c r="Y86" s="18">
        <f>Fund_Industry!Y$415</f>
        <v>0</v>
      </c>
      <c r="Z86" s="18">
        <f>Fund_Industry!Z$415</f>
        <v>0</v>
      </c>
      <c r="AA86" s="18">
        <f>Fund_Industry!AA$415</f>
        <v>0</v>
      </c>
      <c r="AB86" s="18">
        <f>Fund_Industry!AB$415</f>
        <v>0</v>
      </c>
      <c r="AC86" s="18">
        <f>Fund_Industry!AC$415</f>
        <v>0</v>
      </c>
      <c r="AD86" s="18">
        <f>Fund_Industry!AD$415</f>
        <v>0</v>
      </c>
      <c r="AE86" s="18">
        <f>Fund_Industry!AE$415</f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2875</v>
      </c>
      <c r="H87" s="5">
        <v>8718</v>
      </c>
      <c r="I87" s="28" t="s">
        <v>1065</v>
      </c>
      <c r="K87" s="18"/>
      <c r="L87" s="18">
        <f>Fund_Industry!L$416</f>
        <v>0</v>
      </c>
      <c r="M87" s="18">
        <f>Fund_Industry!M$416</f>
        <v>0</v>
      </c>
      <c r="N87" s="18">
        <f>Fund_Industry!N$416</f>
        <v>0</v>
      </c>
      <c r="O87" s="18">
        <f>Fund_Industry!O$416</f>
        <v>0</v>
      </c>
      <c r="P87" s="18">
        <f>Fund_Industry!P$416</f>
        <v>0</v>
      </c>
      <c r="Q87" s="18">
        <f>Fund_Industry!Q$416</f>
        <v>0</v>
      </c>
      <c r="R87" s="18">
        <f>Fund_Industry!R$416</f>
        <v>0</v>
      </c>
      <c r="S87" s="18">
        <f>Fund_Industry!S$416</f>
        <v>0</v>
      </c>
      <c r="T87" s="18">
        <f>Fund_Industry!T$416</f>
        <v>0</v>
      </c>
      <c r="U87" s="18">
        <f>Fund_Industry!U$416</f>
        <v>0</v>
      </c>
      <c r="V87" s="18">
        <f>Fund_Industry!V$416</f>
        <v>0</v>
      </c>
      <c r="W87" s="18">
        <f>Fund_Industry!W$416</f>
        <v>0</v>
      </c>
      <c r="X87" s="18">
        <f>Fund_Industry!X$416</f>
        <v>0</v>
      </c>
      <c r="Y87" s="18">
        <f>Fund_Industry!Y$416</f>
        <v>0</v>
      </c>
      <c r="Z87" s="18">
        <f>Fund_Industry!Z$416</f>
        <v>0</v>
      </c>
      <c r="AA87" s="18">
        <f>Fund_Industry!AA$416</f>
        <v>0</v>
      </c>
      <c r="AB87" s="18">
        <f>Fund_Industry!AB$416</f>
        <v>0</v>
      </c>
      <c r="AC87" s="18">
        <f>Fund_Industry!AC$416</f>
        <v>0</v>
      </c>
      <c r="AD87" s="18">
        <f>Fund_Industry!AD$416</f>
        <v>0</v>
      </c>
      <c r="AE87" s="18">
        <f>Fund_Industry!AE$416</f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2876</v>
      </c>
      <c r="H88" s="5">
        <v>8719</v>
      </c>
      <c r="I88" s="28" t="s">
        <v>1067</v>
      </c>
      <c r="K88" s="18"/>
      <c r="L88" s="18">
        <f>Fund_Industry!L$417</f>
        <v>0</v>
      </c>
      <c r="M88" s="18">
        <f>Fund_Industry!M$417</f>
        <v>0</v>
      </c>
      <c r="N88" s="18">
        <f>Fund_Industry!N$417</f>
        <v>0</v>
      </c>
      <c r="O88" s="18">
        <f>Fund_Industry!O$417</f>
        <v>0</v>
      </c>
      <c r="P88" s="18">
        <f>Fund_Industry!P$417</f>
        <v>0</v>
      </c>
      <c r="Q88" s="18">
        <f>Fund_Industry!Q$417</f>
        <v>0</v>
      </c>
      <c r="R88" s="18">
        <f>Fund_Industry!R$417</f>
        <v>0</v>
      </c>
      <c r="S88" s="18">
        <f>Fund_Industry!S$417</f>
        <v>0</v>
      </c>
      <c r="T88" s="18">
        <f>Fund_Industry!T$417</f>
        <v>0</v>
      </c>
      <c r="U88" s="18">
        <f>Fund_Industry!U$417</f>
        <v>0</v>
      </c>
      <c r="V88" s="18">
        <f>Fund_Industry!V$417</f>
        <v>0</v>
      </c>
      <c r="W88" s="18">
        <f>Fund_Industry!W$417</f>
        <v>0</v>
      </c>
      <c r="X88" s="18">
        <f>Fund_Industry!X$417</f>
        <v>0</v>
      </c>
      <c r="Y88" s="18">
        <f>Fund_Industry!Y$417</f>
        <v>0</v>
      </c>
      <c r="Z88" s="18">
        <f>Fund_Industry!Z$417</f>
        <v>0</v>
      </c>
      <c r="AA88" s="18">
        <f>Fund_Industry!AA$417</f>
        <v>0</v>
      </c>
      <c r="AB88" s="18">
        <f>Fund_Industry!AB$417</f>
        <v>0</v>
      </c>
      <c r="AC88" s="18">
        <f>Fund_Industry!AC$417</f>
        <v>0</v>
      </c>
      <c r="AD88" s="18">
        <f>Fund_Industry!AD$417</f>
        <v>0</v>
      </c>
      <c r="AE88" s="18">
        <f>Fund_Industry!AE$417</f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2877</v>
      </c>
      <c r="H89" s="5" t="s">
        <v>77</v>
      </c>
      <c r="I89" s="28" t="s">
        <v>77</v>
      </c>
      <c r="K89" s="18">
        <v>0</v>
      </c>
      <c r="L89" s="18">
        <f>Fund_Industry!L$418</f>
        <v>0</v>
      </c>
      <c r="M89" s="18">
        <f>Fund_Industry!M$418</f>
        <v>0</v>
      </c>
      <c r="N89" s="18">
        <f>Fund_Industry!N$418</f>
        <v>0</v>
      </c>
      <c r="O89" s="18">
        <f>Fund_Industry!O$418</f>
        <v>0</v>
      </c>
      <c r="P89" s="18">
        <f>Fund_Industry!P$418</f>
        <v>0</v>
      </c>
      <c r="Q89" s="18">
        <f>Fund_Industry!Q$418</f>
        <v>0</v>
      </c>
      <c r="R89" s="18">
        <f>Fund_Industry!R$418</f>
        <v>0</v>
      </c>
      <c r="S89" s="18">
        <f>Fund_Industry!S$418</f>
        <v>0</v>
      </c>
      <c r="T89" s="18">
        <f>Fund_Industry!T$418</f>
        <v>0</v>
      </c>
      <c r="U89" s="18">
        <f>Fund_Industry!U$418</f>
        <v>0</v>
      </c>
      <c r="V89" s="18">
        <f>Fund_Industry!V$418</f>
        <v>0</v>
      </c>
      <c r="W89" s="18">
        <f>Fund_Industry!W$418</f>
        <v>0</v>
      </c>
      <c r="X89" s="18">
        <f>Fund_Industry!X$418</f>
        <v>0</v>
      </c>
      <c r="Y89" s="18">
        <f>Fund_Industry!Y$418</f>
        <v>0</v>
      </c>
      <c r="Z89" s="18">
        <f>Fund_Industry!Z$418</f>
        <v>0</v>
      </c>
      <c r="AA89" s="18">
        <f>Fund_Industry!AA$418</f>
        <v>0</v>
      </c>
      <c r="AB89" s="18">
        <f>Fund_Industry!AB$418</f>
        <v>0</v>
      </c>
      <c r="AC89" s="18">
        <f>Fund_Industry!AC$418</f>
        <v>0</v>
      </c>
      <c r="AD89" s="18">
        <f>Fund_Industry!AD$418</f>
        <v>0</v>
      </c>
      <c r="AE89" s="18">
        <f>Fund_Industry!AE$418</f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2878</v>
      </c>
      <c r="H115" s="5">
        <v>8742</v>
      </c>
      <c r="I115" s="28" t="s">
        <v>1094</v>
      </c>
      <c r="K115" s="19"/>
      <c r="L115" s="19">
        <f>Fund_Industry!$F$6</f>
        <v>1</v>
      </c>
      <c r="M115" s="19">
        <f>Fund_Industry!$F$6</f>
        <v>1</v>
      </c>
      <c r="N115" s="19">
        <f>Fund_Industry!$F$6</f>
        <v>1</v>
      </c>
      <c r="O115" s="19">
        <f>Fund_Industry!$F$6</f>
        <v>1</v>
      </c>
      <c r="P115" s="19">
        <f>Fund_Industry!$F$6</f>
        <v>1</v>
      </c>
      <c r="Q115" s="19">
        <f>Fund_Industry!$F$6</f>
        <v>1</v>
      </c>
      <c r="R115" s="19">
        <f>Fund_Industry!$F$6</f>
        <v>1</v>
      </c>
      <c r="S115" s="19">
        <f>Fund_Industry!$F$6</f>
        <v>1</v>
      </c>
      <c r="T115" s="19">
        <f>Fund_Industry!$F$6</f>
        <v>1</v>
      </c>
      <c r="U115" s="19">
        <f>Fund_Industry!$F$6</f>
        <v>1</v>
      </c>
      <c r="V115" s="19">
        <f>Fund_Industry!$F$6</f>
        <v>1</v>
      </c>
      <c r="W115" s="19">
        <f>Fund_Industry!$F$6</f>
        <v>1</v>
      </c>
      <c r="X115" s="19">
        <f>Fund_Industry!$F$6</f>
        <v>1</v>
      </c>
      <c r="Y115" s="19">
        <f>Fund_Industry!$F$6</f>
        <v>1</v>
      </c>
      <c r="Z115" s="19">
        <f>Fund_Industry!$F$6</f>
        <v>1</v>
      </c>
      <c r="AA115" s="19">
        <f>Fund_Industry!$F$6</f>
        <v>1</v>
      </c>
      <c r="AB115" s="19">
        <f>Fund_Industry!$F$6</f>
        <v>1</v>
      </c>
      <c r="AC115" s="19">
        <f>Fund_Industry!$F$6</f>
        <v>1</v>
      </c>
      <c r="AD115" s="19">
        <f>Fund_Industry!$F$6</f>
        <v>1</v>
      </c>
      <c r="AE115" s="19">
        <f>Fund_Industry!$F$6</f>
        <v>1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2878</v>
      </c>
      <c r="H116" s="5">
        <v>8743</v>
      </c>
      <c r="I116" s="28" t="s">
        <v>1095</v>
      </c>
      <c r="K116" s="19"/>
      <c r="L116" s="19">
        <f>Fund_Industry!$F$6</f>
        <v>1</v>
      </c>
      <c r="M116" s="19">
        <f>Fund_Industry!$F$6</f>
        <v>1</v>
      </c>
      <c r="N116" s="19">
        <f>Fund_Industry!$F$6</f>
        <v>1</v>
      </c>
      <c r="O116" s="19">
        <f>Fund_Industry!$F$6</f>
        <v>1</v>
      </c>
      <c r="P116" s="19">
        <f>Fund_Industry!$F$6</f>
        <v>1</v>
      </c>
      <c r="Q116" s="19">
        <f>Fund_Industry!$F$6</f>
        <v>1</v>
      </c>
      <c r="R116" s="19">
        <f>Fund_Industry!$F$6</f>
        <v>1</v>
      </c>
      <c r="S116" s="19">
        <f>Fund_Industry!$F$6</f>
        <v>1</v>
      </c>
      <c r="T116" s="19">
        <f>Fund_Industry!$F$6</f>
        <v>1</v>
      </c>
      <c r="U116" s="19">
        <f>Fund_Industry!$F$6</f>
        <v>1</v>
      </c>
      <c r="V116" s="19">
        <f>Fund_Industry!$F$6</f>
        <v>1</v>
      </c>
      <c r="W116" s="19">
        <f>Fund_Industry!$F$6</f>
        <v>1</v>
      </c>
      <c r="X116" s="19">
        <f>Fund_Industry!$F$6</f>
        <v>1</v>
      </c>
      <c r="Y116" s="19">
        <f>Fund_Industry!$F$6</f>
        <v>1</v>
      </c>
      <c r="Z116" s="19">
        <f>Fund_Industry!$F$6</f>
        <v>1</v>
      </c>
      <c r="AA116" s="19">
        <f>Fund_Industry!$F$6</f>
        <v>1</v>
      </c>
      <c r="AB116" s="19">
        <f>Fund_Industry!$F$6</f>
        <v>1</v>
      </c>
      <c r="AC116" s="19">
        <f>Fund_Industry!$F$6</f>
        <v>1</v>
      </c>
      <c r="AD116" s="19">
        <f>Fund_Industry!$F$6</f>
        <v>1</v>
      </c>
      <c r="AE116" s="19">
        <f>Fund_Industry!$F$6</f>
        <v>1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2878</v>
      </c>
      <c r="H117" s="5">
        <v>8744</v>
      </c>
      <c r="I117" s="28" t="s">
        <v>1096</v>
      </c>
      <c r="K117" s="19"/>
      <c r="L117" s="19">
        <f>Fund_Industry!$F$6</f>
        <v>1</v>
      </c>
      <c r="M117" s="19">
        <f>Fund_Industry!$F$6</f>
        <v>1</v>
      </c>
      <c r="N117" s="19">
        <f>Fund_Industry!$F$6</f>
        <v>1</v>
      </c>
      <c r="O117" s="19">
        <f>Fund_Industry!$F$6</f>
        <v>1</v>
      </c>
      <c r="P117" s="19">
        <f>Fund_Industry!$F$6</f>
        <v>1</v>
      </c>
      <c r="Q117" s="19">
        <f>Fund_Industry!$F$6</f>
        <v>1</v>
      </c>
      <c r="R117" s="19">
        <f>Fund_Industry!$F$6</f>
        <v>1</v>
      </c>
      <c r="S117" s="19">
        <f>Fund_Industry!$F$6</f>
        <v>1</v>
      </c>
      <c r="T117" s="19">
        <f>Fund_Industry!$F$6</f>
        <v>1</v>
      </c>
      <c r="U117" s="19">
        <f>Fund_Industry!$F$6</f>
        <v>1</v>
      </c>
      <c r="V117" s="19">
        <f>Fund_Industry!$F$6</f>
        <v>1</v>
      </c>
      <c r="W117" s="19">
        <f>Fund_Industry!$F$6</f>
        <v>1</v>
      </c>
      <c r="X117" s="19">
        <f>Fund_Industry!$F$6</f>
        <v>1</v>
      </c>
      <c r="Y117" s="19">
        <f>Fund_Industry!$F$6</f>
        <v>1</v>
      </c>
      <c r="Z117" s="19">
        <f>Fund_Industry!$F$6</f>
        <v>1</v>
      </c>
      <c r="AA117" s="19">
        <f>Fund_Industry!$F$6</f>
        <v>1</v>
      </c>
      <c r="AB117" s="19">
        <f>Fund_Industry!$F$6</f>
        <v>1</v>
      </c>
      <c r="AC117" s="19">
        <f>Fund_Industry!$F$6</f>
        <v>1</v>
      </c>
      <c r="AD117" s="19">
        <f>Fund_Industry!$F$6</f>
        <v>1</v>
      </c>
      <c r="AE117" s="19">
        <f>Fund_Industry!$F$6</f>
        <v>1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2878</v>
      </c>
      <c r="H119" s="5">
        <v>8746</v>
      </c>
      <c r="I119" s="28" t="s">
        <v>1098</v>
      </c>
      <c r="K119" s="19"/>
      <c r="L119" s="19">
        <f>Fund_Industry!$F$6</f>
        <v>1</v>
      </c>
      <c r="M119" s="19">
        <f>Fund_Industry!$F$6</f>
        <v>1</v>
      </c>
      <c r="N119" s="19">
        <f>Fund_Industry!$F$6</f>
        <v>1</v>
      </c>
      <c r="O119" s="19">
        <f>Fund_Industry!$F$6</f>
        <v>1</v>
      </c>
      <c r="P119" s="19">
        <f>Fund_Industry!$F$6</f>
        <v>1</v>
      </c>
      <c r="Q119" s="19">
        <f>Fund_Industry!$F$6</f>
        <v>1</v>
      </c>
      <c r="R119" s="19">
        <f>Fund_Industry!$F$6</f>
        <v>1</v>
      </c>
      <c r="S119" s="19">
        <f>Fund_Industry!$F$6</f>
        <v>1</v>
      </c>
      <c r="T119" s="19">
        <f>Fund_Industry!$F$6</f>
        <v>1</v>
      </c>
      <c r="U119" s="19">
        <f>Fund_Industry!$F$6</f>
        <v>1</v>
      </c>
      <c r="V119" s="19">
        <f>Fund_Industry!$F$6</f>
        <v>1</v>
      </c>
      <c r="W119" s="19">
        <f>Fund_Industry!$F$6</f>
        <v>1</v>
      </c>
      <c r="X119" s="19">
        <f>Fund_Industry!$F$6</f>
        <v>1</v>
      </c>
      <c r="Y119" s="19">
        <f>Fund_Industry!$F$6</f>
        <v>1</v>
      </c>
      <c r="Z119" s="19">
        <f>Fund_Industry!$F$6</f>
        <v>1</v>
      </c>
      <c r="AA119" s="19">
        <f>Fund_Industry!$F$6</f>
        <v>1</v>
      </c>
      <c r="AB119" s="19">
        <f>Fund_Industry!$F$6</f>
        <v>1</v>
      </c>
      <c r="AC119" s="19">
        <f>Fund_Industry!$F$6</f>
        <v>1</v>
      </c>
      <c r="AD119" s="19">
        <f>Fund_Industry!$F$6</f>
        <v>1</v>
      </c>
      <c r="AE119" s="19">
        <f>Fund_Industry!$F$6</f>
        <v>1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1395</v>
      </c>
      <c r="B124" s="5" t="s">
        <v>77</v>
      </c>
      <c r="C124" s="5" t="s">
        <v>1396</v>
      </c>
      <c r="D124" s="5" t="s">
        <v>1397</v>
      </c>
      <c r="E124" s="5">
        <v>1</v>
      </c>
      <c r="F124" s="5" t="s">
        <v>1398</v>
      </c>
      <c r="G124" s="5" t="s">
        <v>1399</v>
      </c>
      <c r="H124" s="5">
        <v>2251</v>
      </c>
      <c r="I124" s="28" t="s">
        <v>1395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1400</v>
      </c>
      <c r="B125" s="5" t="s">
        <v>77</v>
      </c>
      <c r="C125" s="5" t="s">
        <v>1396</v>
      </c>
      <c r="D125" s="5" t="s">
        <v>1401</v>
      </c>
      <c r="E125" s="5">
        <v>1</v>
      </c>
      <c r="F125" s="5" t="s">
        <v>1398</v>
      </c>
      <c r="G125" s="5" t="s">
        <v>1402</v>
      </c>
      <c r="H125" s="5">
        <v>2252</v>
      </c>
      <c r="I125" s="28" t="s">
        <v>1400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1403</v>
      </c>
      <c r="B126" s="5" t="s">
        <v>77</v>
      </c>
      <c r="C126" s="5" t="s">
        <v>1396</v>
      </c>
      <c r="D126" s="5" t="s">
        <v>1397</v>
      </c>
      <c r="E126" s="5">
        <v>2</v>
      </c>
      <c r="F126" s="5" t="s">
        <v>1398</v>
      </c>
      <c r="G126" s="5" t="s">
        <v>1823</v>
      </c>
      <c r="H126" s="5" t="s">
        <v>1824</v>
      </c>
      <c r="I126" s="28" t="s">
        <v>1403</v>
      </c>
      <c r="J126" t="s">
        <v>1709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1404</v>
      </c>
      <c r="B127" s="5" t="s">
        <v>77</v>
      </c>
      <c r="C127" s="5" t="s">
        <v>1396</v>
      </c>
      <c r="D127" s="5" t="s">
        <v>1401</v>
      </c>
      <c r="E127" s="5">
        <v>2</v>
      </c>
      <c r="F127" s="5" t="s">
        <v>1398</v>
      </c>
      <c r="G127" s="5" t="s">
        <v>1825</v>
      </c>
      <c r="H127" s="5" t="s">
        <v>1826</v>
      </c>
      <c r="I127" s="28" t="s">
        <v>1404</v>
      </c>
      <c r="J127" t="s">
        <v>1709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1837</v>
      </c>
      <c r="B128" s="5" t="s">
        <v>77</v>
      </c>
      <c r="C128" s="5" t="s">
        <v>1396</v>
      </c>
      <c r="D128" s="5" t="s">
        <v>1775</v>
      </c>
      <c r="E128" s="5">
        <v>1</v>
      </c>
      <c r="F128" s="5" t="s">
        <v>1398</v>
      </c>
      <c r="G128" s="5" t="s">
        <v>1776</v>
      </c>
      <c r="H128" s="5" t="s">
        <v>1838</v>
      </c>
      <c r="I128" s="28" t="s">
        <v>1837</v>
      </c>
      <c r="J128" t="s">
        <v>1709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1839</v>
      </c>
      <c r="B129" s="5" t="s">
        <v>77</v>
      </c>
      <c r="C129" s="5" t="s">
        <v>1396</v>
      </c>
      <c r="D129" s="5" t="s">
        <v>1778</v>
      </c>
      <c r="E129" s="5">
        <v>1</v>
      </c>
      <c r="F129" s="5" t="s">
        <v>79</v>
      </c>
      <c r="G129" s="5" t="s">
        <v>1779</v>
      </c>
      <c r="H129" s="5" t="s">
        <v>1838</v>
      </c>
      <c r="I129" s="28" t="s">
        <v>1839</v>
      </c>
      <c r="J129" t="s">
        <v>1709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1840</v>
      </c>
      <c r="B130" s="5" t="s">
        <v>77</v>
      </c>
      <c r="C130" s="5" t="s">
        <v>1396</v>
      </c>
      <c r="D130" s="5" t="s">
        <v>1782</v>
      </c>
      <c r="E130" s="5">
        <v>1</v>
      </c>
      <c r="F130" s="5" t="s">
        <v>79</v>
      </c>
      <c r="G130" s="5" t="s">
        <v>1783</v>
      </c>
      <c r="H130" s="5" t="s">
        <v>1838</v>
      </c>
      <c r="I130" s="28" t="s">
        <v>1840</v>
      </c>
      <c r="J130" t="s">
        <v>1709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1841</v>
      </c>
      <c r="B131" s="5" t="s">
        <v>77</v>
      </c>
      <c r="C131" s="5" t="s">
        <v>1396</v>
      </c>
      <c r="D131" s="5" t="s">
        <v>1786</v>
      </c>
      <c r="E131" s="5">
        <v>1</v>
      </c>
      <c r="F131" s="5" t="s">
        <v>1398</v>
      </c>
      <c r="G131" s="5" t="s">
        <v>1787</v>
      </c>
      <c r="H131" s="5" t="s">
        <v>1838</v>
      </c>
      <c r="I131" s="28" t="s">
        <v>1841</v>
      </c>
      <c r="J131" t="s">
        <v>1709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1842</v>
      </c>
      <c r="B132" s="5" t="s">
        <v>77</v>
      </c>
      <c r="C132" s="5" t="s">
        <v>1396</v>
      </c>
      <c r="D132" s="5" t="s">
        <v>1789</v>
      </c>
      <c r="E132" s="5">
        <v>1</v>
      </c>
      <c r="F132" s="5" t="s">
        <v>79</v>
      </c>
      <c r="G132" s="5" t="s">
        <v>1790</v>
      </c>
      <c r="H132" s="5" t="s">
        <v>1838</v>
      </c>
      <c r="I132" s="28" t="s">
        <v>1842</v>
      </c>
      <c r="J132" t="s">
        <v>1709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1843</v>
      </c>
      <c r="B133" s="5" t="s">
        <v>77</v>
      </c>
      <c r="C133" s="5" t="s">
        <v>1396</v>
      </c>
      <c r="D133" s="5" t="s">
        <v>1793</v>
      </c>
      <c r="E133" s="5">
        <v>1</v>
      </c>
      <c r="F133" s="5" t="s">
        <v>1398</v>
      </c>
      <c r="G133" s="5" t="s">
        <v>1794</v>
      </c>
      <c r="H133" s="5" t="s">
        <v>1838</v>
      </c>
      <c r="I133" s="28" t="s">
        <v>1843</v>
      </c>
      <c r="J133" t="s">
        <v>1709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1777</v>
      </c>
      <c r="B134" s="5" t="s">
        <v>77</v>
      </c>
      <c r="C134" s="5" t="s">
        <v>1396</v>
      </c>
      <c r="D134" s="5" t="s">
        <v>1775</v>
      </c>
      <c r="E134" s="5">
        <v>2</v>
      </c>
      <c r="F134" s="5" t="s">
        <v>1398</v>
      </c>
      <c r="G134" s="5" t="s">
        <v>1776</v>
      </c>
      <c r="H134" s="5" t="s">
        <v>1772</v>
      </c>
      <c r="I134" s="28" t="s">
        <v>1777</v>
      </c>
      <c r="J134" t="s">
        <v>1709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1780</v>
      </c>
      <c r="B135" s="5" t="s">
        <v>77</v>
      </c>
      <c r="C135" s="5" t="s">
        <v>1396</v>
      </c>
      <c r="D135" s="5" t="s">
        <v>1778</v>
      </c>
      <c r="E135" s="5">
        <v>2</v>
      </c>
      <c r="F135" s="5" t="s">
        <v>79</v>
      </c>
      <c r="G135" s="5" t="s">
        <v>1779</v>
      </c>
      <c r="H135" s="5" t="s">
        <v>1772</v>
      </c>
      <c r="I135" s="28" t="s">
        <v>1780</v>
      </c>
      <c r="J135" t="s">
        <v>1709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1785</v>
      </c>
      <c r="B136" s="5" t="s">
        <v>77</v>
      </c>
      <c r="C136" s="5" t="s">
        <v>1396</v>
      </c>
      <c r="D136" s="5" t="s">
        <v>1782</v>
      </c>
      <c r="E136" s="5">
        <v>2</v>
      </c>
      <c r="F136" s="5" t="s">
        <v>79</v>
      </c>
      <c r="G136" s="5" t="s">
        <v>1783</v>
      </c>
      <c r="H136" s="5" t="s">
        <v>1772</v>
      </c>
      <c r="I136" s="28" t="s">
        <v>1785</v>
      </c>
      <c r="J136" t="s">
        <v>1709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1788</v>
      </c>
      <c r="B137" s="5" t="s">
        <v>77</v>
      </c>
      <c r="C137" s="5" t="s">
        <v>1396</v>
      </c>
      <c r="D137" s="5" t="s">
        <v>1786</v>
      </c>
      <c r="E137" s="5">
        <v>2</v>
      </c>
      <c r="F137" s="5" t="s">
        <v>1398</v>
      </c>
      <c r="G137" s="5" t="s">
        <v>1787</v>
      </c>
      <c r="H137" s="5" t="s">
        <v>1772</v>
      </c>
      <c r="I137" s="28" t="s">
        <v>1788</v>
      </c>
      <c r="J137" t="s">
        <v>1709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1792</v>
      </c>
      <c r="B138" s="5" t="s">
        <v>77</v>
      </c>
      <c r="C138" s="5" t="s">
        <v>1396</v>
      </c>
      <c r="D138" s="5" t="s">
        <v>1789</v>
      </c>
      <c r="E138" s="5">
        <v>2</v>
      </c>
      <c r="F138" s="5" t="s">
        <v>79</v>
      </c>
      <c r="G138" s="5" t="s">
        <v>1790</v>
      </c>
      <c r="H138" s="5" t="s">
        <v>1772</v>
      </c>
      <c r="I138" s="28" t="s">
        <v>1792</v>
      </c>
      <c r="J138" t="s">
        <v>1709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1796</v>
      </c>
      <c r="B139" s="5" t="s">
        <v>77</v>
      </c>
      <c r="C139" s="5" t="s">
        <v>1396</v>
      </c>
      <c r="D139" s="5" t="s">
        <v>1793</v>
      </c>
      <c r="E139" s="5">
        <v>2</v>
      </c>
      <c r="F139" s="5" t="s">
        <v>1398</v>
      </c>
      <c r="G139" s="5" t="s">
        <v>1794</v>
      </c>
      <c r="H139" s="5" t="s">
        <v>1772</v>
      </c>
      <c r="I139" s="28" t="s">
        <v>1796</v>
      </c>
      <c r="J139" t="s">
        <v>1709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9671-65FE-44F6-B71B-55E412FC448B}">
  <dimension ref="A1:K23"/>
  <sheetViews>
    <sheetView workbookViewId="0"/>
  </sheetViews>
  <sheetFormatPr defaultRowHeight="13.5" x14ac:dyDescent="0.35"/>
  <cols>
    <col min="1" max="1" width="22.59765625" style="115" customWidth="1"/>
    <col min="2" max="2" width="24.59765625" style="115" customWidth="1"/>
    <col min="3" max="3" width="6.59765625" style="115" customWidth="1"/>
    <col min="4" max="7" width="12.59765625" style="115" customWidth="1"/>
    <col min="8" max="8" width="14.59765625" style="115" customWidth="1"/>
    <col min="9" max="9" width="10.59765625" style="115" customWidth="1"/>
    <col min="10" max="10" width="22.59765625" style="115" customWidth="1"/>
    <col min="11" max="11" width="90.59765625" style="115" customWidth="1"/>
    <col min="12" max="16384" width="9.06640625" style="115"/>
  </cols>
  <sheetData>
    <row r="1" spans="1:11" ht="13.9" x14ac:dyDescent="0.4">
      <c r="A1" s="116" t="s">
        <v>2028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</row>
    <row r="2" spans="1:11" x14ac:dyDescent="0.35">
      <c r="A2" s="115" t="s">
        <v>2029</v>
      </c>
    </row>
    <row r="3" spans="1:11" ht="13.9" x14ac:dyDescent="0.4">
      <c r="A3" s="118" t="s">
        <v>877</v>
      </c>
      <c r="B3" s="118" t="s">
        <v>32</v>
      </c>
      <c r="C3" s="118" t="s">
        <v>878</v>
      </c>
      <c r="D3" s="118" t="s">
        <v>2030</v>
      </c>
      <c r="E3" s="118" t="s">
        <v>2031</v>
      </c>
      <c r="F3" s="118" t="s">
        <v>2032</v>
      </c>
      <c r="G3" s="118" t="s">
        <v>2033</v>
      </c>
      <c r="H3" s="118" t="s">
        <v>2034</v>
      </c>
      <c r="I3" s="118" t="s">
        <v>2035</v>
      </c>
      <c r="J3" s="118" t="s">
        <v>2036</v>
      </c>
      <c r="K3" s="118" t="s">
        <v>2037</v>
      </c>
    </row>
    <row r="4" spans="1:11" x14ac:dyDescent="0.35">
      <c r="A4" s="119" t="str">
        <f>Settings!$B$3&amp;".mit.efc."&amp;C4</f>
        <v>egy.mit.efc.coa</v>
      </c>
      <c r="B4" s="115" t="s">
        <v>50</v>
      </c>
      <c r="C4" s="115" t="s">
        <v>49</v>
      </c>
      <c r="D4" s="120">
        <v>0.1</v>
      </c>
      <c r="E4" s="121">
        <f t="shared" ref="E4:E12" si="0">D4*$D$17</f>
        <v>4186.8</v>
      </c>
      <c r="F4" s="121">
        <f t="shared" ref="F4:F12" si="1">$D$21</f>
        <v>0.92961501403768609</v>
      </c>
      <c r="G4" s="121">
        <f t="shared" ref="G4:G12" si="2">E4*F4</f>
        <v>3892.1121407729843</v>
      </c>
      <c r="H4" s="122">
        <v>3892.1121407729843</v>
      </c>
      <c r="I4" s="123">
        <f t="shared" ref="I4:I12" si="3">G4-H4</f>
        <v>0</v>
      </c>
      <c r="J4" s="115" t="s">
        <v>2038</v>
      </c>
      <c r="K4" s="115" t="s">
        <v>2039</v>
      </c>
    </row>
    <row r="5" spans="1:11" x14ac:dyDescent="0.35">
      <c r="A5" s="119" t="str">
        <f>Settings!$B$3&amp;".mit.efc."&amp;C5</f>
        <v>egy.mit.efc.nga</v>
      </c>
      <c r="B5" s="115" t="s">
        <v>54</v>
      </c>
      <c r="C5" s="115" t="s">
        <v>53</v>
      </c>
      <c r="D5" s="120">
        <v>5.5799999999999995E-2</v>
      </c>
      <c r="E5" s="121">
        <f t="shared" si="0"/>
        <v>2336.2343999999998</v>
      </c>
      <c r="F5" s="121">
        <f t="shared" si="1"/>
        <v>0.92961501403768609</v>
      </c>
      <c r="G5" s="121">
        <f t="shared" si="2"/>
        <v>2171.7985745513251</v>
      </c>
      <c r="H5" s="122">
        <v>2171.7985745513251</v>
      </c>
      <c r="I5" s="123">
        <f t="shared" si="3"/>
        <v>0</v>
      </c>
      <c r="J5" s="115" t="s">
        <v>2040</v>
      </c>
      <c r="K5" s="115" t="s">
        <v>2041</v>
      </c>
    </row>
    <row r="6" spans="1:11" x14ac:dyDescent="0.35">
      <c r="A6" s="119" t="str">
        <f>Settings!$B$3&amp;".mit.efc."&amp;C6</f>
        <v>egy.mit.efc.gso</v>
      </c>
      <c r="B6" s="115" t="s">
        <v>56</v>
      </c>
      <c r="C6" s="115" t="s">
        <v>55</v>
      </c>
      <c r="D6" s="120">
        <v>6.7793000000000006E-2</v>
      </c>
      <c r="E6" s="121">
        <f t="shared" si="0"/>
        <v>2838.3573240000001</v>
      </c>
      <c r="F6" s="121">
        <f t="shared" si="1"/>
        <v>0.92961501403768609</v>
      </c>
      <c r="G6" s="121">
        <f t="shared" si="2"/>
        <v>2638.579583594229</v>
      </c>
      <c r="H6" s="122">
        <v>2638.579583594229</v>
      </c>
      <c r="I6" s="123">
        <f t="shared" si="3"/>
        <v>0</v>
      </c>
      <c r="J6" s="115" t="s">
        <v>2042</v>
      </c>
      <c r="K6" s="115" t="s">
        <v>2043</v>
      </c>
    </row>
    <row r="7" spans="1:11" x14ac:dyDescent="0.35">
      <c r="A7" s="119" t="str">
        <f>Settings!$B$3&amp;".mit.efc."&amp;C7</f>
        <v>egy.mit.efc.die</v>
      </c>
      <c r="B7" s="115" t="s">
        <v>59</v>
      </c>
      <c r="C7" s="115" t="s">
        <v>58</v>
      </c>
      <c r="D7" s="120">
        <v>7.1844999999999992E-2</v>
      </c>
      <c r="E7" s="121">
        <f t="shared" si="0"/>
        <v>3008.0064599999996</v>
      </c>
      <c r="F7" s="121">
        <f t="shared" si="1"/>
        <v>0.92961501403768609</v>
      </c>
      <c r="G7" s="121">
        <f t="shared" si="2"/>
        <v>2796.2879675383501</v>
      </c>
      <c r="H7" s="122">
        <v>2796.2879675383501</v>
      </c>
      <c r="I7" s="123">
        <f t="shared" si="3"/>
        <v>0</v>
      </c>
      <c r="J7" s="115" t="s">
        <v>2044</v>
      </c>
      <c r="K7" s="115" t="s">
        <v>2045</v>
      </c>
    </row>
    <row r="8" spans="1:11" x14ac:dyDescent="0.35">
      <c r="A8" s="119" t="str">
        <f>Settings!$B$3&amp;".mit.efc."&amp;C8</f>
        <v>egy.mit.efc.lpg</v>
      </c>
      <c r="B8" s="115" t="s">
        <v>61</v>
      </c>
      <c r="C8" s="115" t="s">
        <v>60</v>
      </c>
      <c r="D8" s="120">
        <v>6.8599999999999994E-2</v>
      </c>
      <c r="E8" s="121">
        <f t="shared" si="0"/>
        <v>2872.1447999999996</v>
      </c>
      <c r="F8" s="121">
        <f t="shared" si="1"/>
        <v>0.92961501403768609</v>
      </c>
      <c r="G8" s="121">
        <f t="shared" si="2"/>
        <v>2669.9889285702666</v>
      </c>
      <c r="H8" s="122">
        <v>2669.9889285702666</v>
      </c>
      <c r="I8" s="123">
        <f t="shared" si="3"/>
        <v>0</v>
      </c>
      <c r="J8" s="115" t="s">
        <v>2046</v>
      </c>
      <c r="K8" s="115" t="s">
        <v>2047</v>
      </c>
    </row>
    <row r="9" spans="1:11" x14ac:dyDescent="0.35">
      <c r="A9" s="119" t="str">
        <f>Settings!$B$3&amp;".mit.efc."&amp;C9</f>
        <v>egy.mit.efc.ker</v>
      </c>
      <c r="B9" s="115" t="s">
        <v>63</v>
      </c>
      <c r="C9" s="115" t="s">
        <v>62</v>
      </c>
      <c r="D9" s="120">
        <v>6.7793000000000006E-2</v>
      </c>
      <c r="E9" s="121">
        <f t="shared" si="0"/>
        <v>2838.3573240000001</v>
      </c>
      <c r="F9" s="121">
        <f t="shared" si="1"/>
        <v>0.92961501403768609</v>
      </c>
      <c r="G9" s="121">
        <f t="shared" si="2"/>
        <v>2638.579583594229</v>
      </c>
      <c r="H9" s="122">
        <v>2638.579583594229</v>
      </c>
      <c r="I9" s="123">
        <f t="shared" si="3"/>
        <v>0</v>
      </c>
      <c r="J9" s="115" t="s">
        <v>2048</v>
      </c>
      <c r="K9" s="115" t="s">
        <v>2049</v>
      </c>
    </row>
    <row r="10" spans="1:11" x14ac:dyDescent="0.35">
      <c r="A10" s="119" t="str">
        <f>Settings!$B$3&amp;".mit.efc."&amp;C10</f>
        <v>egy.mit.efc.oop</v>
      </c>
      <c r="B10" s="115" t="s">
        <v>65</v>
      </c>
      <c r="C10" s="115" t="s">
        <v>64</v>
      </c>
      <c r="D10" s="120">
        <v>7.6700000000000004E-2</v>
      </c>
      <c r="E10" s="121">
        <f t="shared" si="0"/>
        <v>3211.2756000000004</v>
      </c>
      <c r="F10" s="121">
        <f t="shared" si="1"/>
        <v>0.92961501403768609</v>
      </c>
      <c r="G10" s="121">
        <f t="shared" si="2"/>
        <v>2985.2500119728793</v>
      </c>
      <c r="H10" s="122">
        <v>2985.2500119728793</v>
      </c>
      <c r="I10" s="123">
        <f t="shared" si="3"/>
        <v>0</v>
      </c>
      <c r="J10" s="115" t="s">
        <v>2050</v>
      </c>
      <c r="K10" s="115" t="s">
        <v>2051</v>
      </c>
    </row>
    <row r="11" spans="1:11" x14ac:dyDescent="0.35">
      <c r="A11" s="119" t="str">
        <f>Settings!$B$3&amp;".mit.efc."&amp;C11</f>
        <v>egy.mit.efc.bio</v>
      </c>
      <c r="B11" s="115" t="s">
        <v>68</v>
      </c>
      <c r="C11" s="115" t="s">
        <v>67</v>
      </c>
      <c r="D11" s="120">
        <v>0</v>
      </c>
      <c r="E11" s="121">
        <f t="shared" si="0"/>
        <v>0</v>
      </c>
      <c r="F11" s="121">
        <f t="shared" si="1"/>
        <v>0.92961501403768609</v>
      </c>
      <c r="G11" s="121">
        <f t="shared" si="2"/>
        <v>0</v>
      </c>
      <c r="H11" s="122">
        <v>0</v>
      </c>
      <c r="I11" s="123">
        <f t="shared" si="3"/>
        <v>0</v>
      </c>
      <c r="K11" s="115" t="s">
        <v>2052</v>
      </c>
    </row>
    <row r="12" spans="1:11" x14ac:dyDescent="0.35">
      <c r="A12" s="119" t="str">
        <f>Settings!$B$3&amp;".mit.efc."&amp;C12</f>
        <v>egy.mit.efc.ren</v>
      </c>
      <c r="B12" s="115" t="s">
        <v>70</v>
      </c>
      <c r="C12" s="115" t="s">
        <v>69</v>
      </c>
      <c r="D12" s="120">
        <v>0</v>
      </c>
      <c r="E12" s="121">
        <f t="shared" si="0"/>
        <v>0</v>
      </c>
      <c r="F12" s="121">
        <f t="shared" si="1"/>
        <v>0.92961501403768609</v>
      </c>
      <c r="G12" s="121">
        <f t="shared" si="2"/>
        <v>0</v>
      </c>
      <c r="H12" s="122">
        <v>0</v>
      </c>
      <c r="I12" s="123">
        <f t="shared" si="3"/>
        <v>0</v>
      </c>
      <c r="K12" s="115" t="s">
        <v>2053</v>
      </c>
    </row>
    <row r="16" spans="1:11" ht="13.9" x14ac:dyDescent="0.4">
      <c r="A16" s="124" t="s">
        <v>125</v>
      </c>
    </row>
    <row r="17" spans="1:11" x14ac:dyDescent="0.35">
      <c r="A17" s="115" t="s">
        <v>2054</v>
      </c>
      <c r="D17" s="117">
        <v>41868</v>
      </c>
      <c r="K17" s="115" t="s">
        <v>2055</v>
      </c>
    </row>
    <row r="18" spans="1:11" x14ac:dyDescent="0.35">
      <c r="A18" s="115" t="s">
        <v>2056</v>
      </c>
      <c r="D18" s="115" t="str">
        <f>INDEX(MTInputs!$F$8:$F$415,MATCH("EmissionsFactCO2",MTInputs!$H$8:$H$415,0))</f>
        <v>IIASA*</v>
      </c>
      <c r="K18" s="127" t="s">
        <v>2057</v>
      </c>
    </row>
    <row r="19" spans="1:11" x14ac:dyDescent="0.35">
      <c r="A19" s="115" t="s">
        <v>2058</v>
      </c>
      <c r="D19" s="115" t="str">
        <f>INDEX(MTInputs!$F$8:$F$415,MATCH("EFsAdjustmentNonAnnexI",MTInputs!$H$8:$H$415,0))</f>
        <v>Yes*</v>
      </c>
      <c r="K19" s="115" t="s">
        <v>2059</v>
      </c>
    </row>
    <row r="20" spans="1:11" x14ac:dyDescent="0.35">
      <c r="A20" s="115" t="s">
        <v>2060</v>
      </c>
      <c r="D20" s="125">
        <v>0.92961501403768609</v>
      </c>
      <c r="K20" s="115" t="s">
        <v>2061</v>
      </c>
    </row>
    <row r="21" spans="1:11" x14ac:dyDescent="0.35">
      <c r="A21" s="115" t="s">
        <v>2062</v>
      </c>
      <c r="D21" s="126">
        <f>IF(LEFT(D19,3)="Yes",D20,1)</f>
        <v>0.92961501403768609</v>
      </c>
      <c r="K21" s="115" t="s">
        <v>2063</v>
      </c>
    </row>
    <row r="23" spans="1:11" x14ac:dyDescent="0.35">
      <c r="A23" s="115" t="s">
        <v>2064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920"/>
  <sheetViews>
    <sheetView zoomScaleNormal="100" workbookViewId="0">
      <pane xSplit="5" ySplit="5" topLeftCell="F1895" activePane="bottomRight" state="frozen"/>
      <selection pane="topRight" activeCell="F1" sqref="F1"/>
      <selection pane="bottomLeft" activeCell="A6" sqref="A6"/>
      <selection pane="bottomRight" activeCell="A1909" sqref="A1909:XFD1909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1485</v>
      </c>
    </row>
    <row r="584" spans="1:35" x14ac:dyDescent="0.45">
      <c r="A584" t="s">
        <v>1694</v>
      </c>
      <c r="D584" s="92">
        <f>SUMPRODUCT(MAX((I587:I1378="same")    *F587:F1378))</f>
        <v>2.1940924958231562</v>
      </c>
    </row>
    <row r="585" spans="1:35" x14ac:dyDescent="0.45">
      <c r="A585" t="s">
        <v>1695</v>
      </c>
      <c r="D585" s="92">
        <f>SUMPRODUCT(MAX((I587:I1378="changed")*F587:F1378))</f>
        <v>7402.012510962054</v>
      </c>
    </row>
    <row r="586" spans="1:35" x14ac:dyDescent="0.45">
      <c r="A586" s="50" t="s">
        <v>1486</v>
      </c>
      <c r="B586" s="50" t="s">
        <v>1487</v>
      </c>
      <c r="C586" s="50" t="s">
        <v>1488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1489</v>
      </c>
      <c r="J586" s="50" t="s">
        <v>1490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1491</v>
      </c>
      <c r="B587" t="s">
        <v>1406</v>
      </c>
      <c r="C587" t="s">
        <v>1407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1491</v>
      </c>
      <c r="B588" t="s">
        <v>1406</v>
      </c>
      <c r="C588" t="s">
        <v>1407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1491</v>
      </c>
      <c r="B589" t="s">
        <v>1406</v>
      </c>
      <c r="C589" t="s">
        <v>1407</v>
      </c>
      <c r="D589">
        <v>1</v>
      </c>
      <c r="E589" t="s">
        <v>1161</v>
      </c>
      <c r="F589">
        <f>MAX(MAX(L589:AE589),-MIN(L589:AE589))</f>
        <v>0</v>
      </c>
      <c r="I589" t="s">
        <v>1492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1493</v>
      </c>
      <c r="B591" t="s">
        <v>1406</v>
      </c>
      <c r="C591" t="s">
        <v>1408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1493</v>
      </c>
      <c r="B592" t="s">
        <v>1406</v>
      </c>
      <c r="C592" t="s">
        <v>1408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1493</v>
      </c>
      <c r="B593" t="s">
        <v>1406</v>
      </c>
      <c r="C593" t="s">
        <v>1408</v>
      </c>
      <c r="D593">
        <v>1</v>
      </c>
      <c r="E593" t="s">
        <v>1161</v>
      </c>
      <c r="F593">
        <f>MAX(MAX(L593:AE593),-MIN(L593:AE593))</f>
        <v>0</v>
      </c>
      <c r="I593" t="s">
        <v>1492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1494</v>
      </c>
      <c r="B595" t="s">
        <v>1417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1494</v>
      </c>
      <c r="B596" t="s">
        <v>1417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6058.5984688896006</v>
      </c>
      <c r="S596">
        <f>IF(ISBLANK(Mitigation_Industry!S276),"",Mitigation_Industry!S276)</f>
        <v>6325.1768015207426</v>
      </c>
      <c r="T596">
        <f>IF(ISBLANK(Mitigation_Industry!T276),"",Mitigation_Industry!T276)</f>
        <v>6603.4845807876563</v>
      </c>
      <c r="U596">
        <f>IF(ISBLANK(Mitigation_Industry!U276),"",Mitigation_Industry!U276)</f>
        <v>6894.0379023423138</v>
      </c>
      <c r="V596">
        <f>IF(ISBLANK(Mitigation_Industry!V276),"",Mitigation_Industry!V276)</f>
        <v>7197.3755700453748</v>
      </c>
      <c r="W596">
        <f>IF(ISBLANK(Mitigation_Industry!W276),"",Mitigation_Industry!W276)</f>
        <v>7514.0600951273718</v>
      </c>
      <c r="X596">
        <f>IF(ISBLANK(Mitigation_Industry!X276),"",Mitigation_Industry!X276)</f>
        <v>7844.6787393129762</v>
      </c>
      <c r="Y596">
        <f>IF(ISBLANK(Mitigation_Industry!Y276),"",Mitigation_Industry!Y276)</f>
        <v>8189.8446038427483</v>
      </c>
      <c r="Z596">
        <f>IF(ISBLANK(Mitigation_Industry!Z276),"",Mitigation_Industry!Z276)</f>
        <v>8550.1977664118276</v>
      </c>
      <c r="AA596">
        <f>IF(ISBLANK(Mitigation_Industry!AA276),"",Mitigation_Industry!AA276)</f>
        <v>8926.4064681339478</v>
      </c>
      <c r="AB596">
        <f>IF(ISBLANK(Mitigation_Industry!AB276),"",Mitigation_Industry!AB276)</f>
        <v>9319.1683527318437</v>
      </c>
      <c r="AC596">
        <f>IF(ISBLANK(Mitigation_Industry!AC276),"",Mitigation_Industry!AC276)</f>
        <v>9729.2117602520448</v>
      </c>
      <c r="AD596">
        <f>IF(ISBLANK(Mitigation_Industry!AD276),"",Mitigation_Industry!AD276)</f>
        <v>10157.297077703133</v>
      </c>
      <c r="AE596">
        <f>IF(ISBLANK(Mitigation_Industry!AE276),"",Mitigation_Industry!AE276)</f>
        <v>10604.218149122071</v>
      </c>
    </row>
    <row r="597" spans="1:31" x14ac:dyDescent="0.45">
      <c r="A597" t="s">
        <v>1494</v>
      </c>
      <c r="B597" t="s">
        <v>1417</v>
      </c>
      <c r="C597" t="s">
        <v>1350</v>
      </c>
      <c r="D597">
        <v>1</v>
      </c>
      <c r="E597" t="s">
        <v>1161</v>
      </c>
      <c r="F597">
        <f>MAX(MAX(L597:AE597),-MIN(L597:AE597))</f>
        <v>3.637978807091713E-12</v>
      </c>
      <c r="I597" t="s">
        <v>1492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-9.0949470177292824E-13</v>
      </c>
      <c r="Q597">
        <f t="shared" si="146"/>
        <v>0</v>
      </c>
      <c r="R597">
        <f t="shared" si="146"/>
        <v>-9.0949470177292824E-13</v>
      </c>
      <c r="S597">
        <f t="shared" si="146"/>
        <v>-1.8189894035458565E-12</v>
      </c>
      <c r="T597">
        <f t="shared" si="146"/>
        <v>-9.0949470177292824E-13</v>
      </c>
      <c r="U597">
        <f t="shared" si="146"/>
        <v>-9.0949470177292824E-13</v>
      </c>
      <c r="V597">
        <f t="shared" si="146"/>
        <v>-1.8189894035458565E-12</v>
      </c>
      <c r="W597">
        <f t="shared" si="146"/>
        <v>-1.8189894035458565E-12</v>
      </c>
      <c r="X597">
        <f t="shared" si="146"/>
        <v>-1.8189894035458565E-12</v>
      </c>
      <c r="Y597">
        <f t="shared" si="146"/>
        <v>-9.0949470177292824E-13</v>
      </c>
      <c r="Z597">
        <f t="shared" si="146"/>
        <v>-3.637978807091713E-12</v>
      </c>
      <c r="AA597">
        <f t="shared" si="146"/>
        <v>-3.637978807091713E-12</v>
      </c>
      <c r="AB597">
        <f t="shared" si="146"/>
        <v>-1.8189894035458565E-12</v>
      </c>
      <c r="AC597">
        <f t="shared" si="146"/>
        <v>-1.8189894035458565E-12</v>
      </c>
      <c r="AD597">
        <f t="shared" si="146"/>
        <v>-3.637978807091713E-12</v>
      </c>
      <c r="AE597">
        <f t="shared" si="146"/>
        <v>-3.637978807091713E-12</v>
      </c>
    </row>
    <row r="599" spans="1:31" x14ac:dyDescent="0.45">
      <c r="A599" t="s">
        <v>1495</v>
      </c>
      <c r="B599" t="s">
        <v>1417</v>
      </c>
      <c r="C599" t="s">
        <v>1355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1495</v>
      </c>
      <c r="B600" t="s">
        <v>1417</v>
      </c>
      <c r="C600" t="s">
        <v>1355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5461.8872832000006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6488.5062610280602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7072.0565601198796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7708.0890389108217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8770.981979041735</v>
      </c>
      <c r="AC600">
        <f>IF(ISBLANK(Mitigation_Industry!AC277),"",Mitigation_Industry!AC277)</f>
        <v>9156.9051861195712</v>
      </c>
      <c r="AD600">
        <f>IF(ISBLANK(Mitigation_Industry!AD277),"",Mitigation_Industry!AD277)</f>
        <v>9559.809014308832</v>
      </c>
      <c r="AE600">
        <f>IF(ISBLANK(Mitigation_Industry!AE277),"",Mitigation_Industry!AE277)</f>
        <v>9980.4406109384199</v>
      </c>
    </row>
    <row r="601" spans="1:31" x14ac:dyDescent="0.45">
      <c r="A601" t="s">
        <v>1495</v>
      </c>
      <c r="B601" t="s">
        <v>1417</v>
      </c>
      <c r="C601" t="s">
        <v>1355</v>
      </c>
      <c r="D601">
        <v>1</v>
      </c>
      <c r="E601" t="s">
        <v>1161</v>
      </c>
      <c r="F601">
        <f>MAX(MAX(L601:AE601),-MIN(L601:AE601))</f>
        <v>1.8189894035458565E-12</v>
      </c>
      <c r="I601" t="s">
        <v>1492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9.0949470177292824E-13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9.0949470177292824E-13</v>
      </c>
      <c r="V601">
        <f t="shared" si="147"/>
        <v>0</v>
      </c>
      <c r="W601">
        <f t="shared" si="147"/>
        <v>9.0949470177292824E-13</v>
      </c>
      <c r="X601">
        <f t="shared" si="147"/>
        <v>0</v>
      </c>
      <c r="Y601">
        <f t="shared" si="147"/>
        <v>9.0949470177292824E-13</v>
      </c>
      <c r="Z601">
        <f t="shared" si="147"/>
        <v>0</v>
      </c>
      <c r="AA601">
        <f t="shared" si="147"/>
        <v>0</v>
      </c>
      <c r="AB601">
        <f t="shared" si="147"/>
        <v>1.8189894035458565E-12</v>
      </c>
      <c r="AC601">
        <f t="shared" si="147"/>
        <v>1.8189894035458565E-12</v>
      </c>
      <c r="AD601">
        <f t="shared" si="147"/>
        <v>1.8189894035458565E-12</v>
      </c>
      <c r="AE601">
        <f t="shared" si="147"/>
        <v>0</v>
      </c>
    </row>
    <row r="603" spans="1:31" x14ac:dyDescent="0.45">
      <c r="A603" t="s">
        <v>1496</v>
      </c>
      <c r="B603" t="s">
        <v>1417</v>
      </c>
      <c r="C603" t="s">
        <v>1359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1496</v>
      </c>
      <c r="B604" t="s">
        <v>1417</v>
      </c>
      <c r="C604" t="s">
        <v>1359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1496</v>
      </c>
      <c r="B605" t="s">
        <v>1417</v>
      </c>
      <c r="C605" t="s">
        <v>1359</v>
      </c>
      <c r="D605">
        <v>1</v>
      </c>
      <c r="E605" t="s">
        <v>1161</v>
      </c>
      <c r="F605">
        <f>MAX(MAX(L605:AE605),-MIN(L605:AE605))</f>
        <v>0</v>
      </c>
      <c r="I605" t="s">
        <v>1492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1497</v>
      </c>
      <c r="B607" t="s">
        <v>1417</v>
      </c>
      <c r="C607" t="s">
        <v>1363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1497</v>
      </c>
      <c r="B608" t="s">
        <v>1417</v>
      </c>
      <c r="C608" t="s">
        <v>1363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60753.588245941261</v>
      </c>
      <c r="U608">
        <f>IF(ISBLANK(Mitigation_Industry!U279),"",Mitigation_Industry!U279)</f>
        <v>62758.456658057316</v>
      </c>
      <c r="V608">
        <f>IF(ISBLANK(Mitigation_Industry!V279),"",Mitigation_Industry!V279)</f>
        <v>64829.485727773194</v>
      </c>
      <c r="W608">
        <f>IF(ISBLANK(Mitigation_Industry!W279),"",Mitigation_Industry!W279)</f>
        <v>66968.858756789705</v>
      </c>
      <c r="X608">
        <f>IF(ISBLANK(Mitigation_Industry!X279),"",Mitigation_Industry!X279)</f>
        <v>69178.831095763744</v>
      </c>
      <c r="Y608">
        <f>IF(ISBLANK(Mitigation_Industry!Y279),"",Mitigation_Industry!Y279)</f>
        <v>71461.732521923957</v>
      </c>
      <c r="Z608">
        <f>IF(ISBLANK(Mitigation_Industry!Z279),"",Mitigation_Industry!Z279)</f>
        <v>73819.969695147433</v>
      </c>
      <c r="AA608">
        <f>IF(ISBLANK(Mitigation_Industry!AA279),"",Mitigation_Industry!AA279)</f>
        <v>76256.028695087298</v>
      </c>
      <c r="AB608">
        <f>IF(ISBLANK(Mitigation_Industry!AB279),"",Mitigation_Industry!AB279)</f>
        <v>78772.477642025158</v>
      </c>
      <c r="AC608">
        <f>IF(ISBLANK(Mitigation_Industry!AC279),"",Mitigation_Industry!AC279)</f>
        <v>81371.969404211981</v>
      </c>
      <c r="AD608">
        <f>IF(ISBLANK(Mitigation_Industry!AD279),"",Mitigation_Industry!AD279)</f>
        <v>84057.244394550973</v>
      </c>
      <c r="AE608">
        <f>IF(ISBLANK(Mitigation_Industry!AE279),"",Mitigation_Industry!AE279)</f>
        <v>86831.133459571138</v>
      </c>
    </row>
    <row r="609" spans="1:31" x14ac:dyDescent="0.45">
      <c r="A609" t="s">
        <v>1497</v>
      </c>
      <c r="B609" t="s">
        <v>1417</v>
      </c>
      <c r="C609" t="s">
        <v>1363</v>
      </c>
      <c r="D609">
        <v>1</v>
      </c>
      <c r="E609" t="s">
        <v>1161</v>
      </c>
      <c r="F609">
        <f>MAX(MAX(L609:AE609),-MIN(L609:AE609))</f>
        <v>5.8207660913467407E-11</v>
      </c>
      <c r="I609" t="s">
        <v>1492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-7.2759576141834259E-12</v>
      </c>
      <c r="U609">
        <f t="shared" si="149"/>
        <v>-7.2759576141834259E-12</v>
      </c>
      <c r="V609">
        <f t="shared" si="149"/>
        <v>-1.4551915228366852E-11</v>
      </c>
      <c r="W609">
        <f t="shared" si="149"/>
        <v>-1.4551915228366852E-11</v>
      </c>
      <c r="X609">
        <f t="shared" si="149"/>
        <v>-2.9103830456733704E-11</v>
      </c>
      <c r="Y609">
        <f t="shared" si="149"/>
        <v>-1.4551915228366852E-11</v>
      </c>
      <c r="Z609">
        <f t="shared" si="149"/>
        <v>-2.9103830456733704E-11</v>
      </c>
      <c r="AA609">
        <f t="shared" si="149"/>
        <v>-2.9103830456733704E-11</v>
      </c>
      <c r="AB609">
        <f t="shared" si="149"/>
        <v>-4.3655745685100555E-11</v>
      </c>
      <c r="AC609">
        <f t="shared" si="149"/>
        <v>-4.3655745685100555E-11</v>
      </c>
      <c r="AD609">
        <f t="shared" si="149"/>
        <v>-4.3655745685100555E-11</v>
      </c>
      <c r="AE609">
        <f t="shared" si="149"/>
        <v>-5.8207660913467407E-11</v>
      </c>
    </row>
    <row r="611" spans="1:31" x14ac:dyDescent="0.45">
      <c r="A611" t="s">
        <v>1498</v>
      </c>
      <c r="B611" t="s">
        <v>1417</v>
      </c>
      <c r="C611" t="s">
        <v>1425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1498</v>
      </c>
      <c r="B612" t="s">
        <v>1417</v>
      </c>
      <c r="C612" t="s">
        <v>1425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1905.4208266800001</v>
      </c>
      <c r="R612">
        <f>IF(ISBLANK(Mitigation_Industry!R280),"",Mitigation_Industry!R280)</f>
        <v>1947.3400848669601</v>
      </c>
      <c r="S612">
        <f>IF(ISBLANK(Mitigation_Industry!S280),"",Mitigation_Industry!S280)</f>
        <v>1990.1815667340331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2124.4444852267002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2420.7545768274535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1498</v>
      </c>
      <c r="B613" t="s">
        <v>1417</v>
      </c>
      <c r="C613" t="s">
        <v>1425</v>
      </c>
      <c r="D613">
        <v>1</v>
      </c>
      <c r="E613" t="s">
        <v>1161</v>
      </c>
      <c r="F613">
        <f>MAX(MAX(L613:AE613),-MIN(L613:AE613))</f>
        <v>4.5474735088646412E-13</v>
      </c>
      <c r="I613" t="s">
        <v>1492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2.2737367544323206E-13</v>
      </c>
      <c r="R613">
        <f t="shared" si="150"/>
        <v>2.2737367544323206E-13</v>
      </c>
      <c r="S613">
        <f t="shared" si="150"/>
        <v>2.2737367544323206E-13</v>
      </c>
      <c r="T613">
        <f t="shared" si="150"/>
        <v>0</v>
      </c>
      <c r="U613">
        <f t="shared" si="150"/>
        <v>0</v>
      </c>
      <c r="V613">
        <f t="shared" si="150"/>
        <v>4.5474735088646412E-13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-4.5474735088646412E-13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1499</v>
      </c>
      <c r="B615" t="s">
        <v>1417</v>
      </c>
      <c r="C615" t="s">
        <v>1373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1499</v>
      </c>
      <c r="B616" t="s">
        <v>1417</v>
      </c>
      <c r="C616" t="s">
        <v>1373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3054.6511135168003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3405.7761002379407</v>
      </c>
      <c r="X616">
        <f>IF(ISBLANK(Mitigation_Industry!X281),"",Mitigation_Industry!X281)</f>
        <v>3480.7031744431756</v>
      </c>
      <c r="Y616">
        <f>IF(ISBLANK(Mitigation_Industry!Y281),"",Mitigation_Industry!Y281)</f>
        <v>3557.2786442809256</v>
      </c>
      <c r="Z616">
        <f>IF(ISBLANK(Mitigation_Industry!Z281),"",Mitigation_Industry!Z281)</f>
        <v>3635.5387744551062</v>
      </c>
      <c r="AA616">
        <f>IF(ISBLANK(Mitigation_Industry!AA281),"",Mitigation_Industry!AA281)</f>
        <v>3715.5206274931184</v>
      </c>
      <c r="AB616">
        <f>IF(ISBLANK(Mitigation_Industry!AB281),"",Mitigation_Industry!AB281)</f>
        <v>3797.2620812979667</v>
      </c>
      <c r="AC616">
        <f>IF(ISBLANK(Mitigation_Industry!AC281),"",Mitigation_Industry!AC281)</f>
        <v>3880.8018470865222</v>
      </c>
      <c r="AD616">
        <f>IF(ISBLANK(Mitigation_Industry!AD281),"",Mitigation_Industry!AD281)</f>
        <v>3966.1794877224256</v>
      </c>
      <c r="AE616">
        <f>IF(ISBLANK(Mitigation_Industry!AE281),"",Mitigation_Industry!AE281)</f>
        <v>4053.4354364523192</v>
      </c>
    </row>
    <row r="617" spans="1:31" x14ac:dyDescent="0.45">
      <c r="A617" t="s">
        <v>1499</v>
      </c>
      <c r="B617" t="s">
        <v>1417</v>
      </c>
      <c r="C617" t="s">
        <v>1373</v>
      </c>
      <c r="D617">
        <v>1</v>
      </c>
      <c r="E617" t="s">
        <v>1161</v>
      </c>
      <c r="F617">
        <f>MAX(MAX(L617:AE617),-MIN(L617:AE617))</f>
        <v>1.3642420526593924E-12</v>
      </c>
      <c r="I617" t="s">
        <v>1492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4.5474735088646412E-13</v>
      </c>
      <c r="S617">
        <f t="shared" si="151"/>
        <v>0</v>
      </c>
      <c r="T617">
        <f t="shared" si="151"/>
        <v>-4.5474735088646412E-13</v>
      </c>
      <c r="U617">
        <f t="shared" si="151"/>
        <v>0</v>
      </c>
      <c r="V617">
        <f t="shared" si="151"/>
        <v>0</v>
      </c>
      <c r="W617">
        <f t="shared" si="151"/>
        <v>-4.5474735088646412E-13</v>
      </c>
      <c r="X617">
        <f t="shared" si="151"/>
        <v>-4.5474735088646412E-13</v>
      </c>
      <c r="Y617">
        <f t="shared" si="151"/>
        <v>-4.5474735088646412E-13</v>
      </c>
      <c r="Z617">
        <f t="shared" si="151"/>
        <v>-4.5474735088646412E-13</v>
      </c>
      <c r="AA617">
        <f t="shared" si="151"/>
        <v>-9.0949470177292824E-13</v>
      </c>
      <c r="AB617">
        <f t="shared" si="151"/>
        <v>-1.3642420526593924E-12</v>
      </c>
      <c r="AC617">
        <f t="shared" si="151"/>
        <v>-1.3642420526593924E-12</v>
      </c>
      <c r="AD617">
        <f t="shared" si="151"/>
        <v>-1.3642420526593924E-12</v>
      </c>
      <c r="AE617">
        <f t="shared" si="151"/>
        <v>-1.3642420526593924E-12</v>
      </c>
    </row>
    <row r="619" spans="1:31" x14ac:dyDescent="0.45">
      <c r="A619" t="s">
        <v>1500</v>
      </c>
      <c r="B619" t="s">
        <v>1417</v>
      </c>
      <c r="C619" t="s">
        <v>1378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1500</v>
      </c>
      <c r="B620" t="s">
        <v>1417</v>
      </c>
      <c r="C620" t="s">
        <v>1378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626.69039999999995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683.68590292510305</v>
      </c>
      <c r="U620">
        <f>IF(ISBLANK(Mitigation_Industry!U282),"",Mitigation_Industry!U282)</f>
        <v>698.72699278945538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729.80916433670154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813.69901742099285</v>
      </c>
      <c r="AC620">
        <f>IF(ISBLANK(Mitigation_Industry!AC282),"",Mitigation_Industry!AC282)</f>
        <v>831.60039580425473</v>
      </c>
      <c r="AD620">
        <f>IF(ISBLANK(Mitigation_Industry!AD282),"",Mitigation_Industry!AD282)</f>
        <v>849.89560451194836</v>
      </c>
      <c r="AE620">
        <f>IF(ISBLANK(Mitigation_Industry!AE282),"",Mitigation_Industry!AE282)</f>
        <v>868.59330781121128</v>
      </c>
    </row>
    <row r="621" spans="1:31" x14ac:dyDescent="0.45">
      <c r="A621" t="s">
        <v>1500</v>
      </c>
      <c r="B621" t="s">
        <v>1417</v>
      </c>
      <c r="C621" t="s">
        <v>1378</v>
      </c>
      <c r="D621">
        <v>1</v>
      </c>
      <c r="E621" t="s">
        <v>1161</v>
      </c>
      <c r="F621">
        <f>MAX(MAX(L621:AE621),-MIN(L621:AE621))</f>
        <v>1.1368683772161603E-13</v>
      </c>
      <c r="I621" t="s">
        <v>1492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-1.1368683772161603E-13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-1.1368683772161603E-13</v>
      </c>
      <c r="U621">
        <f t="shared" si="152"/>
        <v>-1.1368683772161603E-13</v>
      </c>
      <c r="V621">
        <f t="shared" si="152"/>
        <v>0</v>
      </c>
      <c r="W621">
        <f t="shared" si="152"/>
        <v>-1.1368683772161603E-13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-1.1368683772161603E-13</v>
      </c>
      <c r="AC621">
        <f t="shared" si="152"/>
        <v>-1.1368683772161603E-13</v>
      </c>
      <c r="AD621">
        <f t="shared" si="152"/>
        <v>-1.1368683772161603E-13</v>
      </c>
      <c r="AE621">
        <f t="shared" si="152"/>
        <v>-1.1368683772161603E-13</v>
      </c>
    </row>
    <row r="623" spans="1:31" x14ac:dyDescent="0.45">
      <c r="A623" t="s">
        <v>1501</v>
      </c>
      <c r="B623" t="s">
        <v>1417</v>
      </c>
      <c r="C623" t="s">
        <v>1383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1501</v>
      </c>
      <c r="B624" t="s">
        <v>1417</v>
      </c>
      <c r="C624" t="s">
        <v>1383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352.27241249999992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</v>
      </c>
      <c r="T624">
        <f>IF(ISBLANK(Mitigation_Industry!T283),"",Mitigation_Industry!T283)</f>
        <v>413.65284202856708</v>
      </c>
      <c r="U624">
        <f>IF(ISBLANK(Mitigation_Industry!U283),"",Mitigation_Industry!U283)</f>
        <v>436.40374834013824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601.73216924272583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669.74294767138485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1501</v>
      </c>
      <c r="B625" t="s">
        <v>1417</v>
      </c>
      <c r="C625" t="s">
        <v>1383</v>
      </c>
      <c r="D625">
        <v>1</v>
      </c>
      <c r="E625" t="s">
        <v>1161</v>
      </c>
      <c r="F625">
        <f>MAX(MAX(L625:AE625),-MIN(L625:AE625))</f>
        <v>1.1368683772161603E-13</v>
      </c>
      <c r="I625" t="s">
        <v>1492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-5.6843418860808015E-14</v>
      </c>
      <c r="R625">
        <f t="shared" si="153"/>
        <v>0</v>
      </c>
      <c r="S625">
        <f t="shared" si="153"/>
        <v>-5.6843418860808015E-14</v>
      </c>
      <c r="T625">
        <f t="shared" si="153"/>
        <v>-5.6843418860808015E-14</v>
      </c>
      <c r="U625">
        <f t="shared" si="153"/>
        <v>-5.6843418860808015E-14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-1.1368683772161603E-13</v>
      </c>
      <c r="AB625">
        <f t="shared" si="153"/>
        <v>0</v>
      </c>
      <c r="AC625">
        <f t="shared" si="153"/>
        <v>-1.1368683772161603E-13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1502</v>
      </c>
      <c r="B627" t="s">
        <v>1430</v>
      </c>
      <c r="C627" t="s">
        <v>1433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1502</v>
      </c>
      <c r="B628" t="s">
        <v>1430</v>
      </c>
      <c r="C628" t="s">
        <v>1433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1502</v>
      </c>
      <c r="B629" t="s">
        <v>1430</v>
      </c>
      <c r="C629" t="s">
        <v>1433</v>
      </c>
      <c r="D629">
        <v>1</v>
      </c>
      <c r="E629" t="s">
        <v>1161</v>
      </c>
      <c r="F629">
        <f>MAX(MAX(L629:AE629),-MIN(L629:AE629))</f>
        <v>0</v>
      </c>
      <c r="I629" t="s">
        <v>1492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1503</v>
      </c>
      <c r="B631" t="s">
        <v>1430</v>
      </c>
      <c r="C631" t="s">
        <v>1436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1503</v>
      </c>
      <c r="B632" t="s">
        <v>1430</v>
      </c>
      <c r="C632" t="s">
        <v>1436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1503</v>
      </c>
      <c r="B633" t="s">
        <v>1430</v>
      </c>
      <c r="C633" t="s">
        <v>1436</v>
      </c>
      <c r="D633">
        <v>1</v>
      </c>
      <c r="E633" t="s">
        <v>1161</v>
      </c>
      <c r="F633">
        <f>MAX(MAX(L633:AE633),-MIN(L633:AE633))</f>
        <v>0</v>
      </c>
      <c r="I633" t="s">
        <v>1492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1504</v>
      </c>
      <c r="B635" t="s">
        <v>1430</v>
      </c>
      <c r="C635" t="s">
        <v>1439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1504</v>
      </c>
      <c r="B636" t="s">
        <v>1430</v>
      </c>
      <c r="C636" t="s">
        <v>1439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1504</v>
      </c>
      <c r="B637" t="s">
        <v>1430</v>
      </c>
      <c r="C637" t="s">
        <v>1439</v>
      </c>
      <c r="D637">
        <v>1</v>
      </c>
      <c r="E637" t="s">
        <v>1161</v>
      </c>
      <c r="F637">
        <f>MAX(MAX(L637:AE637),-MIN(L637:AE637))</f>
        <v>0</v>
      </c>
      <c r="I637" t="s">
        <v>1492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1505</v>
      </c>
      <c r="B639" t="s">
        <v>1430</v>
      </c>
      <c r="C639" t="s">
        <v>1442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1505</v>
      </c>
      <c r="B640" t="s">
        <v>1430</v>
      </c>
      <c r="C640" t="s">
        <v>1442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1505</v>
      </c>
      <c r="B641" t="s">
        <v>1430</v>
      </c>
      <c r="C641" t="s">
        <v>1442</v>
      </c>
      <c r="D641">
        <v>1</v>
      </c>
      <c r="E641" t="s">
        <v>1161</v>
      </c>
      <c r="F641">
        <f>MAX(MAX(L641:AE641),-MIN(L641:AE641))</f>
        <v>0</v>
      </c>
      <c r="I641" t="s">
        <v>1492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1506</v>
      </c>
      <c r="B643" t="s">
        <v>1430</v>
      </c>
      <c r="C643" t="s">
        <v>1445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1506</v>
      </c>
      <c r="B644" t="s">
        <v>1430</v>
      </c>
      <c r="C644" t="s">
        <v>1445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1506</v>
      </c>
      <c r="B645" t="s">
        <v>1430</v>
      </c>
      <c r="C645" t="s">
        <v>1445</v>
      </c>
      <c r="D645">
        <v>1</v>
      </c>
      <c r="E645" t="s">
        <v>1161</v>
      </c>
      <c r="F645">
        <f>MAX(MAX(L645:AE645),-MIN(L645:AE645))</f>
        <v>0</v>
      </c>
      <c r="I645" t="s">
        <v>1492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1507</v>
      </c>
      <c r="B647" t="s">
        <v>1430</v>
      </c>
      <c r="C647" t="s">
        <v>1448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1507</v>
      </c>
      <c r="B648" t="s">
        <v>1430</v>
      </c>
      <c r="C648" t="s">
        <v>1448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1507</v>
      </c>
      <c r="B649" t="s">
        <v>1430</v>
      </c>
      <c r="C649" t="s">
        <v>1448</v>
      </c>
      <c r="D649">
        <v>1</v>
      </c>
      <c r="E649" t="s">
        <v>1161</v>
      </c>
      <c r="F649">
        <f>MAX(MAX(L649:AE649),-MIN(L649:AE649))</f>
        <v>0</v>
      </c>
      <c r="I649" t="s">
        <v>1492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1508</v>
      </c>
      <c r="B651" t="s">
        <v>1430</v>
      </c>
      <c r="C651" t="s">
        <v>1451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1508</v>
      </c>
      <c r="B652" t="s">
        <v>1430</v>
      </c>
      <c r="C652" t="s">
        <v>1451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1508</v>
      </c>
      <c r="B653" t="s">
        <v>1430</v>
      </c>
      <c r="C653" t="s">
        <v>1451</v>
      </c>
      <c r="D653">
        <v>1</v>
      </c>
      <c r="E653" t="s">
        <v>1161</v>
      </c>
      <c r="F653">
        <f>MAX(MAX(L653:AE653),-MIN(L653:AE653))</f>
        <v>0</v>
      </c>
      <c r="I653" t="s">
        <v>1492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1509</v>
      </c>
      <c r="B655" t="s">
        <v>1430</v>
      </c>
      <c r="C655" t="s">
        <v>1454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1509</v>
      </c>
      <c r="B656" t="s">
        <v>1430</v>
      </c>
      <c r="C656" t="s">
        <v>1454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1509</v>
      </c>
      <c r="B657" t="s">
        <v>1430</v>
      </c>
      <c r="C657" t="s">
        <v>1454</v>
      </c>
      <c r="D657">
        <v>1</v>
      </c>
      <c r="E657" t="s">
        <v>1161</v>
      </c>
      <c r="F657">
        <f>MAX(MAX(L657:AE657),-MIN(L657:AE657))</f>
        <v>0</v>
      </c>
      <c r="I657" t="s">
        <v>1492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1510</v>
      </c>
      <c r="B659" t="s">
        <v>1457</v>
      </c>
      <c r="C659" t="s">
        <v>1433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1510</v>
      </c>
      <c r="B660" t="s">
        <v>1457</v>
      </c>
      <c r="C660" t="s">
        <v>1433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1510</v>
      </c>
      <c r="B661" t="s">
        <v>1457</v>
      </c>
      <c r="C661" t="s">
        <v>1433</v>
      </c>
      <c r="D661">
        <v>1</v>
      </c>
      <c r="E661" t="s">
        <v>1161</v>
      </c>
      <c r="F661">
        <f>MAX(MAX(L661:AE661),-MIN(L661:AE661))</f>
        <v>0</v>
      </c>
      <c r="I661" t="s">
        <v>1492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1511</v>
      </c>
      <c r="B663" t="s">
        <v>1457</v>
      </c>
      <c r="C663" t="s">
        <v>1436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1511</v>
      </c>
      <c r="B664" t="s">
        <v>1457</v>
      </c>
      <c r="C664" t="s">
        <v>1436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1511</v>
      </c>
      <c r="B665" t="s">
        <v>1457</v>
      </c>
      <c r="C665" t="s">
        <v>1436</v>
      </c>
      <c r="D665">
        <v>1</v>
      </c>
      <c r="E665" t="s">
        <v>1161</v>
      </c>
      <c r="F665">
        <f>MAX(MAX(L665:AE665),-MIN(L665:AE665))</f>
        <v>0</v>
      </c>
      <c r="I665" t="s">
        <v>1492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1512</v>
      </c>
      <c r="B667" t="s">
        <v>1457</v>
      </c>
      <c r="C667" t="s">
        <v>1439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1512</v>
      </c>
      <c r="B668" t="s">
        <v>1457</v>
      </c>
      <c r="C668" t="s">
        <v>1439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1512</v>
      </c>
      <c r="B669" t="s">
        <v>1457</v>
      </c>
      <c r="C669" t="s">
        <v>1439</v>
      </c>
      <c r="D669">
        <v>1</v>
      </c>
      <c r="E669" t="s">
        <v>1161</v>
      </c>
      <c r="F669">
        <f>MAX(MAX(L669:AE669),-MIN(L669:AE669))</f>
        <v>0</v>
      </c>
      <c r="I669" t="s">
        <v>1492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1513</v>
      </c>
      <c r="B671" t="s">
        <v>1457</v>
      </c>
      <c r="C671" t="s">
        <v>1442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1513</v>
      </c>
      <c r="B672" t="s">
        <v>1457</v>
      </c>
      <c r="C672" t="s">
        <v>1442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1513</v>
      </c>
      <c r="B673" t="s">
        <v>1457</v>
      </c>
      <c r="C673" t="s">
        <v>1442</v>
      </c>
      <c r="D673">
        <v>1</v>
      </c>
      <c r="E673" t="s">
        <v>1161</v>
      </c>
      <c r="F673">
        <f>MAX(MAX(L673:AE673),-MIN(L673:AE673))</f>
        <v>0</v>
      </c>
      <c r="I673" t="s">
        <v>1492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1514</v>
      </c>
      <c r="B675" t="s">
        <v>1457</v>
      </c>
      <c r="C675" t="s">
        <v>1445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1514</v>
      </c>
      <c r="B676" t="s">
        <v>1457</v>
      </c>
      <c r="C676" t="s">
        <v>1445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1514</v>
      </c>
      <c r="B677" t="s">
        <v>1457</v>
      </c>
      <c r="C677" t="s">
        <v>1445</v>
      </c>
      <c r="D677">
        <v>1</v>
      </c>
      <c r="E677" t="s">
        <v>1161</v>
      </c>
      <c r="F677">
        <f>MAX(MAX(L677:AE677),-MIN(L677:AE677))</f>
        <v>0</v>
      </c>
      <c r="I677" t="s">
        <v>1492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1515</v>
      </c>
      <c r="B679" t="s">
        <v>1457</v>
      </c>
      <c r="C679" t="s">
        <v>1448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1515</v>
      </c>
      <c r="B680" t="s">
        <v>1457</v>
      </c>
      <c r="C680" t="s">
        <v>1448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1515</v>
      </c>
      <c r="B681" t="s">
        <v>1457</v>
      </c>
      <c r="C681" t="s">
        <v>1448</v>
      </c>
      <c r="D681">
        <v>1</v>
      </c>
      <c r="E681" t="s">
        <v>1161</v>
      </c>
      <c r="F681">
        <f>MAX(MAX(L681:AE681),-MIN(L681:AE681))</f>
        <v>0</v>
      </c>
      <c r="I681" t="s">
        <v>1492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1516</v>
      </c>
      <c r="B683" t="s">
        <v>1457</v>
      </c>
      <c r="C683" t="s">
        <v>1451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1516</v>
      </c>
      <c r="B684" t="s">
        <v>1457</v>
      </c>
      <c r="C684" t="s">
        <v>1451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1516</v>
      </c>
      <c r="B685" t="s">
        <v>1457</v>
      </c>
      <c r="C685" t="s">
        <v>1451</v>
      </c>
      <c r="D685">
        <v>1</v>
      </c>
      <c r="E685" t="s">
        <v>1161</v>
      </c>
      <c r="F685">
        <f>MAX(MAX(L685:AE685),-MIN(L685:AE685))</f>
        <v>0</v>
      </c>
      <c r="I685" t="s">
        <v>1492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1517</v>
      </c>
      <c r="B687" t="s">
        <v>1457</v>
      </c>
      <c r="C687" t="s">
        <v>1454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1517</v>
      </c>
      <c r="B688" t="s">
        <v>1457</v>
      </c>
      <c r="C688" t="s">
        <v>1454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1517</v>
      </c>
      <c r="B689" t="s">
        <v>1457</v>
      </c>
      <c r="C689" t="s">
        <v>1454</v>
      </c>
      <c r="D689">
        <v>1</v>
      </c>
      <c r="E689" t="s">
        <v>1161</v>
      </c>
      <c r="F689">
        <f>MAX(MAX(L689:AE689),-MIN(L689:AE689))</f>
        <v>0</v>
      </c>
      <c r="I689" t="s">
        <v>1492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1518</v>
      </c>
      <c r="B691" t="s">
        <v>1460</v>
      </c>
      <c r="C691" t="s">
        <v>1433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1518</v>
      </c>
      <c r="B692" t="s">
        <v>1460</v>
      </c>
      <c r="C692" t="s">
        <v>1433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1518</v>
      </c>
      <c r="B693" t="s">
        <v>1460</v>
      </c>
      <c r="C693" t="s">
        <v>1433</v>
      </c>
      <c r="D693">
        <v>1</v>
      </c>
      <c r="E693" t="s">
        <v>1161</v>
      </c>
      <c r="F693">
        <f>MAX(MAX(L693:AE693),-MIN(L693:AE693))</f>
        <v>0</v>
      </c>
      <c r="I693" t="s">
        <v>1492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1519</v>
      </c>
      <c r="B695" t="s">
        <v>1460</v>
      </c>
      <c r="C695" t="s">
        <v>1436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1519</v>
      </c>
      <c r="B696" t="s">
        <v>1460</v>
      </c>
      <c r="C696" t="s">
        <v>1436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1519</v>
      </c>
      <c r="B697" t="s">
        <v>1460</v>
      </c>
      <c r="C697" t="s">
        <v>1436</v>
      </c>
      <c r="D697">
        <v>1</v>
      </c>
      <c r="E697" t="s">
        <v>1161</v>
      </c>
      <c r="F697">
        <f>MAX(MAX(L697:AE697),-MIN(L697:AE697))</f>
        <v>0</v>
      </c>
      <c r="I697" t="s">
        <v>1492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1520</v>
      </c>
      <c r="B699" t="s">
        <v>1460</v>
      </c>
      <c r="C699" t="s">
        <v>1439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1520</v>
      </c>
      <c r="B700" t="s">
        <v>1460</v>
      </c>
      <c r="C700" t="s">
        <v>1439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1520</v>
      </c>
      <c r="B701" t="s">
        <v>1460</v>
      </c>
      <c r="C701" t="s">
        <v>1439</v>
      </c>
      <c r="D701">
        <v>1</v>
      </c>
      <c r="E701" t="s">
        <v>1161</v>
      </c>
      <c r="F701">
        <f>MAX(MAX(L701:AE701),-MIN(L701:AE701))</f>
        <v>0</v>
      </c>
      <c r="I701" t="s">
        <v>1492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1521</v>
      </c>
      <c r="B703" t="s">
        <v>1460</v>
      </c>
      <c r="C703" t="s">
        <v>1442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1521</v>
      </c>
      <c r="B704" t="s">
        <v>1460</v>
      </c>
      <c r="C704" t="s">
        <v>1442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1521</v>
      </c>
      <c r="B705" t="s">
        <v>1460</v>
      </c>
      <c r="C705" t="s">
        <v>1442</v>
      </c>
      <c r="D705">
        <v>1</v>
      </c>
      <c r="E705" t="s">
        <v>1161</v>
      </c>
      <c r="F705">
        <f>MAX(MAX(L705:AE705),-MIN(L705:AE705))</f>
        <v>0</v>
      </c>
      <c r="I705" t="s">
        <v>1492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1522</v>
      </c>
      <c r="B707" t="s">
        <v>1460</v>
      </c>
      <c r="C707" t="s">
        <v>1445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1522</v>
      </c>
      <c r="B708" t="s">
        <v>1460</v>
      </c>
      <c r="C708" t="s">
        <v>1445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1522</v>
      </c>
      <c r="B709" t="s">
        <v>1460</v>
      </c>
      <c r="C709" t="s">
        <v>1445</v>
      </c>
      <c r="D709">
        <v>1</v>
      </c>
      <c r="E709" t="s">
        <v>1161</v>
      </c>
      <c r="F709">
        <f>MAX(MAX(L709:AE709),-MIN(L709:AE709))</f>
        <v>0</v>
      </c>
      <c r="I709" t="s">
        <v>1492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1523</v>
      </c>
      <c r="B711" t="s">
        <v>1460</v>
      </c>
      <c r="C711" t="s">
        <v>1448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1523</v>
      </c>
      <c r="B712" t="s">
        <v>1460</v>
      </c>
      <c r="C712" t="s">
        <v>1448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1523</v>
      </c>
      <c r="B713" t="s">
        <v>1460</v>
      </c>
      <c r="C713" t="s">
        <v>1448</v>
      </c>
      <c r="D713">
        <v>1</v>
      </c>
      <c r="E713" t="s">
        <v>1161</v>
      </c>
      <c r="F713">
        <f>MAX(MAX(L713:AE713),-MIN(L713:AE713))</f>
        <v>0</v>
      </c>
      <c r="I713" t="s">
        <v>1492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1524</v>
      </c>
      <c r="B715" t="s">
        <v>1460</v>
      </c>
      <c r="C715" t="s">
        <v>1451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1524</v>
      </c>
      <c r="B716" t="s">
        <v>1460</v>
      </c>
      <c r="C716" t="s">
        <v>1451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1524</v>
      </c>
      <c r="B717" t="s">
        <v>1460</v>
      </c>
      <c r="C717" t="s">
        <v>1451</v>
      </c>
      <c r="D717">
        <v>1</v>
      </c>
      <c r="E717" t="s">
        <v>1161</v>
      </c>
      <c r="F717">
        <f>MAX(MAX(L717:AE717),-MIN(L717:AE717))</f>
        <v>0</v>
      </c>
      <c r="I717" t="s">
        <v>1492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1525</v>
      </c>
      <c r="B719" t="s">
        <v>1460</v>
      </c>
      <c r="C719" t="s">
        <v>1454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1525</v>
      </c>
      <c r="B720" t="s">
        <v>1460</v>
      </c>
      <c r="C720" t="s">
        <v>1454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1525</v>
      </c>
      <c r="B721" t="s">
        <v>1460</v>
      </c>
      <c r="C721" t="s">
        <v>1454</v>
      </c>
      <c r="D721">
        <v>1</v>
      </c>
      <c r="E721" t="s">
        <v>1161</v>
      </c>
      <c r="F721">
        <f>MAX(MAX(L721:AE721),-MIN(L721:AE721))</f>
        <v>0</v>
      </c>
      <c r="I721" t="s">
        <v>1492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1526</v>
      </c>
      <c r="B723" t="s">
        <v>1463</v>
      </c>
      <c r="C723" t="s">
        <v>1433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1526</v>
      </c>
      <c r="B724" t="s">
        <v>1463</v>
      </c>
      <c r="C724" t="s">
        <v>1433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1526</v>
      </c>
      <c r="B725" t="s">
        <v>1463</v>
      </c>
      <c r="C725" t="s">
        <v>1433</v>
      </c>
      <c r="D725">
        <v>1</v>
      </c>
      <c r="E725" t="s">
        <v>1161</v>
      </c>
      <c r="F725">
        <f>MAX(MAX(L725:AE725),-MIN(L725:AE725))</f>
        <v>0</v>
      </c>
      <c r="I725" t="s">
        <v>1492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1527</v>
      </c>
      <c r="B727" t="s">
        <v>1463</v>
      </c>
      <c r="C727" t="s">
        <v>1436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1527</v>
      </c>
      <c r="B728" t="s">
        <v>1463</v>
      </c>
      <c r="C728" t="s">
        <v>1436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1527</v>
      </c>
      <c r="B729" t="s">
        <v>1463</v>
      </c>
      <c r="C729" t="s">
        <v>1436</v>
      </c>
      <c r="D729">
        <v>1</v>
      </c>
      <c r="E729" t="s">
        <v>1161</v>
      </c>
      <c r="F729">
        <f>MAX(MAX(L729:AE729),-MIN(L729:AE729))</f>
        <v>0</v>
      </c>
      <c r="I729" t="s">
        <v>1492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1528</v>
      </c>
      <c r="B731" t="s">
        <v>1463</v>
      </c>
      <c r="C731" t="s">
        <v>1439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1528</v>
      </c>
      <c r="B732" t="s">
        <v>1463</v>
      </c>
      <c r="C732" t="s">
        <v>1439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1528</v>
      </c>
      <c r="B733" t="s">
        <v>1463</v>
      </c>
      <c r="C733" t="s">
        <v>1439</v>
      </c>
      <c r="D733">
        <v>1</v>
      </c>
      <c r="E733" t="s">
        <v>1161</v>
      </c>
      <c r="F733">
        <f>MAX(MAX(L733:AE733),-MIN(L733:AE733))</f>
        <v>0</v>
      </c>
      <c r="I733" t="s">
        <v>1492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1529</v>
      </c>
      <c r="B735" t="s">
        <v>1463</v>
      </c>
      <c r="C735" t="s">
        <v>1442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1529</v>
      </c>
      <c r="B736" t="s">
        <v>1463</v>
      </c>
      <c r="C736" t="s">
        <v>1442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1529</v>
      </c>
      <c r="B737" t="s">
        <v>1463</v>
      </c>
      <c r="C737" t="s">
        <v>1442</v>
      </c>
      <c r="D737">
        <v>1</v>
      </c>
      <c r="E737" t="s">
        <v>1161</v>
      </c>
      <c r="F737">
        <f>MAX(MAX(L737:AE737),-MIN(L737:AE737))</f>
        <v>0</v>
      </c>
      <c r="I737" t="s">
        <v>1492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1530</v>
      </c>
      <c r="B739" t="s">
        <v>1463</v>
      </c>
      <c r="C739" t="s">
        <v>1445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1530</v>
      </c>
      <c r="B740" t="s">
        <v>1463</v>
      </c>
      <c r="C740" t="s">
        <v>1445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1530</v>
      </c>
      <c r="B741" t="s">
        <v>1463</v>
      </c>
      <c r="C741" t="s">
        <v>1445</v>
      </c>
      <c r="D741">
        <v>1</v>
      </c>
      <c r="E741" t="s">
        <v>1161</v>
      </c>
      <c r="F741">
        <f>MAX(MAX(L741:AE741),-MIN(L741:AE741))</f>
        <v>0</v>
      </c>
      <c r="I741" t="s">
        <v>1492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1531</v>
      </c>
      <c r="B743" t="s">
        <v>1463</v>
      </c>
      <c r="C743" t="s">
        <v>1448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1531</v>
      </c>
      <c r="B744" t="s">
        <v>1463</v>
      </c>
      <c r="C744" t="s">
        <v>1448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1531</v>
      </c>
      <c r="B745" t="s">
        <v>1463</v>
      </c>
      <c r="C745" t="s">
        <v>1448</v>
      </c>
      <c r="D745">
        <v>1</v>
      </c>
      <c r="E745" t="s">
        <v>1161</v>
      </c>
      <c r="F745">
        <f>MAX(MAX(L745:AE745),-MIN(L745:AE745))</f>
        <v>0</v>
      </c>
      <c r="I745" t="s">
        <v>1492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1532</v>
      </c>
      <c r="B747" t="s">
        <v>1463</v>
      </c>
      <c r="C747" t="s">
        <v>1451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1532</v>
      </c>
      <c r="B748" t="s">
        <v>1463</v>
      </c>
      <c r="C748" t="s">
        <v>1451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1532</v>
      </c>
      <c r="B749" t="s">
        <v>1463</v>
      </c>
      <c r="C749" t="s">
        <v>1451</v>
      </c>
      <c r="D749">
        <v>1</v>
      </c>
      <c r="E749" t="s">
        <v>1161</v>
      </c>
      <c r="F749">
        <f>MAX(MAX(L749:AE749),-MIN(L749:AE749))</f>
        <v>0</v>
      </c>
      <c r="I749" t="s">
        <v>1492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1533</v>
      </c>
      <c r="B751" t="s">
        <v>1463</v>
      </c>
      <c r="C751" t="s">
        <v>1454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1533</v>
      </c>
      <c r="B752" t="s">
        <v>1463</v>
      </c>
      <c r="C752" t="s">
        <v>1454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1533</v>
      </c>
      <c r="B753" t="s">
        <v>1463</v>
      </c>
      <c r="C753" t="s">
        <v>1454</v>
      </c>
      <c r="D753">
        <v>1</v>
      </c>
      <c r="E753" t="s">
        <v>1161</v>
      </c>
      <c r="F753">
        <f>MAX(MAX(L753:AE753),-MIN(L753:AE753))</f>
        <v>0</v>
      </c>
      <c r="I753" t="s">
        <v>1492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1534</v>
      </c>
      <c r="B755" t="s">
        <v>1464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1534</v>
      </c>
      <c r="B756" t="s">
        <v>1464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2.6717650641872548</v>
      </c>
      <c r="M756">
        <f>IF(ISBLANK(Mitigation_Industry!M330),"",Mitigation_Industry!M330)</f>
        <v>2.789322727011494</v>
      </c>
      <c r="N756">
        <f>IF(ISBLANK(Mitigation_Industry!N330),"",Mitigation_Industry!N330)</f>
        <v>2.9120529269999995</v>
      </c>
      <c r="O756">
        <f>IF(ISBLANK(Mitigation_Industry!O330),"",Mitigation_Industry!O330)</f>
        <v>3.0401832557880004</v>
      </c>
      <c r="P756">
        <f>IF(ISBLANK(Mitigation_Industry!P330),"",Mitigation_Industry!P330)</f>
        <v>3.173951319042672</v>
      </c>
      <c r="Q756">
        <f>IF(ISBLANK(Mitigation_Industry!Q330),"",Mitigation_Industry!Q330)</f>
        <v>3.3136051770805501</v>
      </c>
      <c r="R756">
        <f>IF(ISBLANK(Mitigation_Industry!R330),"",Mitigation_Industry!R330)</f>
        <v>3.4594038048720939</v>
      </c>
      <c r="S756">
        <f>IF(ISBLANK(Mitigation_Industry!S330),"",Mitigation_Industry!S330)</f>
        <v>3.6116175722864661</v>
      </c>
      <c r="T756">
        <f>IF(ISBLANK(Mitigation_Industry!T330),"",Mitigation_Industry!T330)</f>
        <v>3.7705287454670713</v>
      </c>
      <c r="U756">
        <f>IF(ISBLANK(Mitigation_Industry!U330),"",Mitigation_Industry!U330)</f>
        <v>3.9364320102676222</v>
      </c>
      <c r="V756">
        <f>IF(ISBLANK(Mitigation_Industry!V330),"",Mitigation_Industry!V330)</f>
        <v>4.1096350187193975</v>
      </c>
      <c r="W756">
        <f>IF(ISBLANK(Mitigation_Industry!W330),"",Mitigation_Industry!W330)</f>
        <v>4.2904589595430505</v>
      </c>
      <c r="X756">
        <f>IF(ISBLANK(Mitigation_Industry!X330),"",Mitigation_Industry!X330)</f>
        <v>4.4792391537629452</v>
      </c>
      <c r="Y756">
        <f>IF(ISBLANK(Mitigation_Industry!Y330),"",Mitigation_Industry!Y330)</f>
        <v>4.6763256765285162</v>
      </c>
      <c r="Z756">
        <f>IF(ISBLANK(Mitigation_Industry!Z330),"",Mitigation_Industry!Z330)</f>
        <v>4.8820840062957691</v>
      </c>
      <c r="AA756">
        <f>IF(ISBLANK(Mitigation_Industry!AA330),"",Mitigation_Industry!AA330)</f>
        <v>5.096895702572783</v>
      </c>
      <c r="AB756">
        <f>IF(ISBLANK(Mitigation_Industry!AB330),"",Mitigation_Industry!AB330)</f>
        <v>5.3211591134859875</v>
      </c>
      <c r="AC756">
        <f>IF(ISBLANK(Mitigation_Industry!AC330),"",Mitigation_Industry!AC330)</f>
        <v>5.5552901144793703</v>
      </c>
      <c r="AD756">
        <f>IF(ISBLANK(Mitigation_Industry!AD330),"",Mitigation_Industry!AD330)</f>
        <v>5.7997228795164624</v>
      </c>
      <c r="AE756">
        <f>IF(ISBLANK(Mitigation_Industry!AE330),"",Mitigation_Industry!AE330)</f>
        <v>6.0549106862151856</v>
      </c>
    </row>
    <row r="757" spans="1:31" x14ac:dyDescent="0.45">
      <c r="A757" t="s">
        <v>1534</v>
      </c>
      <c r="B757" t="s">
        <v>1464</v>
      </c>
      <c r="C757" t="s">
        <v>1350</v>
      </c>
      <c r="D757">
        <v>1</v>
      </c>
      <c r="E757" t="s">
        <v>1161</v>
      </c>
      <c r="F757">
        <f>MAX(MAX(L757:AE757),-MIN(L757:AE757))</f>
        <v>1.26231796322352</v>
      </c>
      <c r="I757" t="s">
        <v>1492</v>
      </c>
      <c r="K757">
        <f t="shared" ref="K757:AE757" si="186">IF(ISNUMBER(K755),IF(ISNUMBER(K756),K756-K755,999999),0)</f>
        <v>0</v>
      </c>
      <c r="L757">
        <f t="shared" si="186"/>
        <v>-0.55700524893204761</v>
      </c>
      <c r="M757">
        <f t="shared" si="186"/>
        <v>-0.58151347988505764</v>
      </c>
      <c r="N757">
        <f t="shared" si="186"/>
        <v>-0.60710007300000068</v>
      </c>
      <c r="O757">
        <f t="shared" si="186"/>
        <v>-0.63381247621200032</v>
      </c>
      <c r="P757">
        <f t="shared" si="186"/>
        <v>-0.66170022516532878</v>
      </c>
      <c r="Q757">
        <f t="shared" si="186"/>
        <v>-0.69081503507260322</v>
      </c>
      <c r="R757">
        <f t="shared" si="186"/>
        <v>-0.72121089661579729</v>
      </c>
      <c r="S757">
        <f t="shared" si="186"/>
        <v>-0.75294417606689379</v>
      </c>
      <c r="T757">
        <f t="shared" si="186"/>
        <v>-0.78607371981383567</v>
      </c>
      <c r="U757">
        <f t="shared" si="186"/>
        <v>-0.82066096348564521</v>
      </c>
      <c r="V757">
        <f t="shared" si="186"/>
        <v>-0.8567700458790144</v>
      </c>
      <c r="W757">
        <f t="shared" si="186"/>
        <v>-0.89446792789769081</v>
      </c>
      <c r="X757">
        <f t="shared" si="186"/>
        <v>-0.93382451672518929</v>
      </c>
      <c r="Y757">
        <f t="shared" si="186"/>
        <v>-0.97491279546109677</v>
      </c>
      <c r="Z757">
        <f t="shared" si="186"/>
        <v>-1.0178089584613863</v>
      </c>
      <c r="AA757">
        <f t="shared" si="186"/>
        <v>-1.0625925526336877</v>
      </c>
      <c r="AB757">
        <f t="shared" si="186"/>
        <v>-1.109346624949568</v>
      </c>
      <c r="AC757">
        <f t="shared" si="186"/>
        <v>-1.1581578764473504</v>
      </c>
      <c r="AD757">
        <f t="shared" si="186"/>
        <v>-1.2091168230110343</v>
      </c>
      <c r="AE757">
        <f t="shared" si="186"/>
        <v>-1.26231796322352</v>
      </c>
    </row>
    <row r="759" spans="1:31" x14ac:dyDescent="0.45">
      <c r="A759" t="s">
        <v>1535</v>
      </c>
      <c r="B759" t="s">
        <v>1464</v>
      </c>
      <c r="C759" t="s">
        <v>1355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1535</v>
      </c>
      <c r="B760" t="s">
        <v>1464</v>
      </c>
      <c r="C760" t="s">
        <v>1355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0.19764830228563882</v>
      </c>
      <c r="M760">
        <f>IF(ISBLANK(Mitigation_Industry!M331),"",Mitigation_Industry!M331)</f>
        <v>0.20634482758620692</v>
      </c>
      <c r="N760">
        <f>IF(ISBLANK(Mitigation_Industry!N331),"",Mitigation_Industry!N331)</f>
        <v>0.215424</v>
      </c>
      <c r="O760">
        <f>IF(ISBLANK(Mitigation_Industry!O331),"",Mitigation_Industry!O331)</f>
        <v>0.22490265600000001</v>
      </c>
      <c r="P760">
        <f>IF(ISBLANK(Mitigation_Industry!P331),"",Mitigation_Industry!P331)</f>
        <v>0.23479837286400002</v>
      </c>
      <c r="Q760">
        <f>IF(ISBLANK(Mitigation_Industry!Q331),"",Mitigation_Industry!Q331)</f>
        <v>0.24512950127001604</v>
      </c>
      <c r="R760">
        <f>IF(ISBLANK(Mitigation_Industry!R331),"",Mitigation_Industry!R331)</f>
        <v>0.25591519932589668</v>
      </c>
      <c r="S760">
        <f>IF(ISBLANK(Mitigation_Industry!S331),"",Mitigation_Industry!S331)</f>
        <v>0.26717546809623621</v>
      </c>
      <c r="T760">
        <f>IF(ISBLANK(Mitigation_Industry!T331),"",Mitigation_Industry!T331)</f>
        <v>0.27893118869247063</v>
      </c>
      <c r="U760">
        <f>IF(ISBLANK(Mitigation_Industry!U331),"",Mitigation_Industry!U331)</f>
        <v>0.29120416099493934</v>
      </c>
      <c r="V760">
        <f>IF(ISBLANK(Mitigation_Industry!V331),"",Mitigation_Industry!V331)</f>
        <v>0.30401714407871661</v>
      </c>
      <c r="W760">
        <f>IF(ISBLANK(Mitigation_Industry!W331),"",Mitigation_Industry!W331)</f>
        <v>0.31739389841818022</v>
      </c>
      <c r="X760">
        <f>IF(ISBLANK(Mitigation_Industry!X331),"",Mitigation_Industry!X331)</f>
        <v>0.33135922994858014</v>
      </c>
      <c r="Y760">
        <f>IF(ISBLANK(Mitigation_Industry!Y331),"",Mitigation_Industry!Y331)</f>
        <v>0.34593903606631771</v>
      </c>
      <c r="Z760">
        <f>IF(ISBLANK(Mitigation_Industry!Z331),"",Mitigation_Industry!Z331)</f>
        <v>0.36116035365323562</v>
      </c>
      <c r="AA760">
        <f>IF(ISBLANK(Mitigation_Industry!AA331),"",Mitigation_Industry!AA331)</f>
        <v>0.37705140921397801</v>
      </c>
      <c r="AB760">
        <f>IF(ISBLANK(Mitigation_Industry!AB331),"",Mitigation_Industry!AB331)</f>
        <v>0.39364167121939314</v>
      </c>
      <c r="AC760">
        <f>IF(ISBLANK(Mitigation_Industry!AC331),"",Mitigation_Industry!AC331)</f>
        <v>0.41096190475304639</v>
      </c>
      <c r="AD760">
        <f>IF(ISBLANK(Mitigation_Industry!AD331),"",Mitigation_Industry!AD331)</f>
        <v>0.42904422856218044</v>
      </c>
      <c r="AE760">
        <f>IF(ISBLANK(Mitigation_Industry!AE331),"",Mitigation_Industry!AE331)</f>
        <v>0.44792217461891631</v>
      </c>
    </row>
    <row r="761" spans="1:31" x14ac:dyDescent="0.45">
      <c r="A761" t="s">
        <v>1535</v>
      </c>
      <c r="B761" t="s">
        <v>1464</v>
      </c>
      <c r="C761" t="s">
        <v>1355</v>
      </c>
      <c r="D761">
        <v>1</v>
      </c>
      <c r="E761" t="s">
        <v>1161</v>
      </c>
      <c r="F761">
        <f>MAX(MAX(L761:AE761),-MIN(L761:AE761))</f>
        <v>0.95183462106519712</v>
      </c>
      <c r="I761" t="s">
        <v>1492</v>
      </c>
      <c r="K761">
        <f t="shared" ref="K761:AE761" si="187">IF(ISNUMBER(K759),IF(ISNUMBER(K760),K760-K759,999999),0)</f>
        <v>0</v>
      </c>
      <c r="L761">
        <f t="shared" si="187"/>
        <v>-0.42000264235698248</v>
      </c>
      <c r="M761">
        <f t="shared" si="187"/>
        <v>-0.43848275862068969</v>
      </c>
      <c r="N761">
        <f t="shared" si="187"/>
        <v>-0.45777600000000002</v>
      </c>
      <c r="O761">
        <f t="shared" si="187"/>
        <v>-0.47791814399999999</v>
      </c>
      <c r="P761">
        <f t="shared" si="187"/>
        <v>-0.49894654233600005</v>
      </c>
      <c r="Q761">
        <f t="shared" si="187"/>
        <v>-0.52090019019878397</v>
      </c>
      <c r="R761">
        <f t="shared" si="187"/>
        <v>-0.5438197985675306</v>
      </c>
      <c r="S761">
        <f t="shared" si="187"/>
        <v>-0.56774786970450197</v>
      </c>
      <c r="T761">
        <f t="shared" si="187"/>
        <v>-0.59272877597150009</v>
      </c>
      <c r="U761">
        <f t="shared" si="187"/>
        <v>-0.61880884211424614</v>
      </c>
      <c r="V761">
        <f t="shared" si="187"/>
        <v>-0.64603643116727294</v>
      </c>
      <c r="W761">
        <f t="shared" si="187"/>
        <v>-0.67446203413863282</v>
      </c>
      <c r="X761">
        <f t="shared" si="187"/>
        <v>-0.70413836364073301</v>
      </c>
      <c r="Y761">
        <f t="shared" si="187"/>
        <v>-0.73512045164092488</v>
      </c>
      <c r="Z761">
        <f t="shared" si="187"/>
        <v>-0.76746575151312568</v>
      </c>
      <c r="AA761">
        <f t="shared" si="187"/>
        <v>-0.80123424457970316</v>
      </c>
      <c r="AB761">
        <f t="shared" si="187"/>
        <v>-0.83648855134121014</v>
      </c>
      <c r="AC761">
        <f t="shared" si="187"/>
        <v>-0.87329404760022333</v>
      </c>
      <c r="AD761">
        <f t="shared" si="187"/>
        <v>-0.91171898569463306</v>
      </c>
      <c r="AE761">
        <f t="shared" si="187"/>
        <v>-0.95183462106519712</v>
      </c>
    </row>
    <row r="763" spans="1:31" x14ac:dyDescent="0.45">
      <c r="A763" t="s">
        <v>1536</v>
      </c>
      <c r="B763" t="s">
        <v>1464</v>
      </c>
      <c r="C763" t="s">
        <v>1359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1536</v>
      </c>
      <c r="B764" t="s">
        <v>1464</v>
      </c>
      <c r="C764" t="s">
        <v>1359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1536</v>
      </c>
      <c r="B765" t="s">
        <v>1464</v>
      </c>
      <c r="C765" t="s">
        <v>1359</v>
      </c>
      <c r="D765">
        <v>1</v>
      </c>
      <c r="E765" t="s">
        <v>1161</v>
      </c>
      <c r="F765">
        <f>MAX(MAX(L765:AE765),-MIN(L765:AE765))</f>
        <v>0</v>
      </c>
      <c r="I765" t="s">
        <v>1492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1537</v>
      </c>
      <c r="B767" t="s">
        <v>1464</v>
      </c>
      <c r="C767" t="s">
        <v>1363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1537</v>
      </c>
      <c r="B768" t="s">
        <v>1464</v>
      </c>
      <c r="C768" t="s">
        <v>1363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14.692706044200628</v>
      </c>
      <c r="M768">
        <f>IF(ISBLANK(Mitigation_Industry!M333),"",Mitigation_Industry!M333)</f>
        <v>15.177565343659246</v>
      </c>
      <c r="N768">
        <f>IF(ISBLANK(Mitigation_Industry!N333),"",Mitigation_Industry!N333)</f>
        <v>15.678424999999999</v>
      </c>
      <c r="O768">
        <f>IF(ISBLANK(Mitigation_Industry!O333),"",Mitigation_Industry!O333)</f>
        <v>16.195813024999996</v>
      </c>
      <c r="P768">
        <f>IF(ISBLANK(Mitigation_Industry!P333),"",Mitigation_Industry!P333)</f>
        <v>16.730274854824994</v>
      </c>
      <c r="Q768">
        <f>IF(ISBLANK(Mitigation_Industry!Q333),"",Mitigation_Industry!Q333)</f>
        <v>17.282373925034218</v>
      </c>
      <c r="R768">
        <f>IF(ISBLANK(Mitigation_Industry!R333),"",Mitigation_Industry!R333)</f>
        <v>17.852692264560343</v>
      </c>
      <c r="S768">
        <f>IF(ISBLANK(Mitigation_Industry!S333),"",Mitigation_Industry!S333)</f>
        <v>18.441831109290838</v>
      </c>
      <c r="T768">
        <f>IF(ISBLANK(Mitigation_Industry!T333),"",Mitigation_Industry!T333)</f>
        <v>19.050411535897432</v>
      </c>
      <c r="U768">
        <f>IF(ISBLANK(Mitigation_Industry!U333),"",Mitigation_Industry!U333)</f>
        <v>19.679075116582045</v>
      </c>
      <c r="V768">
        <f>IF(ISBLANK(Mitigation_Industry!V333),"",Mitigation_Industry!V333)</f>
        <v>20.328484595429249</v>
      </c>
      <c r="W768">
        <f>IF(ISBLANK(Mitigation_Industry!W333),"",Mitigation_Industry!W333)</f>
        <v>20.999324587078412</v>
      </c>
      <c r="X768">
        <f>IF(ISBLANK(Mitigation_Industry!X333),"",Mitigation_Industry!X333)</f>
        <v>21.692302298451992</v>
      </c>
      <c r="Y768">
        <f>IF(ISBLANK(Mitigation_Industry!Y333),"",Mitigation_Industry!Y333)</f>
        <v>22.40814827430091</v>
      </c>
      <c r="Z768">
        <f>IF(ISBLANK(Mitigation_Industry!Z333),"",Mitigation_Industry!Z333)</f>
        <v>23.147617167352838</v>
      </c>
      <c r="AA768">
        <f>IF(ISBLANK(Mitigation_Industry!AA333),"",Mitigation_Industry!AA333)</f>
        <v>23.911488533875481</v>
      </c>
      <c r="AB768">
        <f>IF(ISBLANK(Mitigation_Industry!AB333),"",Mitigation_Industry!AB333)</f>
        <v>24.700567655493362</v>
      </c>
      <c r="AC768">
        <f>IF(ISBLANK(Mitigation_Industry!AC333),"",Mitigation_Industry!AC333)</f>
        <v>25.515686388124642</v>
      </c>
      <c r="AD768">
        <f>IF(ISBLANK(Mitigation_Industry!AD333),"",Mitigation_Industry!AD333)</f>
        <v>26.357704038932756</v>
      </c>
      <c r="AE768">
        <f>IF(ISBLANK(Mitigation_Industry!AE333),"",Mitigation_Industry!AE333)</f>
        <v>27.227508272217527</v>
      </c>
    </row>
    <row r="769" spans="1:31" x14ac:dyDescent="0.45">
      <c r="A769" t="s">
        <v>1537</v>
      </c>
      <c r="B769" t="s">
        <v>1464</v>
      </c>
      <c r="C769" t="s">
        <v>1363</v>
      </c>
      <c r="D769">
        <v>1</v>
      </c>
      <c r="E769" t="s">
        <v>1161</v>
      </c>
      <c r="F769">
        <f>MAX(MAX(L769:AE769),-MIN(L769:AE769))</f>
        <v>2.1940924958231562</v>
      </c>
      <c r="I769" t="s">
        <v>1492</v>
      </c>
      <c r="K769">
        <f t="shared" ref="K769:AE769" si="189">IF(ISNUMBER(K767),IF(ISNUMBER(K768),K768-K767,999999),0)</f>
        <v>0</v>
      </c>
      <c r="L769">
        <f t="shared" si="189"/>
        <v>1.183992150607871</v>
      </c>
      <c r="M769">
        <f t="shared" si="189"/>
        <v>1.2230638915779295</v>
      </c>
      <c r="N769">
        <f t="shared" si="189"/>
        <v>1.2634250000000034</v>
      </c>
      <c r="O769">
        <f t="shared" si="189"/>
        <v>1.3051180250000023</v>
      </c>
      <c r="P769">
        <f t="shared" si="189"/>
        <v>1.3481869198250003</v>
      </c>
      <c r="Q769">
        <f t="shared" si="189"/>
        <v>1.3926770881792265</v>
      </c>
      <c r="R769">
        <f t="shared" si="189"/>
        <v>1.4386354320891392</v>
      </c>
      <c r="S769">
        <f t="shared" si="189"/>
        <v>1.4861104013480855</v>
      </c>
      <c r="T769">
        <f t="shared" si="189"/>
        <v>1.5351520445925679</v>
      </c>
      <c r="U769">
        <f t="shared" si="189"/>
        <v>1.5858120620641216</v>
      </c>
      <c r="V769">
        <f t="shared" si="189"/>
        <v>1.6381438601122369</v>
      </c>
      <c r="W769">
        <f t="shared" si="189"/>
        <v>1.6922026074959398</v>
      </c>
      <c r="X769">
        <f t="shared" si="189"/>
        <v>1.7480452935432993</v>
      </c>
      <c r="Y769">
        <f t="shared" si="189"/>
        <v>1.8057307882302318</v>
      </c>
      <c r="Z769">
        <f t="shared" si="189"/>
        <v>1.8653199042418294</v>
      </c>
      <c r="AA769">
        <f t="shared" si="189"/>
        <v>1.92687546108181</v>
      </c>
      <c r="AB769">
        <f t="shared" si="189"/>
        <v>1.9904623512974986</v>
      </c>
      <c r="AC769">
        <f t="shared" si="189"/>
        <v>2.0561476088903206</v>
      </c>
      <c r="AD769">
        <f t="shared" si="189"/>
        <v>2.1240004799836996</v>
      </c>
      <c r="AE769">
        <f t="shared" si="189"/>
        <v>2.1940924958231562</v>
      </c>
    </row>
    <row r="771" spans="1:31" x14ac:dyDescent="0.45">
      <c r="A771" t="s">
        <v>1538</v>
      </c>
      <c r="B771" t="s">
        <v>1464</v>
      </c>
      <c r="C771" t="s">
        <v>1425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1538</v>
      </c>
      <c r="B772" t="s">
        <v>1464</v>
      </c>
      <c r="C772" t="s">
        <v>1425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3.3747527008551588</v>
      </c>
      <c r="M772">
        <f>IF(ISBLANK(Mitigation_Industry!M334),"",Mitigation_Industry!M334)</f>
        <v>3.4489972602739725</v>
      </c>
      <c r="N772">
        <f>IF(ISBLANK(Mitigation_Industry!N334),"",Mitigation_Industry!N334)</f>
        <v>3.5248751999999999</v>
      </c>
      <c r="O772">
        <f>IF(ISBLANK(Mitigation_Industry!O334),"",Mitigation_Industry!O334)</f>
        <v>3.6024224544000001</v>
      </c>
      <c r="P772">
        <f>IF(ISBLANK(Mitigation_Industry!P334),"",Mitigation_Industry!P334)</f>
        <v>3.6816757483967999</v>
      </c>
      <c r="Q772">
        <f>IF(ISBLANK(Mitigation_Industry!Q334),"",Mitigation_Industry!Q334)</f>
        <v>3.7626726148615299</v>
      </c>
      <c r="R772">
        <f>IF(ISBLANK(Mitigation_Industry!R334),"",Mitigation_Industry!R334)</f>
        <v>3.8454514123884831</v>
      </c>
      <c r="S772">
        <f>IF(ISBLANK(Mitigation_Industry!S334),"",Mitigation_Industry!S334)</f>
        <v>3.9300513434610296</v>
      </c>
      <c r="T772">
        <f>IF(ISBLANK(Mitigation_Industry!T334),"",Mitigation_Industry!T334)</f>
        <v>4.0165124730171726</v>
      </c>
      <c r="U772">
        <f>IF(ISBLANK(Mitigation_Industry!U334),"",Mitigation_Industry!U334)</f>
        <v>4.1048757474235504</v>
      </c>
      <c r="V772">
        <f>IF(ISBLANK(Mitigation_Industry!V334),"",Mitigation_Industry!V334)</f>
        <v>4.1951830138668695</v>
      </c>
      <c r="W772">
        <f>IF(ISBLANK(Mitigation_Industry!W334),"",Mitigation_Industry!W334)</f>
        <v>4.2874770401719395</v>
      </c>
      <c r="X772">
        <f>IF(ISBLANK(Mitigation_Industry!X334),"",Mitigation_Industry!X334)</f>
        <v>4.3818015350557227</v>
      </c>
      <c r="Y772">
        <f>IF(ISBLANK(Mitigation_Industry!Y334),"",Mitigation_Industry!Y334)</f>
        <v>4.4782011688269483</v>
      </c>
      <c r="Z772">
        <f>IF(ISBLANK(Mitigation_Industry!Z334),"",Mitigation_Industry!Z334)</f>
        <v>4.5767215945411417</v>
      </c>
      <c r="AA772">
        <f>IF(ISBLANK(Mitigation_Industry!AA334),"",Mitigation_Industry!AA334)</f>
        <v>4.6774094696210469</v>
      </c>
      <c r="AB772">
        <f>IF(ISBLANK(Mitigation_Industry!AB334),"",Mitigation_Industry!AB334)</f>
        <v>4.7803124779527089</v>
      </c>
      <c r="AC772">
        <f>IF(ISBLANK(Mitigation_Industry!AC334),"",Mitigation_Industry!AC334)</f>
        <v>4.8854793524676694</v>
      </c>
      <c r="AD772">
        <f>IF(ISBLANK(Mitigation_Industry!AD334),"",Mitigation_Industry!AD334)</f>
        <v>4.9929598982219581</v>
      </c>
      <c r="AE772">
        <f>IF(ISBLANK(Mitigation_Industry!AE334),"",Mitigation_Industry!AE334)</f>
        <v>5.1028050159828409</v>
      </c>
    </row>
    <row r="773" spans="1:31" x14ac:dyDescent="0.45">
      <c r="A773" t="s">
        <v>1538</v>
      </c>
      <c r="B773" t="s">
        <v>1464</v>
      </c>
      <c r="C773" t="s">
        <v>1425</v>
      </c>
      <c r="D773">
        <v>1</v>
      </c>
      <c r="E773" t="s">
        <v>1161</v>
      </c>
      <c r="F773">
        <f>MAX(MAX(L773:AE773),-MIN(L773:AE773))</f>
        <v>0.3189253134989265</v>
      </c>
      <c r="I773" t="s">
        <v>1492</v>
      </c>
      <c r="K773">
        <f t="shared" ref="K773:AE773" si="190">IF(ISNUMBER(K771),IF(ISNUMBER(K772),K772-K771,999999),0)</f>
        <v>0</v>
      </c>
      <c r="L773">
        <f t="shared" si="190"/>
        <v>0.21092204380344715</v>
      </c>
      <c r="M773">
        <f t="shared" si="190"/>
        <v>0.21556232876712267</v>
      </c>
      <c r="N773">
        <f t="shared" si="190"/>
        <v>0.2203046999999998</v>
      </c>
      <c r="O773">
        <f t="shared" si="190"/>
        <v>0.22515140339999995</v>
      </c>
      <c r="P773">
        <f t="shared" si="190"/>
        <v>0.23010473427479994</v>
      </c>
      <c r="Q773">
        <f t="shared" si="190"/>
        <v>0.23516703842884601</v>
      </c>
      <c r="R773">
        <f t="shared" si="190"/>
        <v>0.24034071327427986</v>
      </c>
      <c r="S773">
        <f t="shared" si="190"/>
        <v>0.24562820896631399</v>
      </c>
      <c r="T773">
        <f t="shared" si="190"/>
        <v>0.25103202956357329</v>
      </c>
      <c r="U773">
        <f t="shared" si="190"/>
        <v>0.25655473421397179</v>
      </c>
      <c r="V773">
        <f t="shared" si="190"/>
        <v>0.26219893836668007</v>
      </c>
      <c r="W773">
        <f t="shared" si="190"/>
        <v>0.26796731501074511</v>
      </c>
      <c r="X773">
        <f t="shared" si="190"/>
        <v>0.27386259594098217</v>
      </c>
      <c r="Y773">
        <f t="shared" si="190"/>
        <v>0.27988757305168388</v>
      </c>
      <c r="Z773">
        <f t="shared" si="190"/>
        <v>0.28604509965882041</v>
      </c>
      <c r="AA773">
        <f t="shared" si="190"/>
        <v>0.29233809185131499</v>
      </c>
      <c r="AB773">
        <f t="shared" si="190"/>
        <v>0.29876952987204319</v>
      </c>
      <c r="AC773">
        <f t="shared" si="190"/>
        <v>0.30534245952922845</v>
      </c>
      <c r="AD773">
        <f t="shared" si="190"/>
        <v>0.31205999363887216</v>
      </c>
      <c r="AE773">
        <f t="shared" si="190"/>
        <v>0.3189253134989265</v>
      </c>
    </row>
    <row r="775" spans="1:31" x14ac:dyDescent="0.45">
      <c r="A775" t="s">
        <v>1539</v>
      </c>
      <c r="B775" t="s">
        <v>1464</v>
      </c>
      <c r="C775" t="s">
        <v>1373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1539</v>
      </c>
      <c r="B776" t="s">
        <v>1464</v>
      </c>
      <c r="C776" t="s">
        <v>1373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0.34273185493658498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0.38212807844669694</v>
      </c>
      <c r="X776">
        <f>IF(ISBLANK(Mitigation_Industry!X335),"",Mitigation_Industry!X335)</f>
        <v>0.39053489617252429</v>
      </c>
      <c r="Y776">
        <f>IF(ISBLANK(Mitigation_Industry!Y335),"",Mitigation_Industry!Y335)</f>
        <v>0.39912666388831985</v>
      </c>
      <c r="Z776">
        <f>IF(ISBLANK(Mitigation_Industry!Z335),"",Mitigation_Industry!Z335)</f>
        <v>0.4079074504938629</v>
      </c>
      <c r="AA776">
        <f>IF(ISBLANK(Mitigation_Industry!AA335),"",Mitigation_Industry!AA335)</f>
        <v>0.41688141440472787</v>
      </c>
      <c r="AB776">
        <f>IF(ISBLANK(Mitigation_Industry!AB335),"",Mitigation_Industry!AB335)</f>
        <v>0.42605280552163183</v>
      </c>
      <c r="AC776">
        <f>IF(ISBLANK(Mitigation_Industry!AC335),"",Mitigation_Industry!AC335)</f>
        <v>0.43542596724310778</v>
      </c>
      <c r="AD776">
        <f>IF(ISBLANK(Mitigation_Industry!AD335),"",Mitigation_Industry!AD335)</f>
        <v>0.44500533852245616</v>
      </c>
      <c r="AE776">
        <f>IF(ISBLANK(Mitigation_Industry!AE335),"",Mitigation_Industry!AE335)</f>
        <v>0.45479545596995019</v>
      </c>
    </row>
    <row r="777" spans="1:31" x14ac:dyDescent="0.45">
      <c r="A777" t="s">
        <v>1539</v>
      </c>
      <c r="B777" t="s">
        <v>1464</v>
      </c>
      <c r="C777" t="s">
        <v>1373</v>
      </c>
      <c r="D777">
        <v>1</v>
      </c>
      <c r="E777" t="s">
        <v>1161</v>
      </c>
      <c r="F777">
        <f>MAX(MAX(L777:AE777),-MIN(L777:AE777))</f>
        <v>2.2204460492503131E-16</v>
      </c>
      <c r="I777" t="s">
        <v>1492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0</v>
      </c>
      <c r="S777">
        <f t="shared" si="191"/>
        <v>-5.5511151231257827E-17</v>
      </c>
      <c r="T777">
        <f t="shared" si="191"/>
        <v>-1.1102230246251565E-16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-1.1102230246251565E-16</v>
      </c>
      <c r="X777">
        <f t="shared" si="191"/>
        <v>-1.1102230246251565E-16</v>
      </c>
      <c r="Y777">
        <f t="shared" si="191"/>
        <v>-5.5511151231257827E-17</v>
      </c>
      <c r="Z777">
        <f t="shared" si="191"/>
        <v>-1.1102230246251565E-16</v>
      </c>
      <c r="AA777">
        <f t="shared" si="191"/>
        <v>-1.1102230246251565E-16</v>
      </c>
      <c r="AB777">
        <f t="shared" si="191"/>
        <v>-2.2204460492503131E-16</v>
      </c>
      <c r="AC777">
        <f t="shared" si="191"/>
        <v>-2.2204460492503131E-16</v>
      </c>
      <c r="AD777">
        <f t="shared" si="191"/>
        <v>-1.6653345369377348E-16</v>
      </c>
      <c r="AE777">
        <f t="shared" si="191"/>
        <v>-2.2204460492503131E-16</v>
      </c>
    </row>
    <row r="779" spans="1:31" x14ac:dyDescent="0.45">
      <c r="A779" t="s">
        <v>1540</v>
      </c>
      <c r="B779" t="s">
        <v>1464</v>
      </c>
      <c r="C779" t="s">
        <v>1378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1540</v>
      </c>
      <c r="B780" t="s">
        <v>1464</v>
      </c>
      <c r="C780" t="s">
        <v>1378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7.031466287999999E-2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7.6709558308196563E-2</v>
      </c>
      <c r="U780">
        <f>IF(ISBLANK(Mitigation_Industry!U336),"",Mitigation_Industry!U336)</f>
        <v>7.8397168590976896E-2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8.1884588238577902E-2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9.1297029754635384E-2</v>
      </c>
      <c r="AC780">
        <f>IF(ISBLANK(Mitigation_Industry!AC336),"",Mitigation_Industry!AC336)</f>
        <v>9.3305564409237374E-2</v>
      </c>
      <c r="AD780">
        <f>IF(ISBLANK(Mitigation_Industry!AD336),"",Mitigation_Industry!AD336)</f>
        <v>9.5358286826240604E-2</v>
      </c>
      <c r="AE780">
        <f>IF(ISBLANK(Mitigation_Industry!AE336),"",Mitigation_Industry!AE336)</f>
        <v>9.74561691364179E-2</v>
      </c>
    </row>
    <row r="781" spans="1:31" x14ac:dyDescent="0.45">
      <c r="A781" t="s">
        <v>1540</v>
      </c>
      <c r="B781" t="s">
        <v>1464</v>
      </c>
      <c r="C781" t="s">
        <v>1378</v>
      </c>
      <c r="D781">
        <v>1</v>
      </c>
      <c r="E781" t="s">
        <v>1161</v>
      </c>
      <c r="F781">
        <f>MAX(MAX(L781:AE781),-MIN(L781:AE781))</f>
        <v>2.7755575615628914E-17</v>
      </c>
      <c r="I781" t="s">
        <v>1492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-2.7755575615628914E-17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-1.3877787807814457E-17</v>
      </c>
      <c r="U781">
        <f t="shared" si="192"/>
        <v>-2.7755575615628914E-17</v>
      </c>
      <c r="V781">
        <f t="shared" si="192"/>
        <v>0</v>
      </c>
      <c r="W781">
        <f t="shared" si="192"/>
        <v>-2.7755575615628914E-17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-2.7755575615628914E-17</v>
      </c>
      <c r="AC781">
        <f t="shared" si="192"/>
        <v>-2.7755575615628914E-17</v>
      </c>
      <c r="AD781">
        <f t="shared" si="192"/>
        <v>-2.7755575615628914E-17</v>
      </c>
      <c r="AE781">
        <f t="shared" si="192"/>
        <v>-2.7755575615628914E-17</v>
      </c>
    </row>
    <row r="783" spans="1:31" x14ac:dyDescent="0.45">
      <c r="A783" t="s">
        <v>1541</v>
      </c>
      <c r="B783" t="s">
        <v>1464</v>
      </c>
      <c r="C783" t="s">
        <v>1383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1541</v>
      </c>
      <c r="B784" t="s">
        <v>1464</v>
      </c>
      <c r="C784" t="s">
        <v>1383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3.3266099144224071E-2</v>
      </c>
      <c r="M784">
        <f>IF(ISBLANK(Mitigation_Industry!M337),"",Mitigation_Industry!M337)</f>
        <v>3.5095734597156404E-2</v>
      </c>
      <c r="N784">
        <f>IF(ISBLANK(Mitigation_Industry!N337),"",Mitigation_Industry!N337)</f>
        <v>3.7026000000000003E-2</v>
      </c>
      <c r="O784">
        <f>IF(ISBLANK(Mitigation_Industry!O337),"",Mitigation_Industry!O337)</f>
        <v>3.9062430000000002E-2</v>
      </c>
      <c r="P784">
        <f>IF(ISBLANK(Mitigation_Industry!P337),"",Mitigation_Industry!P337)</f>
        <v>4.1210863649999999E-2</v>
      </c>
      <c r="Q784">
        <f>IF(ISBLANK(Mitigation_Industry!Q337),"",Mitigation_Industry!Q337)</f>
        <v>4.3477461150749991E-2</v>
      </c>
      <c r="R784">
        <f>IF(ISBLANK(Mitigation_Industry!R337),"",Mitigation_Industry!R337)</f>
        <v>4.5868721514041248E-2</v>
      </c>
      <c r="S784">
        <f>IF(ISBLANK(Mitigation_Industry!S337),"",Mitigation_Industry!S337)</f>
        <v>4.8391501197313509E-2</v>
      </c>
      <c r="T784">
        <f>IF(ISBLANK(Mitigation_Industry!T337),"",Mitigation_Industry!T337)</f>
        <v>5.105303376316575E-2</v>
      </c>
      <c r="U784">
        <f>IF(ISBLANK(Mitigation_Industry!U337),"",Mitigation_Industry!U337)</f>
        <v>5.3860950620139861E-2</v>
      </c>
      <c r="V784">
        <f>IF(ISBLANK(Mitigation_Industry!V337),"",Mitigation_Industry!V337)</f>
        <v>5.6823302904247558E-2</v>
      </c>
      <c r="W784">
        <f>IF(ISBLANK(Mitigation_Industry!W337),"",Mitigation_Industry!W337)</f>
        <v>5.9948584563981173E-2</v>
      </c>
      <c r="X784">
        <f>IF(ISBLANK(Mitigation_Industry!X337),"",Mitigation_Industry!X337)</f>
        <v>6.3245756715000129E-2</v>
      </c>
      <c r="Y784">
        <f>IF(ISBLANK(Mitigation_Industry!Y337),"",Mitigation_Industry!Y337)</f>
        <v>6.6724273334325138E-2</v>
      </c>
      <c r="Z784">
        <f>IF(ISBLANK(Mitigation_Industry!Z337),"",Mitigation_Industry!Z337)</f>
        <v>7.039410836771301E-2</v>
      </c>
      <c r="AA784">
        <f>IF(ISBLANK(Mitigation_Industry!AA337),"",Mitigation_Industry!AA337)</f>
        <v>7.426578432793722E-2</v>
      </c>
      <c r="AB784">
        <f>IF(ISBLANK(Mitigation_Industry!AB337),"",Mitigation_Industry!AB337)</f>
        <v>7.8350402465973787E-2</v>
      </c>
      <c r="AC784">
        <f>IF(ISBLANK(Mitigation_Industry!AC337),"",Mitigation_Industry!AC337)</f>
        <v>8.2659674601602312E-2</v>
      </c>
      <c r="AD784">
        <f>IF(ISBLANK(Mitigation_Industry!AD337),"",Mitigation_Industry!AD337)</f>
        <v>8.7205956704690446E-2</v>
      </c>
      <c r="AE784">
        <f>IF(ISBLANK(Mitigation_Industry!AE337),"",Mitigation_Industry!AE337)</f>
        <v>9.2002284323448424E-2</v>
      </c>
    </row>
    <row r="785" spans="1:31" x14ac:dyDescent="0.45">
      <c r="A785" t="s">
        <v>1541</v>
      </c>
      <c r="B785" t="s">
        <v>1464</v>
      </c>
      <c r="C785" t="s">
        <v>1383</v>
      </c>
      <c r="D785">
        <v>1</v>
      </c>
      <c r="E785" t="s">
        <v>1161</v>
      </c>
      <c r="F785">
        <f>MAX(MAX(L785:AE785),-MIN(L785:AE785))</f>
        <v>2.4286456192334688E-2</v>
      </c>
      <c r="I785" t="s">
        <v>1492</v>
      </c>
      <c r="K785">
        <f t="shared" ref="K785:AE785" si="193">IF(ISNUMBER(K783),IF(ISNUMBER(K784),K784-K783,999999),0)</f>
        <v>0</v>
      </c>
      <c r="L785">
        <f t="shared" si="193"/>
        <v>-8.7814739111879841E-3</v>
      </c>
      <c r="M785">
        <f t="shared" si="193"/>
        <v>-9.2644549763033074E-3</v>
      </c>
      <c r="N785">
        <f t="shared" si="193"/>
        <v>-9.773999999999991E-3</v>
      </c>
      <c r="O785">
        <f t="shared" si="193"/>
        <v>-1.0311569999999999E-2</v>
      </c>
      <c r="P785">
        <f t="shared" si="193"/>
        <v>-1.0878706349999996E-2</v>
      </c>
      <c r="Q785">
        <f t="shared" si="193"/>
        <v>-1.1477035199250002E-2</v>
      </c>
      <c r="R785">
        <f t="shared" si="193"/>
        <v>-1.210827213520875E-2</v>
      </c>
      <c r="S785">
        <f t="shared" si="193"/>
        <v>-1.2774227102645232E-2</v>
      </c>
      <c r="T785">
        <f t="shared" si="193"/>
        <v>-1.3476809593290714E-2</v>
      </c>
      <c r="U785">
        <f t="shared" si="193"/>
        <v>-1.4218034120921708E-2</v>
      </c>
      <c r="V785">
        <f t="shared" si="193"/>
        <v>-1.5000025997572386E-2</v>
      </c>
      <c r="W785">
        <f t="shared" si="193"/>
        <v>-1.5825027427438874E-2</v>
      </c>
      <c r="X785">
        <f t="shared" si="193"/>
        <v>-1.6695403935948025E-2</v>
      </c>
      <c r="Y785">
        <f t="shared" si="193"/>
        <v>-1.7613651152425164E-2</v>
      </c>
      <c r="Z785">
        <f t="shared" si="193"/>
        <v>-1.8582401965808557E-2</v>
      </c>
      <c r="AA785">
        <f t="shared" si="193"/>
        <v>-1.960443407392802E-2</v>
      </c>
      <c r="AB785">
        <f t="shared" si="193"/>
        <v>-2.0682677947994041E-2</v>
      </c>
      <c r="AC785">
        <f t="shared" si="193"/>
        <v>-2.1820225235133744E-2</v>
      </c>
      <c r="AD785">
        <f t="shared" si="193"/>
        <v>-2.3020337623066073E-2</v>
      </c>
      <c r="AE785">
        <f t="shared" si="193"/>
        <v>-2.4286456192334688E-2</v>
      </c>
    </row>
    <row r="787" spans="1:31" x14ac:dyDescent="0.45">
      <c r="A787" t="s">
        <v>1542</v>
      </c>
      <c r="B787" t="s">
        <v>1464</v>
      </c>
      <c r="C787" t="s">
        <v>1469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1542</v>
      </c>
      <c r="B788" t="s">
        <v>1464</v>
      </c>
      <c r="C788" t="s">
        <v>1469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21.335371186955928</v>
      </c>
      <c r="M788">
        <f>IF(ISBLANK(Mitigation_Industry!M338),"",Mitigation_Industry!M338)</f>
        <v>22.03059399488933</v>
      </c>
      <c r="N788">
        <f>IF(ISBLANK(Mitigation_Industry!N338),"",Mitigation_Industry!N338)</f>
        <v>22.749283126999998</v>
      </c>
      <c r="O788">
        <f>IF(ISBLANK(Mitigation_Industry!O338),"",Mitigation_Industry!O338)</f>
        <v>23.492256381187996</v>
      </c>
      <c r="P788">
        <f>IF(ISBLANK(Mitigation_Industry!P338),"",Mitigation_Industry!P338)</f>
        <v>24.260360915098467</v>
      </c>
      <c r="Q788">
        <f>IF(ISBLANK(Mitigation_Industry!Q338),"",Mitigation_Industry!Q338)</f>
        <v>25.054474330356101</v>
      </c>
      <c r="R788">
        <f>IF(ISBLANK(Mitigation_Industry!R338),"",Mitigation_Industry!R338)</f>
        <v>25.875505797940995</v>
      </c>
      <c r="S788">
        <f>IF(ISBLANK(Mitigation_Industry!S338),"",Mitigation_Industry!S338)</f>
        <v>26.724397226308188</v>
      </c>
      <c r="T788">
        <f>IF(ISBLANK(Mitigation_Industry!T338),"",Mitigation_Industry!T338)</f>
        <v>27.60212447391709</v>
      </c>
      <c r="U788">
        <f>IF(ISBLANK(Mitigation_Industry!U338),"",Mitigation_Industry!U338)</f>
        <v>28.509698607903836</v>
      </c>
      <c r="V788">
        <f>IF(ISBLANK(Mitigation_Industry!V338),"",Mitigation_Industry!V338)</f>
        <v>29.448167210698362</v>
      </c>
      <c r="W788">
        <f>IF(ISBLANK(Mitigation_Industry!W338),"",Mitigation_Industry!W338)</f>
        <v>30.418615736460836</v>
      </c>
      <c r="X788">
        <f>IF(ISBLANK(Mitigation_Industry!X338),"",Mitigation_Industry!X338)</f>
        <v>31.422168919286591</v>
      </c>
      <c r="Y788">
        <f>IF(ISBLANK(Mitigation_Industry!Y338),"",Mitigation_Industry!Y338)</f>
        <v>32.459992235207118</v>
      </c>
      <c r="Z788">
        <f>IF(ISBLANK(Mitigation_Industry!Z338),"",Mitigation_Industry!Z338)</f>
        <v>33.533293420096108</v>
      </c>
      <c r="AA788">
        <f>IF(ISBLANK(Mitigation_Industry!AA338),"",Mitigation_Industry!AA338)</f>
        <v>34.643324045674106</v>
      </c>
      <c r="AB788">
        <f>IF(ISBLANK(Mitigation_Industry!AB338),"",Mitigation_Industry!AB338)</f>
        <v>35.791381155893689</v>
      </c>
      <c r="AC788">
        <f>IF(ISBLANK(Mitigation_Industry!AC338),"",Mitigation_Industry!AC338)</f>
        <v>36.978808966078674</v>
      </c>
      <c r="AD788">
        <f>IF(ISBLANK(Mitigation_Industry!AD338),"",Mitigation_Industry!AD338)</f>
        <v>38.207000627286739</v>
      </c>
      <c r="AE788">
        <f>IF(ISBLANK(Mitigation_Industry!AE338),"",Mitigation_Industry!AE338)</f>
        <v>39.477400058464283</v>
      </c>
    </row>
    <row r="789" spans="1:31" x14ac:dyDescent="0.45">
      <c r="A789" t="s">
        <v>1542</v>
      </c>
      <c r="B789" t="s">
        <v>1464</v>
      </c>
      <c r="C789" t="s">
        <v>1469</v>
      </c>
      <c r="D789">
        <v>1</v>
      </c>
      <c r="E789" t="s">
        <v>1161</v>
      </c>
      <c r="F789">
        <f>MAX(MAX(L789:AE789),-MIN(L789:AE789))</f>
        <v>0.40936552686300232</v>
      </c>
      <c r="I789" t="s">
        <v>1492</v>
      </c>
      <c r="K789">
        <f t="shared" ref="K789:AE789" si="194">IF(ISNUMBER(K787),IF(ISNUMBER(K788),K788-K787,999999),0)</f>
        <v>0</v>
      </c>
      <c r="L789">
        <f t="shared" si="194"/>
        <v>0.40912482921109827</v>
      </c>
      <c r="M789">
        <f t="shared" si="194"/>
        <v>0.40936552686300232</v>
      </c>
      <c r="N789">
        <f t="shared" si="194"/>
        <v>0.40907962700000056</v>
      </c>
      <c r="O789">
        <f t="shared" si="194"/>
        <v>0.408227238188001</v>
      </c>
      <c r="P789">
        <f t="shared" si="194"/>
        <v>0.40676618024847144</v>
      </c>
      <c r="Q789">
        <f t="shared" si="194"/>
        <v>0.40465186613743143</v>
      </c>
      <c r="R789">
        <f t="shared" si="194"/>
        <v>0.40183717804488595</v>
      </c>
      <c r="S789">
        <f t="shared" si="194"/>
        <v>0.39827233744036405</v>
      </c>
      <c r="T789">
        <f t="shared" si="194"/>
        <v>0.39390476877751723</v>
      </c>
      <c r="U789">
        <f t="shared" si="194"/>
        <v>0.38867895655728546</v>
      </c>
      <c r="V789">
        <f t="shared" si="194"/>
        <v>0.38253629543505596</v>
      </c>
      <c r="W789">
        <f t="shared" si="194"/>
        <v>0.37541493304291862</v>
      </c>
      <c r="X789">
        <f t="shared" si="194"/>
        <v>0.3672496051824119</v>
      </c>
      <c r="Y789">
        <f t="shared" si="194"/>
        <v>0.35797146302746086</v>
      </c>
      <c r="Z789">
        <f t="shared" si="194"/>
        <v>0.34750789196033338</v>
      </c>
      <c r="AA789">
        <f t="shared" si="194"/>
        <v>0.33578232164580157</v>
      </c>
      <c r="AB789">
        <f t="shared" si="194"/>
        <v>0.32271402693076112</v>
      </c>
      <c r="AC789">
        <f t="shared" si="194"/>
        <v>0.30821791913685104</v>
      </c>
      <c r="AD789">
        <f t="shared" si="194"/>
        <v>0.29220432729383106</v>
      </c>
      <c r="AE789">
        <f t="shared" si="194"/>
        <v>0.27457876884102461</v>
      </c>
    </row>
    <row r="791" spans="1:31" x14ac:dyDescent="0.45">
      <c r="A791" t="s">
        <v>1543</v>
      </c>
      <c r="B791" t="s">
        <v>1470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1543</v>
      </c>
      <c r="B792" t="s">
        <v>1470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0.17734546065090059</v>
      </c>
      <c r="M792">
        <f>IF(ISBLANK(Mitigation_Industry!M341),"",Mitigation_Industry!M341)</f>
        <v>0.18514866091954021</v>
      </c>
      <c r="N792">
        <f>IF(ISBLANK(Mitigation_Industry!N341),"",Mitigation_Industry!N341)</f>
        <v>0.193295202</v>
      </c>
      <c r="O792">
        <f>IF(ISBLANK(Mitigation_Industry!O341),"",Mitigation_Industry!O341)</f>
        <v>0.20180019088800003</v>
      </c>
      <c r="P792">
        <f>IF(ISBLANK(Mitigation_Industry!P341),"",Mitigation_Industry!P341)</f>
        <v>0.21067939928707202</v>
      </c>
      <c r="Q792">
        <f>IF(ISBLANK(Mitigation_Industry!Q341),"",Mitigation_Industry!Q341)</f>
        <v>0.21994929285570322</v>
      </c>
      <c r="R792">
        <f>IF(ISBLANK(Mitigation_Industry!R341),"",Mitigation_Industry!R341)</f>
        <v>0.22962706174135414</v>
      </c>
      <c r="S792">
        <f>IF(ISBLANK(Mitigation_Industry!S341),"",Mitigation_Industry!S341)</f>
        <v>0.2397306524579737</v>
      </c>
      <c r="T792">
        <f>IF(ISBLANK(Mitigation_Industry!T341),"",Mitigation_Industry!T341)</f>
        <v>0.25027880116612461</v>
      </c>
      <c r="U792">
        <f>IF(ISBLANK(Mitigation_Industry!U341),"",Mitigation_Industry!U341)</f>
        <v>0.2612910684174341</v>
      </c>
      <c r="V792">
        <f>IF(ISBLANK(Mitigation_Industry!V341),"",Mitigation_Industry!V341)</f>
        <v>0.27278787542780114</v>
      </c>
      <c r="W792">
        <f>IF(ISBLANK(Mitigation_Industry!W341),"",Mitigation_Industry!W341)</f>
        <v>0.28479054194662445</v>
      </c>
      <c r="X792">
        <f>IF(ISBLANK(Mitigation_Industry!X341),"",Mitigation_Industry!X341)</f>
        <v>0.29732132579227588</v>
      </c>
      <c r="Y792">
        <f>IF(ISBLANK(Mitigation_Industry!Y341),"",Mitigation_Industry!Y341)</f>
        <v>0.3104034641271361</v>
      </c>
      <c r="Z792">
        <f>IF(ISBLANK(Mitigation_Industry!Z341),"",Mitigation_Industry!Z341)</f>
        <v>0.32406121654872999</v>
      </c>
      <c r="AA792">
        <f>IF(ISBLANK(Mitigation_Industry!AA341),"",Mitigation_Industry!AA341)</f>
        <v>0.33831991007687412</v>
      </c>
      <c r="AB792">
        <f>IF(ISBLANK(Mitigation_Industry!AB341),"",Mitigation_Industry!AB341)</f>
        <v>0.35320598612025667</v>
      </c>
      <c r="AC792">
        <f>IF(ISBLANK(Mitigation_Industry!AC341),"",Mitigation_Industry!AC341)</f>
        <v>0.36874704950954795</v>
      </c>
      <c r="AD792">
        <f>IF(ISBLANK(Mitigation_Industry!AD341),"",Mitigation_Industry!AD341)</f>
        <v>0.38497191968796801</v>
      </c>
      <c r="AE792">
        <f>IF(ISBLANK(Mitigation_Industry!AE341),"",Mitigation_Industry!AE341)</f>
        <v>0.40191068415423858</v>
      </c>
    </row>
    <row r="793" spans="1:31" x14ac:dyDescent="0.45">
      <c r="A793" t="s">
        <v>1543</v>
      </c>
      <c r="B793" t="s">
        <v>1470</v>
      </c>
      <c r="C793" t="s">
        <v>1350</v>
      </c>
      <c r="D793">
        <v>1</v>
      </c>
      <c r="E793" t="s">
        <v>1161</v>
      </c>
      <c r="F793">
        <f>MAX(MAX(L793:AE793),-MIN(L793:AE793))</f>
        <v>2.2258041810644391E-2</v>
      </c>
      <c r="I793" t="s">
        <v>1492</v>
      </c>
      <c r="K793">
        <f t="shared" ref="K793:AE793" si="195">IF(ISNUMBER(K791),IF(ISNUMBER(K792),K792-K791,999999),0)</f>
        <v>0</v>
      </c>
      <c r="L793">
        <f t="shared" si="195"/>
        <v>-9.8214922711058472E-3</v>
      </c>
      <c r="M793">
        <f t="shared" si="195"/>
        <v>-1.0253637931034482E-2</v>
      </c>
      <c r="N793">
        <f t="shared" si="195"/>
        <v>-1.0704797999999988E-2</v>
      </c>
      <c r="O793">
        <f t="shared" si="195"/>
        <v>-1.1175809112000001E-2</v>
      </c>
      <c r="P793">
        <f t="shared" si="195"/>
        <v>-1.1667544712928024E-2</v>
      </c>
      <c r="Q793">
        <f t="shared" si="195"/>
        <v>-1.2180916680296833E-2</v>
      </c>
      <c r="R793">
        <f t="shared" si="195"/>
        <v>-1.2716877014229938E-2</v>
      </c>
      <c r="S793">
        <f t="shared" si="195"/>
        <v>-1.3276419602856082E-2</v>
      </c>
      <c r="T793">
        <f t="shared" si="195"/>
        <v>-1.386058206538171E-2</v>
      </c>
      <c r="U793">
        <f t="shared" si="195"/>
        <v>-1.4470447676258491E-2</v>
      </c>
      <c r="V793">
        <f t="shared" si="195"/>
        <v>-1.5107147374013918E-2</v>
      </c>
      <c r="W793">
        <f t="shared" si="195"/>
        <v>-1.5771861858470515E-2</v>
      </c>
      <c r="X793">
        <f t="shared" si="195"/>
        <v>-1.6465823780243249E-2</v>
      </c>
      <c r="Y793">
        <f t="shared" si="195"/>
        <v>-1.7190320026573891E-2</v>
      </c>
      <c r="Z793">
        <f t="shared" si="195"/>
        <v>-1.7946694107743244E-2</v>
      </c>
      <c r="AA793">
        <f t="shared" si="195"/>
        <v>-1.8736348648483947E-2</v>
      </c>
      <c r="AB793">
        <f t="shared" si="195"/>
        <v>-1.9560747989017191E-2</v>
      </c>
      <c r="AC793">
        <f t="shared" si="195"/>
        <v>-2.0421420900533893E-2</v>
      </c>
      <c r="AD793">
        <f t="shared" si="195"/>
        <v>-2.1319963420157462E-2</v>
      </c>
      <c r="AE793">
        <f t="shared" si="195"/>
        <v>-2.2258041810644391E-2</v>
      </c>
    </row>
    <row r="795" spans="1:31" x14ac:dyDescent="0.45">
      <c r="A795" t="s">
        <v>1544</v>
      </c>
      <c r="B795" t="s">
        <v>1470</v>
      </c>
      <c r="C795" t="s">
        <v>1355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1544</v>
      </c>
      <c r="B796" t="s">
        <v>1470</v>
      </c>
      <c r="C796" t="s">
        <v>1355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0.19368983132954593</v>
      </c>
      <c r="M796">
        <f>IF(ISBLANK(Mitigation_Industry!M342),"",Mitigation_Industry!M342)</f>
        <v>0.20221218390804596</v>
      </c>
      <c r="N796">
        <f>IF(ISBLANK(Mitigation_Industry!N342),"",Mitigation_Industry!N342)</f>
        <v>0.21110951999999997</v>
      </c>
      <c r="O796">
        <f>IF(ISBLANK(Mitigation_Industry!O342),"",Mitigation_Industry!O342)</f>
        <v>0.22039833887999999</v>
      </c>
      <c r="P796">
        <f>IF(ISBLANK(Mitigation_Industry!P342),"",Mitigation_Industry!P342)</f>
        <v>0.23009586579071997</v>
      </c>
      <c r="Q796">
        <f>IF(ISBLANK(Mitigation_Industry!Q342),"",Mitigation_Industry!Q342)</f>
        <v>0.24022008388551169</v>
      </c>
      <c r="R796">
        <f>IF(ISBLANK(Mitigation_Industry!R342),"",Mitigation_Industry!R342)</f>
        <v>0.25078976757647414</v>
      </c>
      <c r="S796">
        <f>IF(ISBLANK(Mitigation_Industry!S342),"",Mitigation_Industry!S342)</f>
        <v>0.26182451734983908</v>
      </c>
      <c r="T796">
        <f>IF(ISBLANK(Mitigation_Industry!T342),"",Mitigation_Industry!T342)</f>
        <v>0.27334479611323198</v>
      </c>
      <c r="U796">
        <f>IF(ISBLANK(Mitigation_Industry!U342),"",Mitigation_Industry!U342)</f>
        <v>0.28537196714221424</v>
      </c>
      <c r="V796">
        <f>IF(ISBLANK(Mitigation_Industry!V342),"",Mitigation_Industry!V342)</f>
        <v>0.29792833369647159</v>
      </c>
      <c r="W796">
        <f>IF(ISBLANK(Mitigation_Industry!W342),"",Mitigation_Industry!W342)</f>
        <v>0.31103718037911643</v>
      </c>
      <c r="X796">
        <f>IF(ISBLANK(Mitigation_Industry!X342),"",Mitigation_Industry!X342)</f>
        <v>0.32472281631579752</v>
      </c>
      <c r="Y796">
        <f>IF(ISBLANK(Mitigation_Industry!Y342),"",Mitigation_Industry!Y342)</f>
        <v>0.33901062023369266</v>
      </c>
      <c r="Z796">
        <f>IF(ISBLANK(Mitigation_Industry!Z342),"",Mitigation_Industry!Z342)</f>
        <v>0.35392708752397511</v>
      </c>
      <c r="AA796">
        <f>IF(ISBLANK(Mitigation_Industry!AA342),"",Mitigation_Industry!AA342)</f>
        <v>0.36949987937502998</v>
      </c>
      <c r="AB796">
        <f>IF(ISBLANK(Mitigation_Industry!AB342),"",Mitigation_Industry!AB342)</f>
        <v>0.38575787406753137</v>
      </c>
      <c r="AC796">
        <f>IF(ISBLANK(Mitigation_Industry!AC342),"",Mitigation_Industry!AC342)</f>
        <v>0.40273122052650273</v>
      </c>
      <c r="AD796">
        <f>IF(ISBLANK(Mitigation_Industry!AD342),"",Mitigation_Industry!AD342)</f>
        <v>0.42045139422966882</v>
      </c>
      <c r="AE796">
        <f>IF(ISBLANK(Mitigation_Industry!AE342),"",Mitigation_Industry!AE342)</f>
        <v>0.43895125557577425</v>
      </c>
    </row>
    <row r="797" spans="1:31" x14ac:dyDescent="0.45">
      <c r="A797" t="s">
        <v>1544</v>
      </c>
      <c r="B797" t="s">
        <v>1470</v>
      </c>
      <c r="C797" t="s">
        <v>1355</v>
      </c>
      <c r="D797">
        <v>1</v>
      </c>
      <c r="E797" t="s">
        <v>1161</v>
      </c>
      <c r="F797">
        <f>MAX(MAX(L797:AE797),-MIN(L797:AE797))</f>
        <v>0.28924464641169795</v>
      </c>
      <c r="I797" t="s">
        <v>1492</v>
      </c>
      <c r="K797">
        <f t="shared" ref="K797:AE797" si="196">IF(ISNUMBER(K795),IF(ISNUMBER(K796),K796-K795,999999),0)</f>
        <v>0</v>
      </c>
      <c r="L797">
        <f t="shared" si="196"/>
        <v>0.12763090676883776</v>
      </c>
      <c r="M797">
        <f t="shared" si="196"/>
        <v>0.13324666666666665</v>
      </c>
      <c r="N797">
        <f t="shared" si="196"/>
        <v>0.13910951999999999</v>
      </c>
      <c r="O797">
        <f t="shared" si="196"/>
        <v>0.14523033887999998</v>
      </c>
      <c r="P797">
        <f t="shared" si="196"/>
        <v>0.15162047379071997</v>
      </c>
      <c r="Q797">
        <f t="shared" si="196"/>
        <v>0.15829177463751171</v>
      </c>
      <c r="R797">
        <f t="shared" si="196"/>
        <v>0.16525661272156214</v>
      </c>
      <c r="S797">
        <f t="shared" si="196"/>
        <v>0.17252790368131096</v>
      </c>
      <c r="T797">
        <f t="shared" si="196"/>
        <v>0.18011913144328862</v>
      </c>
      <c r="U797">
        <f t="shared" si="196"/>
        <v>0.18804437322679335</v>
      </c>
      <c r="V797">
        <f t="shared" si="196"/>
        <v>0.19631832564877216</v>
      </c>
      <c r="W797">
        <f t="shared" si="196"/>
        <v>0.20495633197731825</v>
      </c>
      <c r="X797">
        <f t="shared" si="196"/>
        <v>0.21397441058432021</v>
      </c>
      <c r="Y797">
        <f t="shared" si="196"/>
        <v>0.22338928465003036</v>
      </c>
      <c r="Z797">
        <f t="shared" si="196"/>
        <v>0.23321841317463166</v>
      </c>
      <c r="AA797">
        <f t="shared" si="196"/>
        <v>0.24348002335431543</v>
      </c>
      <c r="AB797">
        <f t="shared" si="196"/>
        <v>0.25419314438190538</v>
      </c>
      <c r="AC797">
        <f t="shared" si="196"/>
        <v>0.26537764273470921</v>
      </c>
      <c r="AD797">
        <f t="shared" si="196"/>
        <v>0.27705425901503639</v>
      </c>
      <c r="AE797">
        <f t="shared" si="196"/>
        <v>0.28924464641169795</v>
      </c>
    </row>
    <row r="799" spans="1:31" x14ac:dyDescent="0.45">
      <c r="A799" t="s">
        <v>1545</v>
      </c>
      <c r="B799" t="s">
        <v>1470</v>
      </c>
      <c r="C799" t="s">
        <v>1359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1545</v>
      </c>
      <c r="B800" t="s">
        <v>1470</v>
      </c>
      <c r="C800" t="s">
        <v>1359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1545</v>
      </c>
      <c r="B801" t="s">
        <v>1470</v>
      </c>
      <c r="C801" t="s">
        <v>1359</v>
      </c>
      <c r="D801">
        <v>1</v>
      </c>
      <c r="E801" t="s">
        <v>1161</v>
      </c>
      <c r="F801">
        <f>MAX(MAX(L801:AE801),-MIN(L801:AE801))</f>
        <v>0</v>
      </c>
      <c r="I801" t="s">
        <v>1492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1546</v>
      </c>
      <c r="B803" t="s">
        <v>1470</v>
      </c>
      <c r="C803" t="s">
        <v>1363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1546</v>
      </c>
      <c r="B804" t="s">
        <v>1470</v>
      </c>
      <c r="C804" t="s">
        <v>1363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25.163138219961041</v>
      </c>
      <c r="M804">
        <f>IF(ISBLANK(Mitigation_Industry!M344),"",Mitigation_Industry!M344)</f>
        <v>25.993521781219755</v>
      </c>
      <c r="N804">
        <f>IF(ISBLANK(Mitigation_Industry!N344),"",Mitigation_Industry!N344)</f>
        <v>26.851308</v>
      </c>
      <c r="O804">
        <f>IF(ISBLANK(Mitigation_Industry!O344),"",Mitigation_Industry!O344)</f>
        <v>27.737401163999998</v>
      </c>
      <c r="P804">
        <f>IF(ISBLANK(Mitigation_Industry!P344),"",Mitigation_Industry!P344)</f>
        <v>28.652735402411995</v>
      </c>
      <c r="Q804">
        <f>IF(ISBLANK(Mitigation_Industry!Q344),"",Mitigation_Industry!Q344)</f>
        <v>29.598275670691589</v>
      </c>
      <c r="R804">
        <f>IF(ISBLANK(Mitigation_Industry!R344),"",Mitigation_Industry!R344)</f>
        <v>30.575018767824407</v>
      </c>
      <c r="S804">
        <f>IF(ISBLANK(Mitigation_Industry!S344),"",Mitigation_Industry!S344)</f>
        <v>31.583994387162612</v>
      </c>
      <c r="T804">
        <f>IF(ISBLANK(Mitigation_Industry!T344),"",Mitigation_Industry!T344)</f>
        <v>32.626266201938975</v>
      </c>
      <c r="U804">
        <f>IF(ISBLANK(Mitigation_Industry!U344),"",Mitigation_Industry!U344)</f>
        <v>33.70293298660296</v>
      </c>
      <c r="V804">
        <f>IF(ISBLANK(Mitigation_Industry!V344),"",Mitigation_Industry!V344)</f>
        <v>34.815129775160841</v>
      </c>
      <c r="W804">
        <f>IF(ISBLANK(Mitigation_Industry!W344),"",Mitigation_Industry!W344)</f>
        <v>35.964029057741151</v>
      </c>
      <c r="X804">
        <f>IF(ISBLANK(Mitigation_Industry!X344),"",Mitigation_Industry!X344)</f>
        <v>37.150842016646592</v>
      </c>
      <c r="Y804">
        <f>IF(ISBLANK(Mitigation_Industry!Y344),"",Mitigation_Industry!Y344)</f>
        <v>38.376819803195943</v>
      </c>
      <c r="Z804">
        <f>IF(ISBLANK(Mitigation_Industry!Z344),"",Mitigation_Industry!Z344)</f>
        <v>39.643254856701404</v>
      </c>
      <c r="AA804">
        <f>IF(ISBLANK(Mitigation_Industry!AA344),"",Mitigation_Industry!AA344)</f>
        <v>40.951482266972548</v>
      </c>
      <c r="AB804">
        <f>IF(ISBLANK(Mitigation_Industry!AB344),"",Mitigation_Industry!AB344)</f>
        <v>42.302881181782631</v>
      </c>
      <c r="AC804">
        <f>IF(ISBLANK(Mitigation_Industry!AC344),"",Mitigation_Industry!AC344)</f>
        <v>43.698876260781446</v>
      </c>
      <c r="AD804">
        <f>IF(ISBLANK(Mitigation_Industry!AD344),"",Mitigation_Industry!AD344)</f>
        <v>45.140939177387231</v>
      </c>
      <c r="AE804">
        <f>IF(ISBLANK(Mitigation_Industry!AE344),"",Mitigation_Industry!AE344)</f>
        <v>46.630590170241007</v>
      </c>
    </row>
    <row r="805" spans="1:31" x14ac:dyDescent="0.45">
      <c r="A805" t="s">
        <v>1546</v>
      </c>
      <c r="B805" t="s">
        <v>1470</v>
      </c>
      <c r="C805" t="s">
        <v>1363</v>
      </c>
      <c r="D805">
        <v>1</v>
      </c>
      <c r="E805" t="s">
        <v>1161</v>
      </c>
      <c r="F805">
        <f>MAX(MAX(L805:AE805),-MIN(L805:AE805))</f>
        <v>0.95741397050655763</v>
      </c>
      <c r="I805" t="s">
        <v>1492</v>
      </c>
      <c r="K805">
        <f t="shared" ref="K805:AE805" si="198">IF(ISNUMBER(K803),IF(ISNUMBER(K804),K804-K803,999999),0)</f>
        <v>0</v>
      </c>
      <c r="L805">
        <f t="shared" si="198"/>
        <v>0.51664669020109599</v>
      </c>
      <c r="M805">
        <f t="shared" si="198"/>
        <v>0.53369603097773322</v>
      </c>
      <c r="N805">
        <f t="shared" si="198"/>
        <v>0.5513079999999988</v>
      </c>
      <c r="O805">
        <f t="shared" si="198"/>
        <v>0.56950116399999828</v>
      </c>
      <c r="P805">
        <f t="shared" si="198"/>
        <v>0.58829470241199999</v>
      </c>
      <c r="Q805">
        <f t="shared" si="198"/>
        <v>0.60770842759159649</v>
      </c>
      <c r="R805">
        <f t="shared" si="198"/>
        <v>0.6277628057021154</v>
      </c>
      <c r="S805">
        <f t="shared" si="198"/>
        <v>0.64847897829028867</v>
      </c>
      <c r="T805">
        <f t="shared" si="198"/>
        <v>0.66987878457386429</v>
      </c>
      <c r="U805">
        <f t="shared" si="198"/>
        <v>0.69198478446480749</v>
      </c>
      <c r="V805">
        <f t="shared" si="198"/>
        <v>0.71482028235213591</v>
      </c>
      <c r="W805">
        <f t="shared" si="198"/>
        <v>0.73840935166975186</v>
      </c>
      <c r="X805">
        <f t="shared" si="198"/>
        <v>0.76277686027484748</v>
      </c>
      <c r="Y805">
        <f t="shared" si="198"/>
        <v>0.78794849666392963</v>
      </c>
      <c r="Z805">
        <f t="shared" si="198"/>
        <v>0.81395079705383466</v>
      </c>
      <c r="AA805">
        <f t="shared" si="198"/>
        <v>0.84081117335661304</v>
      </c>
      <c r="AB805">
        <f t="shared" si="198"/>
        <v>0.86855794207737347</v>
      </c>
      <c r="AC805">
        <f t="shared" si="198"/>
        <v>0.89722035416592405</v>
      </c>
      <c r="AD805">
        <f t="shared" si="198"/>
        <v>0.9268286258533962</v>
      </c>
      <c r="AE805">
        <f t="shared" si="198"/>
        <v>0.95741397050655763</v>
      </c>
    </row>
    <row r="807" spans="1:31" x14ac:dyDescent="0.45">
      <c r="A807" t="s">
        <v>1547</v>
      </c>
      <c r="B807" t="s">
        <v>1470</v>
      </c>
      <c r="C807" t="s">
        <v>1425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1547</v>
      </c>
      <c r="B808" t="s">
        <v>1470</v>
      </c>
      <c r="C808" t="s">
        <v>1425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1547</v>
      </c>
      <c r="B809" t="s">
        <v>1470</v>
      </c>
      <c r="C809" t="s">
        <v>1425</v>
      </c>
      <c r="D809">
        <v>1</v>
      </c>
      <c r="E809" t="s">
        <v>1161</v>
      </c>
      <c r="F809">
        <f>MAX(MAX(L809:AE809),-MIN(L809:AE809))</f>
        <v>0</v>
      </c>
      <c r="I809" t="s">
        <v>1492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1548</v>
      </c>
      <c r="B811" t="s">
        <v>1470</v>
      </c>
      <c r="C811" t="s">
        <v>1373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1548</v>
      </c>
      <c r="B812" t="s">
        <v>1470</v>
      </c>
      <c r="C812" t="s">
        <v>1373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1548</v>
      </c>
      <c r="B813" t="s">
        <v>1470</v>
      </c>
      <c r="C813" t="s">
        <v>1373</v>
      </c>
      <c r="D813">
        <v>1</v>
      </c>
      <c r="E813" t="s">
        <v>1161</v>
      </c>
      <c r="F813">
        <f>MAX(MAX(L813:AE813),-MIN(L813:AE813))</f>
        <v>0</v>
      </c>
      <c r="I813" t="s">
        <v>1492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1549</v>
      </c>
      <c r="B815" t="s">
        <v>1470</v>
      </c>
      <c r="C815" t="s">
        <v>1378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1549</v>
      </c>
      <c r="B816" t="s">
        <v>1470</v>
      </c>
      <c r="C816" t="s">
        <v>1378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0.57123661061347031</v>
      </c>
      <c r="M816">
        <f>IF(ISBLANK(Mitigation_Industry!M347),"",Mitigation_Industry!M347)</f>
        <v>0.58380381604696674</v>
      </c>
      <c r="N816">
        <f>IF(ISBLANK(Mitigation_Industry!N347),"",Mitigation_Industry!N347)</f>
        <v>0.5966475</v>
      </c>
      <c r="O816">
        <f>IF(ISBLANK(Mitigation_Industry!O347),"",Mitigation_Industry!O347)</f>
        <v>0.60977374500000003</v>
      </c>
      <c r="P816">
        <f>IF(ISBLANK(Mitigation_Industry!P347),"",Mitigation_Industry!P347)</f>
        <v>0.62318876738999995</v>
      </c>
      <c r="Q816">
        <f>IF(ISBLANK(Mitigation_Industry!Q347),"",Mitigation_Industry!Q347)</f>
        <v>0.6368989202725801</v>
      </c>
      <c r="R816">
        <f>IF(ISBLANK(Mitigation_Industry!R347),"",Mitigation_Industry!R347)</f>
        <v>0.65091069651857669</v>
      </c>
      <c r="S816">
        <f>IF(ISBLANK(Mitigation_Industry!S347),"",Mitigation_Industry!S347)</f>
        <v>0.66523073184198556</v>
      </c>
      <c r="T816">
        <f>IF(ISBLANK(Mitigation_Industry!T347),"",Mitigation_Industry!T347)</f>
        <v>0.67986580794250906</v>
      </c>
      <c r="U816">
        <f>IF(ISBLANK(Mitigation_Industry!U347),"",Mitigation_Industry!U347)</f>
        <v>0.69482285571724434</v>
      </c>
      <c r="V816">
        <f>IF(ISBLANK(Mitigation_Industry!V347),"",Mitigation_Industry!V347)</f>
        <v>0.7101089585430238</v>
      </c>
      <c r="W816">
        <f>IF(ISBLANK(Mitigation_Industry!W347),"",Mitigation_Industry!W347)</f>
        <v>0.72573135563097024</v>
      </c>
      <c r="X816">
        <f>IF(ISBLANK(Mitigation_Industry!X347),"",Mitigation_Industry!X347)</f>
        <v>0.74169744545485172</v>
      </c>
      <c r="Y816">
        <f>IF(ISBLANK(Mitigation_Industry!Y347),"",Mitigation_Industry!Y347)</f>
        <v>0.75801478925485843</v>
      </c>
      <c r="Z816">
        <f>IF(ISBLANK(Mitigation_Industry!Z347),"",Mitigation_Industry!Z347)</f>
        <v>0.7746911146184654</v>
      </c>
      <c r="AA816">
        <f>IF(ISBLANK(Mitigation_Industry!AA347),"",Mitigation_Industry!AA347)</f>
        <v>0.79173431914007153</v>
      </c>
      <c r="AB816">
        <f>IF(ISBLANK(Mitigation_Industry!AB347),"",Mitigation_Industry!AB347)</f>
        <v>0.8091524741611531</v>
      </c>
      <c r="AC816">
        <f>IF(ISBLANK(Mitigation_Industry!AC347),"",Mitigation_Industry!AC347)</f>
        <v>0.8269538285926985</v>
      </c>
      <c r="AD816">
        <f>IF(ISBLANK(Mitigation_Industry!AD347),"",Mitigation_Industry!AD347)</f>
        <v>0.84514681282173787</v>
      </c>
      <c r="AE816">
        <f>IF(ISBLANK(Mitigation_Industry!AE347),"",Mitigation_Industry!AE347)</f>
        <v>0.8637400427038161</v>
      </c>
    </row>
    <row r="817" spans="1:31" x14ac:dyDescent="0.45">
      <c r="A817" t="s">
        <v>1549</v>
      </c>
      <c r="B817" t="s">
        <v>1470</v>
      </c>
      <c r="C817" t="s">
        <v>1378</v>
      </c>
      <c r="D817">
        <v>1</v>
      </c>
      <c r="E817" t="s">
        <v>1161</v>
      </c>
      <c r="F817">
        <f>MAX(MAX(L817:AE817),-MIN(L817:AE817))</f>
        <v>2.1204534126941121E-2</v>
      </c>
      <c r="I817" t="s">
        <v>1492</v>
      </c>
      <c r="K817">
        <f t="shared" ref="K817:AE817" si="201">IF(ISNUMBER(K815),IF(ISNUMBER(K816),K816-K815,999999),0)</f>
        <v>0</v>
      </c>
      <c r="L817">
        <f t="shared" si="201"/>
        <v>1.4023671018416728E-2</v>
      </c>
      <c r="M817">
        <f t="shared" si="201"/>
        <v>1.4332191780822012E-2</v>
      </c>
      <c r="N817">
        <f t="shared" si="201"/>
        <v>1.4647500000000035E-2</v>
      </c>
      <c r="O817">
        <f t="shared" si="201"/>
        <v>1.4969745000000034E-2</v>
      </c>
      <c r="P817">
        <f t="shared" si="201"/>
        <v>1.5299079389999859E-2</v>
      </c>
      <c r="Q817">
        <f t="shared" si="201"/>
        <v>1.563565913658016E-2</v>
      </c>
      <c r="R817">
        <f t="shared" si="201"/>
        <v>1.5979643637584751E-2</v>
      </c>
      <c r="S817">
        <f t="shared" si="201"/>
        <v>1.6331195797611775E-2</v>
      </c>
      <c r="T817">
        <f t="shared" si="201"/>
        <v>1.6690482105158999E-2</v>
      </c>
      <c r="U817">
        <f t="shared" si="201"/>
        <v>1.7057672711472516E-2</v>
      </c>
      <c r="V817">
        <f t="shared" si="201"/>
        <v>1.7432941511124955E-2</v>
      </c>
      <c r="W817">
        <f t="shared" si="201"/>
        <v>1.781646622436972E-2</v>
      </c>
      <c r="X817">
        <f t="shared" si="201"/>
        <v>1.8208428481305994E-2</v>
      </c>
      <c r="Y817">
        <f t="shared" si="201"/>
        <v>1.8609013907894711E-2</v>
      </c>
      <c r="Z817">
        <f t="shared" si="201"/>
        <v>1.9018412213868352E-2</v>
      </c>
      <c r="AA817">
        <f t="shared" si="201"/>
        <v>1.9436817282573293E-2</v>
      </c>
      <c r="AB817">
        <f t="shared" si="201"/>
        <v>1.9864427262789919E-2</v>
      </c>
      <c r="AC817">
        <f t="shared" si="201"/>
        <v>2.0301444662571333E-2</v>
      </c>
      <c r="AD817">
        <f t="shared" si="201"/>
        <v>2.0748076445147867E-2</v>
      </c>
      <c r="AE817">
        <f t="shared" si="201"/>
        <v>2.1204534126941121E-2</v>
      </c>
    </row>
    <row r="819" spans="1:31" x14ac:dyDescent="0.45">
      <c r="A819" t="s">
        <v>1550</v>
      </c>
      <c r="B819" t="s">
        <v>1470</v>
      </c>
      <c r="C819" t="s">
        <v>1383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1550</v>
      </c>
      <c r="B820" t="s">
        <v>1470</v>
      </c>
      <c r="C820" t="s">
        <v>1383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0.64621002403360217</v>
      </c>
      <c r="M820">
        <f>IF(ISBLANK(Mitigation_Industry!M348),"",Mitigation_Industry!M348)</f>
        <v>0.68175157535545017</v>
      </c>
      <c r="N820">
        <f>IF(ISBLANK(Mitigation_Industry!N348),"",Mitigation_Industry!N348)</f>
        <v>0.71924791200000004</v>
      </c>
      <c r="O820">
        <f>IF(ISBLANK(Mitigation_Industry!O348),"",Mitigation_Industry!O348)</f>
        <v>0.75880654716000007</v>
      </c>
      <c r="P820">
        <f>IF(ISBLANK(Mitigation_Industry!P348),"",Mitigation_Industry!P348)</f>
        <v>0.80054090725379989</v>
      </c>
      <c r="Q820">
        <f>IF(ISBLANK(Mitigation_Industry!Q348),"",Mitigation_Industry!Q348)</f>
        <v>0.84457065715275881</v>
      </c>
      <c r="R820">
        <f>IF(ISBLANK(Mitigation_Industry!R348),"",Mitigation_Industry!R348)</f>
        <v>0.89102204329616075</v>
      </c>
      <c r="S820">
        <f>IF(ISBLANK(Mitigation_Industry!S348),"",Mitigation_Industry!S348)</f>
        <v>0.9400282556774493</v>
      </c>
      <c r="T820">
        <f>IF(ISBLANK(Mitigation_Industry!T348),"",Mitigation_Industry!T348)</f>
        <v>0.99172980973970914</v>
      </c>
      <c r="U820">
        <f>IF(ISBLANK(Mitigation_Industry!U348),"",Mitigation_Industry!U348)</f>
        <v>1.0462749492753931</v>
      </c>
      <c r="V820">
        <f>IF(ISBLANK(Mitigation_Industry!V348),"",Mitigation_Industry!V348)</f>
        <v>1.1038200714855397</v>
      </c>
      <c r="W820">
        <f>IF(ISBLANK(Mitigation_Industry!W348),"",Mitigation_Industry!W348)</f>
        <v>1.1645301754172441</v>
      </c>
      <c r="X820">
        <f>IF(ISBLANK(Mitigation_Industry!X348),"",Mitigation_Industry!X348)</f>
        <v>1.2285793350651928</v>
      </c>
      <c r="Y820">
        <f>IF(ISBLANK(Mitigation_Industry!Y348),"",Mitigation_Industry!Y348)</f>
        <v>1.2961511984937784</v>
      </c>
      <c r="Z820">
        <f>IF(ISBLANK(Mitigation_Industry!Z348),"",Mitigation_Industry!Z348)</f>
        <v>1.3674395144109359</v>
      </c>
      <c r="AA820">
        <f>IF(ISBLANK(Mitigation_Industry!AA348),"",Mitigation_Industry!AA348)</f>
        <v>1.4426486877035372</v>
      </c>
      <c r="AB820">
        <f>IF(ISBLANK(Mitigation_Industry!AB348),"",Mitigation_Industry!AB348)</f>
        <v>1.5219943655272321</v>
      </c>
      <c r="AC820">
        <f>IF(ISBLANK(Mitigation_Industry!AC348),"",Mitigation_Industry!AC348)</f>
        <v>1.6057040556312294</v>
      </c>
      <c r="AD820">
        <f>IF(ISBLANK(Mitigation_Industry!AD348),"",Mitigation_Industry!AD348)</f>
        <v>1.6940177786909472</v>
      </c>
      <c r="AE820">
        <f>IF(ISBLANK(Mitigation_Industry!AE348),"",Mitigation_Industry!AE348)</f>
        <v>1.787188756518949</v>
      </c>
    </row>
    <row r="821" spans="1:31" x14ac:dyDescent="0.45">
      <c r="A821" t="s">
        <v>1550</v>
      </c>
      <c r="B821" t="s">
        <v>1470</v>
      </c>
      <c r="C821" t="s">
        <v>1383</v>
      </c>
      <c r="D821">
        <v>1</v>
      </c>
      <c r="E821" t="s">
        <v>1161</v>
      </c>
      <c r="F821">
        <f>MAX(MAX(L821:AE821),-MIN(L821:AE821))</f>
        <v>3.5403242338882812E-2</v>
      </c>
      <c r="I821" t="s">
        <v>1492</v>
      </c>
      <c r="K821">
        <f t="shared" ref="K821:AE821" si="202">IF(ISNUMBER(K819),IF(ISNUMBER(K820),K820-K819,999999),0)</f>
        <v>0</v>
      </c>
      <c r="L821">
        <f t="shared" si="202"/>
        <v>1.2801070955279603E-2</v>
      </c>
      <c r="M821">
        <f t="shared" si="202"/>
        <v>1.350512985781982E-2</v>
      </c>
      <c r="N821">
        <f t="shared" si="202"/>
        <v>1.4247912000000085E-2</v>
      </c>
      <c r="O821">
        <f t="shared" si="202"/>
        <v>1.5031547160000103E-2</v>
      </c>
      <c r="P821">
        <f t="shared" si="202"/>
        <v>1.5858282253799927E-2</v>
      </c>
      <c r="Q821">
        <f t="shared" si="202"/>
        <v>1.6730487777758873E-2</v>
      </c>
      <c r="R821">
        <f t="shared" si="202"/>
        <v>1.7650664605535771E-2</v>
      </c>
      <c r="S821">
        <f t="shared" si="202"/>
        <v>1.8621451158839952E-2</v>
      </c>
      <c r="T821">
        <f t="shared" si="202"/>
        <v>1.9645630972576322E-2</v>
      </c>
      <c r="U821">
        <f t="shared" si="202"/>
        <v>2.072614067606815E-2</v>
      </c>
      <c r="V821">
        <f t="shared" si="202"/>
        <v>2.1866078413251833E-2</v>
      </c>
      <c r="W821">
        <f t="shared" si="202"/>
        <v>2.3068712725980323E-2</v>
      </c>
      <c r="X821">
        <f t="shared" si="202"/>
        <v>2.4337491925909616E-2</v>
      </c>
      <c r="Y821">
        <f t="shared" si="202"/>
        <v>2.5676053981834812E-2</v>
      </c>
      <c r="Z821">
        <f t="shared" si="202"/>
        <v>2.708823695083562E-2</v>
      </c>
      <c r="AA821">
        <f t="shared" si="202"/>
        <v>2.8578089983130939E-2</v>
      </c>
      <c r="AB821">
        <f t="shared" si="202"/>
        <v>3.0149884932203941E-2</v>
      </c>
      <c r="AC821">
        <f t="shared" si="202"/>
        <v>3.1808128603474817E-2</v>
      </c>
      <c r="AD821">
        <f t="shared" si="202"/>
        <v>3.3557575676666174E-2</v>
      </c>
      <c r="AE821">
        <f t="shared" si="202"/>
        <v>3.5403242338882812E-2</v>
      </c>
    </row>
    <row r="823" spans="1:31" x14ac:dyDescent="0.45">
      <c r="A823" t="s">
        <v>1551</v>
      </c>
      <c r="B823" t="s">
        <v>1470</v>
      </c>
      <c r="C823" t="s">
        <v>1469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1551</v>
      </c>
      <c r="B824" t="s">
        <v>1470</v>
      </c>
      <c r="C824" t="s">
        <v>1469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26.751620146588564</v>
      </c>
      <c r="M824">
        <f>IF(ISBLANK(Mitigation_Industry!M349),"",Mitigation_Industry!M349)</f>
        <v>27.646438017449757</v>
      </c>
      <c r="N824">
        <f>IF(ISBLANK(Mitigation_Industry!N349),"",Mitigation_Industry!N349)</f>
        <v>28.571608133999998</v>
      </c>
      <c r="O824">
        <f>IF(ISBLANK(Mitigation_Industry!O349),"",Mitigation_Industry!O349)</f>
        <v>29.528179985927999</v>
      </c>
      <c r="P824">
        <f>IF(ISBLANK(Mitigation_Industry!P349),"",Mitigation_Industry!P349)</f>
        <v>30.51724034213359</v>
      </c>
      <c r="Q824">
        <f>IF(ISBLANK(Mitigation_Industry!Q349),"",Mitigation_Industry!Q349)</f>
        <v>31.539914624858142</v>
      </c>
      <c r="R824">
        <f>IF(ISBLANK(Mitigation_Industry!R349),"",Mitigation_Industry!R349)</f>
        <v>32.597368336956968</v>
      </c>
      <c r="S824">
        <f>IF(ISBLANK(Mitigation_Industry!S349),"",Mitigation_Industry!S349)</f>
        <v>33.690808544489862</v>
      </c>
      <c r="T824">
        <f>IF(ISBLANK(Mitigation_Industry!T349),"",Mitigation_Industry!T349)</f>
        <v>34.821485416900551</v>
      </c>
      <c r="U824">
        <f>IF(ISBLANK(Mitigation_Industry!U349),"",Mitigation_Industry!U349)</f>
        <v>35.990693827155241</v>
      </c>
      <c r="V824">
        <f>IF(ISBLANK(Mitigation_Industry!V349),"",Mitigation_Industry!V349)</f>
        <v>37.199775014313673</v>
      </c>
      <c r="W824">
        <f>IF(ISBLANK(Mitigation_Industry!W349),"",Mitigation_Industry!W349)</f>
        <v>38.450118311115105</v>
      </c>
      <c r="X824">
        <f>IF(ISBLANK(Mitigation_Industry!X349),"",Mitigation_Industry!X349)</f>
        <v>39.743162939274711</v>
      </c>
      <c r="Y824">
        <f>IF(ISBLANK(Mitigation_Industry!Y349),"",Mitigation_Industry!Y349)</f>
        <v>41.08039987530541</v>
      </c>
      <c r="Z824">
        <f>IF(ISBLANK(Mitigation_Industry!Z349),"",Mitigation_Industry!Z349)</f>
        <v>42.463373789803505</v>
      </c>
      <c r="AA824">
        <f>IF(ISBLANK(Mitigation_Industry!AA349),"",Mitigation_Industry!AA349)</f>
        <v>43.893685063268059</v>
      </c>
      <c r="AB824">
        <f>IF(ISBLANK(Mitigation_Industry!AB349),"",Mitigation_Industry!AB349)</f>
        <v>45.372991881658805</v>
      </c>
      <c r="AC824">
        <f>IF(ISBLANK(Mitigation_Industry!AC349),"",Mitigation_Industry!AC349)</f>
        <v>46.903012415041424</v>
      </c>
      <c r="AD824">
        <f>IF(ISBLANK(Mitigation_Industry!AD349),"",Mitigation_Industry!AD349)</f>
        <v>48.485527082817555</v>
      </c>
      <c r="AE824">
        <f>IF(ISBLANK(Mitigation_Industry!AE349),"",Mitigation_Industry!AE349)</f>
        <v>50.122380909193787</v>
      </c>
    </row>
    <row r="825" spans="1:31" x14ac:dyDescent="0.45">
      <c r="A825" t="s">
        <v>1551</v>
      </c>
      <c r="B825" t="s">
        <v>1470</v>
      </c>
      <c r="C825" t="s">
        <v>1469</v>
      </c>
      <c r="D825">
        <v>1</v>
      </c>
      <c r="E825" t="s">
        <v>1161</v>
      </c>
      <c r="F825">
        <f>MAX(MAX(L825:AE825),-MIN(L825:AE825))</f>
        <v>1.2810083515734405</v>
      </c>
      <c r="I825" t="s">
        <v>1492</v>
      </c>
      <c r="K825">
        <f t="shared" ref="K825:AE825" si="203">IF(ISNUMBER(K823),IF(ISNUMBER(K824),K824-K823,999999),0)</f>
        <v>0</v>
      </c>
      <c r="L825">
        <f t="shared" si="203"/>
        <v>0.66128084667252551</v>
      </c>
      <c r="M825">
        <f t="shared" si="203"/>
        <v>0.68452638135200417</v>
      </c>
      <c r="N825">
        <f t="shared" si="203"/>
        <v>0.70860813399999856</v>
      </c>
      <c r="O825">
        <f t="shared" si="203"/>
        <v>0.73355698592800067</v>
      </c>
      <c r="P825">
        <f t="shared" si="203"/>
        <v>0.75940499313359666</v>
      </c>
      <c r="Q825">
        <f t="shared" si="203"/>
        <v>0.78618543246314587</v>
      </c>
      <c r="R825">
        <f t="shared" si="203"/>
        <v>0.81393284965256285</v>
      </c>
      <c r="S825">
        <f t="shared" si="203"/>
        <v>0.84268310932519341</v>
      </c>
      <c r="T825">
        <f t="shared" si="203"/>
        <v>0.87247344702950613</v>
      </c>
      <c r="U825">
        <f t="shared" si="203"/>
        <v>0.90334252340287691</v>
      </c>
      <c r="V825">
        <f t="shared" si="203"/>
        <v>0.935330480551265</v>
      </c>
      <c r="W825">
        <f t="shared" si="203"/>
        <v>0.96847900073895232</v>
      </c>
      <c r="X825">
        <f t="shared" si="203"/>
        <v>1.002831367486138</v>
      </c>
      <c r="Y825">
        <f t="shared" si="203"/>
        <v>1.0384325291771148</v>
      </c>
      <c r="Z825">
        <f t="shared" si="203"/>
        <v>1.0753291652854244</v>
      </c>
      <c r="AA825">
        <f t="shared" si="203"/>
        <v>1.1135697553281503</v>
      </c>
      <c r="AB825">
        <f t="shared" si="203"/>
        <v>1.1532046506652591</v>
      </c>
      <c r="AC825">
        <f t="shared" si="203"/>
        <v>1.1942861492661407</v>
      </c>
      <c r="AD825">
        <f t="shared" si="203"/>
        <v>1.2368685735700922</v>
      </c>
      <c r="AE825">
        <f t="shared" si="203"/>
        <v>1.2810083515734405</v>
      </c>
    </row>
    <row r="827" spans="1:31" x14ac:dyDescent="0.45">
      <c r="A827" t="s">
        <v>1552</v>
      </c>
      <c r="B827" t="s">
        <v>1471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1552</v>
      </c>
      <c r="B828" t="s">
        <v>1471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1552</v>
      </c>
      <c r="B829" t="s">
        <v>1471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1492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1553</v>
      </c>
      <c r="B831" t="s">
        <v>1471</v>
      </c>
      <c r="C831" t="s">
        <v>1355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1553</v>
      </c>
      <c r="B832" t="s">
        <v>1471</v>
      </c>
      <c r="C832" t="s">
        <v>1355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1553</v>
      </c>
      <c r="B833" t="s">
        <v>1471</v>
      </c>
      <c r="C833" t="s">
        <v>1355</v>
      </c>
      <c r="D833">
        <v>1</v>
      </c>
      <c r="E833" t="s">
        <v>1161</v>
      </c>
      <c r="F833">
        <f>MAX(MAX(L833:AE833),-MIN(L833:AE833))</f>
        <v>0</v>
      </c>
      <c r="I833" t="s">
        <v>1492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1554</v>
      </c>
      <c r="B835" t="s">
        <v>1471</v>
      </c>
      <c r="C835" t="s">
        <v>1391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1554</v>
      </c>
      <c r="B836" t="s">
        <v>1471</v>
      </c>
      <c r="C836" t="s">
        <v>1391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1554</v>
      </c>
      <c r="B837" t="s">
        <v>1471</v>
      </c>
      <c r="C837" t="s">
        <v>1391</v>
      </c>
      <c r="D837">
        <v>1</v>
      </c>
      <c r="E837" t="s">
        <v>1161</v>
      </c>
      <c r="F837">
        <f>MAX(MAX(L837:AE837),-MIN(L837:AE837))</f>
        <v>0</v>
      </c>
      <c r="I837" t="s">
        <v>1492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1555</v>
      </c>
      <c r="B839" t="s">
        <v>1471</v>
      </c>
      <c r="C839" t="s">
        <v>1392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1555</v>
      </c>
      <c r="B840" t="s">
        <v>1471</v>
      </c>
      <c r="C840" t="s">
        <v>1392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1555</v>
      </c>
      <c r="B841" t="s">
        <v>1471</v>
      </c>
      <c r="C841" t="s">
        <v>1392</v>
      </c>
      <c r="D841">
        <v>1</v>
      </c>
      <c r="E841" t="s">
        <v>1161</v>
      </c>
      <c r="F841">
        <f>MAX(MAX(L841:AE841),-MIN(L841:AE841))</f>
        <v>0</v>
      </c>
      <c r="I841" t="s">
        <v>1492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1556</v>
      </c>
      <c r="B843" t="s">
        <v>1471</v>
      </c>
      <c r="C843" t="s">
        <v>1393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1556</v>
      </c>
      <c r="B844" t="s">
        <v>1471</v>
      </c>
      <c r="C844" t="s">
        <v>1393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1556</v>
      </c>
      <c r="B845" t="s">
        <v>1471</v>
      </c>
      <c r="C845" t="s">
        <v>1393</v>
      </c>
      <c r="D845">
        <v>1</v>
      </c>
      <c r="E845" t="s">
        <v>1161</v>
      </c>
      <c r="F845">
        <f>MAX(MAX(L845:AE845),-MIN(L845:AE845))</f>
        <v>0</v>
      </c>
      <c r="I845" t="s">
        <v>1492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1557</v>
      </c>
      <c r="B847" t="s">
        <v>1471</v>
      </c>
      <c r="C847" t="s">
        <v>1373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1557</v>
      </c>
      <c r="B848" t="s">
        <v>1471</v>
      </c>
      <c r="C848" t="s">
        <v>1373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1557</v>
      </c>
      <c r="B849" t="s">
        <v>1471</v>
      </c>
      <c r="C849" t="s">
        <v>1373</v>
      </c>
      <c r="D849">
        <v>1</v>
      </c>
      <c r="E849" t="s">
        <v>1161</v>
      </c>
      <c r="F849">
        <f>MAX(MAX(L849:AE849),-MIN(L849:AE849))</f>
        <v>0</v>
      </c>
      <c r="I849" t="s">
        <v>1492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1558</v>
      </c>
      <c r="B851" t="s">
        <v>1471</v>
      </c>
      <c r="C851" t="s">
        <v>1394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1558</v>
      </c>
      <c r="B852" t="s">
        <v>1471</v>
      </c>
      <c r="C852" t="s">
        <v>1394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1558</v>
      </c>
      <c r="B853" t="s">
        <v>1471</v>
      </c>
      <c r="C853" t="s">
        <v>1394</v>
      </c>
      <c r="D853">
        <v>1</v>
      </c>
      <c r="E853" t="s">
        <v>1161</v>
      </c>
      <c r="F853">
        <f>MAX(MAX(L853:AE853),-MIN(L853:AE853))</f>
        <v>0</v>
      </c>
      <c r="I853" t="s">
        <v>1492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1559</v>
      </c>
      <c r="B855" t="s">
        <v>1471</v>
      </c>
      <c r="C855" t="s">
        <v>1383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1559</v>
      </c>
      <c r="B856" t="s">
        <v>1471</v>
      </c>
      <c r="C856" t="s">
        <v>1383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1559</v>
      </c>
      <c r="B857" t="s">
        <v>1471</v>
      </c>
      <c r="C857" t="s">
        <v>1383</v>
      </c>
      <c r="D857">
        <v>1</v>
      </c>
      <c r="E857" t="s">
        <v>1161</v>
      </c>
      <c r="F857">
        <f>MAX(MAX(L857:AE857),-MIN(L857:AE857))</f>
        <v>0</v>
      </c>
      <c r="I857" t="s">
        <v>1492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1560</v>
      </c>
      <c r="B859" t="s">
        <v>1471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1560</v>
      </c>
      <c r="B860" t="s">
        <v>1471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1560</v>
      </c>
      <c r="B861" t="s">
        <v>1471</v>
      </c>
      <c r="D861">
        <v>1</v>
      </c>
      <c r="E861" t="s">
        <v>1161</v>
      </c>
      <c r="F861">
        <f>MAX(MAX(L861:AE861),-MIN(L861:AE861))</f>
        <v>0</v>
      </c>
      <c r="I861" t="s">
        <v>1492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1561</v>
      </c>
      <c r="B863" t="s">
        <v>1474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1561</v>
      </c>
      <c r="B864" t="s">
        <v>1474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1561</v>
      </c>
      <c r="B865" t="s">
        <v>1474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1492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1562</v>
      </c>
      <c r="B867" t="s">
        <v>1474</v>
      </c>
      <c r="C867" t="s">
        <v>1355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1562</v>
      </c>
      <c r="B868" t="s">
        <v>1474</v>
      </c>
      <c r="C868" t="s">
        <v>1355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1562</v>
      </c>
      <c r="B869" t="s">
        <v>1474</v>
      </c>
      <c r="C869" t="s">
        <v>1355</v>
      </c>
      <c r="D869">
        <v>1</v>
      </c>
      <c r="E869" t="s">
        <v>1161</v>
      </c>
      <c r="F869">
        <f>MAX(MAX(L869:AE869),-MIN(L869:AE869))</f>
        <v>0</v>
      </c>
      <c r="I869" t="s">
        <v>1492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1563</v>
      </c>
      <c r="B871" t="s">
        <v>1474</v>
      </c>
      <c r="C871" t="s">
        <v>1391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1563</v>
      </c>
      <c r="B872" t="s">
        <v>1474</v>
      </c>
      <c r="C872" t="s">
        <v>1391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1563</v>
      </c>
      <c r="B873" t="s">
        <v>1474</v>
      </c>
      <c r="C873" t="s">
        <v>1391</v>
      </c>
      <c r="D873">
        <v>1</v>
      </c>
      <c r="E873" t="s">
        <v>1161</v>
      </c>
      <c r="F873">
        <f>MAX(MAX(L873:AE873),-MIN(L873:AE873))</f>
        <v>0</v>
      </c>
      <c r="I873" t="s">
        <v>1492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1564</v>
      </c>
      <c r="B875" t="s">
        <v>1474</v>
      </c>
      <c r="C875" t="s">
        <v>1392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1564</v>
      </c>
      <c r="B876" t="s">
        <v>1474</v>
      </c>
      <c r="C876" t="s">
        <v>1392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1564</v>
      </c>
      <c r="B877" t="s">
        <v>1474</v>
      </c>
      <c r="C877" t="s">
        <v>1392</v>
      </c>
      <c r="D877">
        <v>1</v>
      </c>
      <c r="E877" t="s">
        <v>1161</v>
      </c>
      <c r="F877">
        <f>MAX(MAX(L877:AE877),-MIN(L877:AE877))</f>
        <v>0</v>
      </c>
      <c r="I877" t="s">
        <v>1492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1565</v>
      </c>
      <c r="B879" t="s">
        <v>1474</v>
      </c>
      <c r="C879" t="s">
        <v>1393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1565</v>
      </c>
      <c r="B880" t="s">
        <v>1474</v>
      </c>
      <c r="C880" t="s">
        <v>1393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1565</v>
      </c>
      <c r="B881" t="s">
        <v>1474</v>
      </c>
      <c r="C881" t="s">
        <v>1393</v>
      </c>
      <c r="D881">
        <v>1</v>
      </c>
      <c r="E881" t="s">
        <v>1161</v>
      </c>
      <c r="F881">
        <f>MAX(MAX(L881:AE881),-MIN(L881:AE881))</f>
        <v>0</v>
      </c>
      <c r="I881" t="s">
        <v>1492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1566</v>
      </c>
      <c r="B883" t="s">
        <v>1474</v>
      </c>
      <c r="C883" t="s">
        <v>1373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1566</v>
      </c>
      <c r="B884" t="s">
        <v>1474</v>
      </c>
      <c r="C884" t="s">
        <v>1373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1566</v>
      </c>
      <c r="B885" t="s">
        <v>1474</v>
      </c>
      <c r="C885" t="s">
        <v>1373</v>
      </c>
      <c r="D885">
        <v>1</v>
      </c>
      <c r="E885" t="s">
        <v>1161</v>
      </c>
      <c r="F885">
        <f>MAX(MAX(L885:AE885),-MIN(L885:AE885))</f>
        <v>0</v>
      </c>
      <c r="I885" t="s">
        <v>1492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1567</v>
      </c>
      <c r="B887" t="s">
        <v>1474</v>
      </c>
      <c r="C887" t="s">
        <v>1394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1567</v>
      </c>
      <c r="B888" t="s">
        <v>1474</v>
      </c>
      <c r="C888" t="s">
        <v>1394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1567</v>
      </c>
      <c r="B889" t="s">
        <v>1474</v>
      </c>
      <c r="C889" t="s">
        <v>1394</v>
      </c>
      <c r="D889">
        <v>1</v>
      </c>
      <c r="E889" t="s">
        <v>1161</v>
      </c>
      <c r="F889">
        <f>MAX(MAX(L889:AE889),-MIN(L889:AE889))</f>
        <v>0</v>
      </c>
      <c r="I889" t="s">
        <v>1492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1568</v>
      </c>
      <c r="B891" t="s">
        <v>1474</v>
      </c>
      <c r="C891" t="s">
        <v>1383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1568</v>
      </c>
      <c r="B892" t="s">
        <v>1474</v>
      </c>
      <c r="C892" t="s">
        <v>1383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1568</v>
      </c>
      <c r="B893" t="s">
        <v>1474</v>
      </c>
      <c r="C893" t="s">
        <v>1383</v>
      </c>
      <c r="D893">
        <v>1</v>
      </c>
      <c r="E893" t="s">
        <v>1161</v>
      </c>
      <c r="F893">
        <f>MAX(MAX(L893:AE893),-MIN(L893:AE893))</f>
        <v>0</v>
      </c>
      <c r="I893" t="s">
        <v>1492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1569</v>
      </c>
      <c r="B895" t="s">
        <v>1474</v>
      </c>
      <c r="C895" t="s">
        <v>1475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1569</v>
      </c>
      <c r="B896" t="s">
        <v>1474</v>
      </c>
      <c r="C896" t="s">
        <v>1475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1569</v>
      </c>
      <c r="B897" t="s">
        <v>1474</v>
      </c>
      <c r="C897" t="s">
        <v>1475</v>
      </c>
      <c r="D897">
        <v>1</v>
      </c>
      <c r="E897" t="s">
        <v>1161</v>
      </c>
      <c r="F897">
        <f>MAX(MAX(L897:AE897),-MIN(L897:AE897))</f>
        <v>0</v>
      </c>
      <c r="I897" t="s">
        <v>1492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1570</v>
      </c>
      <c r="B899" t="s">
        <v>1476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1570</v>
      </c>
      <c r="B900" t="s">
        <v>1476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3.7399856771381845</v>
      </c>
      <c r="M900">
        <f>IF(ISBLANK(Mitigation_Industry!M374),"",Mitigation_Industry!M374)</f>
        <v>3.8222653620352247</v>
      </c>
      <c r="N900">
        <f>IF(ISBLANK(Mitigation_Industry!N374),"",Mitigation_Industry!N374)</f>
        <v>3.9063551999999997</v>
      </c>
      <c r="O900">
        <f>IF(ISBLANK(Mitigation_Industry!O374),"",Mitigation_Industry!O374)</f>
        <v>3.9922950143999998</v>
      </c>
      <c r="P900">
        <f>IF(ISBLANK(Mitigation_Industry!P374),"",Mitigation_Industry!P374)</f>
        <v>4.0801255047168006</v>
      </c>
      <c r="Q900">
        <f>IF(ISBLANK(Mitigation_Industry!Q374),"",Mitigation_Industry!Q374)</f>
        <v>4.1698882658205694</v>
      </c>
      <c r="R900">
        <f>IF(ISBLANK(Mitigation_Industry!R374),"",Mitigation_Industry!R374)</f>
        <v>4.2616258076686222</v>
      </c>
      <c r="S900">
        <f>IF(ISBLANK(Mitigation_Industry!S374),"",Mitigation_Industry!S374)</f>
        <v>4.3553815754373311</v>
      </c>
      <c r="T900">
        <f>IF(ISBLANK(Mitigation_Industry!T374),"",Mitigation_Industry!T374)</f>
        <v>4.4511999700969529</v>
      </c>
      <c r="U900">
        <f>IF(ISBLANK(Mitigation_Industry!U374),"",Mitigation_Industry!U374)</f>
        <v>4.5491263694390858</v>
      </c>
      <c r="V900">
        <f>IF(ISBLANK(Mitigation_Industry!V374),"",Mitigation_Industry!V374)</f>
        <v>4.6492071495667471</v>
      </c>
      <c r="W900">
        <f>IF(ISBLANK(Mitigation_Industry!W374),"",Mitigation_Industry!W374)</f>
        <v>4.7514897068572139</v>
      </c>
      <c r="X900">
        <f>IF(ISBLANK(Mitigation_Industry!X374),"",Mitigation_Industry!X374)</f>
        <v>4.8560224804080736</v>
      </c>
      <c r="Y900">
        <f>IF(ISBLANK(Mitigation_Industry!Y374),"",Mitigation_Industry!Y374)</f>
        <v>4.9628549749770512</v>
      </c>
      <c r="Z900">
        <f>IF(ISBLANK(Mitigation_Industry!Z374),"",Mitigation_Industry!Z374)</f>
        <v>5.0720377844265467</v>
      </c>
      <c r="AA900">
        <f>IF(ISBLANK(Mitigation_Industry!AA374),"",Mitigation_Industry!AA374)</f>
        <v>5.1836226156839302</v>
      </c>
      <c r="AB900">
        <f>IF(ISBLANK(Mitigation_Industry!AB374),"",Mitigation_Industry!AB374)</f>
        <v>5.297662313228976</v>
      </c>
      <c r="AC900">
        <f>IF(ISBLANK(Mitigation_Industry!AC374),"",Mitigation_Industry!AC374)</f>
        <v>5.4142108841200143</v>
      </c>
      <c r="AD900">
        <f>IF(ISBLANK(Mitigation_Industry!AD374),"",Mitigation_Industry!AD374)</f>
        <v>5.5333235235706555</v>
      </c>
      <c r="AE900">
        <f>IF(ISBLANK(Mitigation_Industry!AE374),"",Mitigation_Industry!AE374)</f>
        <v>5.6550566410892094</v>
      </c>
    </row>
    <row r="901" spans="1:31" x14ac:dyDescent="0.45">
      <c r="A901" t="s">
        <v>1570</v>
      </c>
      <c r="B901" t="s">
        <v>1476</v>
      </c>
      <c r="C901" t="s">
        <v>283</v>
      </c>
      <c r="D901">
        <v>1</v>
      </c>
      <c r="E901" t="s">
        <v>1161</v>
      </c>
      <c r="F901">
        <f>MAX(MAX(L901:AE901),-MIN(L901:AE901))</f>
        <v>4.8125211325123347</v>
      </c>
      <c r="I901" t="s">
        <v>1571</v>
      </c>
      <c r="J901" t="s">
        <v>1572</v>
      </c>
      <c r="K901">
        <f t="shared" ref="K901:AE901" si="222">IF(ISNUMBER(K899),IF(ISNUMBER(K900),K900-K899,999999),0)</f>
        <v>0</v>
      </c>
      <c r="L901">
        <f t="shared" si="222"/>
        <v>0.21092204380344715</v>
      </c>
      <c r="M901">
        <f t="shared" si="222"/>
        <v>3.2527937377690801</v>
      </c>
      <c r="N901">
        <f t="shared" si="222"/>
        <v>3.3243551999999998</v>
      </c>
      <c r="O901">
        <f t="shared" si="222"/>
        <v>3.3974910143999999</v>
      </c>
      <c r="P901">
        <f t="shared" si="222"/>
        <v>3.4722358167168004</v>
      </c>
      <c r="Q901">
        <f t="shared" si="222"/>
        <v>3.5486250046845695</v>
      </c>
      <c r="R901">
        <f t="shared" si="222"/>
        <v>3.6266947547876303</v>
      </c>
      <c r="S901">
        <f t="shared" si="222"/>
        <v>3.7064820393929572</v>
      </c>
      <c r="T901">
        <f t="shared" si="222"/>
        <v>3.7880246442596031</v>
      </c>
      <c r="U901">
        <f t="shared" si="222"/>
        <v>3.871361186433314</v>
      </c>
      <c r="V901">
        <f t="shared" si="222"/>
        <v>3.956531132534848</v>
      </c>
      <c r="W901">
        <f t="shared" si="222"/>
        <v>4.0435748174506134</v>
      </c>
      <c r="X901">
        <f t="shared" si="222"/>
        <v>4.1325334634345277</v>
      </c>
      <c r="Y901">
        <f t="shared" si="222"/>
        <v>4.2234491996300871</v>
      </c>
      <c r="Z901">
        <f t="shared" si="222"/>
        <v>4.3163650820219495</v>
      </c>
      <c r="AA901">
        <f t="shared" si="222"/>
        <v>4.4113251138264324</v>
      </c>
      <c r="AB901">
        <f t="shared" si="222"/>
        <v>4.5083742663306126</v>
      </c>
      <c r="AC901">
        <f t="shared" si="222"/>
        <v>4.6075585001898869</v>
      </c>
      <c r="AD901">
        <f t="shared" si="222"/>
        <v>4.7089247871940652</v>
      </c>
      <c r="AE901">
        <f t="shared" si="222"/>
        <v>4.8125211325123347</v>
      </c>
    </row>
    <row r="903" spans="1:31" x14ac:dyDescent="0.45">
      <c r="A903" t="s">
        <v>1573</v>
      </c>
      <c r="B903" t="s">
        <v>1476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1573</v>
      </c>
      <c r="B904" t="s">
        <v>1476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2.8694133664728936</v>
      </c>
      <c r="M904">
        <f>IF(ISBLANK(Mitigation_Industry!M375),"",Mitigation_Industry!M375)</f>
        <v>2.9956675545977007</v>
      </c>
      <c r="N904">
        <f>IF(ISBLANK(Mitigation_Industry!N375),"",Mitigation_Industry!N375)</f>
        <v>3.1274769269999996</v>
      </c>
      <c r="O904">
        <f>IF(ISBLANK(Mitigation_Industry!O375),"",Mitigation_Industry!O375)</f>
        <v>3.2650859117880002</v>
      </c>
      <c r="P904">
        <f>IF(ISBLANK(Mitigation_Industry!P375),"",Mitigation_Industry!P375)</f>
        <v>3.4087496919066722</v>
      </c>
      <c r="Q904">
        <f>IF(ISBLANK(Mitigation_Industry!Q375),"",Mitigation_Industry!Q375)</f>
        <v>3.5587346783505662</v>
      </c>
      <c r="R904">
        <f>IF(ISBLANK(Mitigation_Industry!R375),"",Mitigation_Industry!R375)</f>
        <v>3.7153190041979904</v>
      </c>
      <c r="S904">
        <f>IF(ISBLANK(Mitigation_Industry!S375),"",Mitigation_Industry!S375)</f>
        <v>3.8787930403827025</v>
      </c>
      <c r="T904">
        <f>IF(ISBLANK(Mitigation_Industry!T375),"",Mitigation_Industry!T375)</f>
        <v>4.0494599341595423</v>
      </c>
      <c r="U904">
        <f>IF(ISBLANK(Mitigation_Industry!U375),"",Mitigation_Industry!U375)</f>
        <v>4.2276361712625619</v>
      </c>
      <c r="V904">
        <f>IF(ISBLANK(Mitigation_Industry!V375),"",Mitigation_Industry!V375)</f>
        <v>4.4136521627981145</v>
      </c>
      <c r="W904">
        <f>IF(ISBLANK(Mitigation_Industry!W375),"",Mitigation_Industry!W375)</f>
        <v>4.6078528579612303</v>
      </c>
      <c r="X904">
        <f>IF(ISBLANK(Mitigation_Industry!X375),"",Mitigation_Industry!X375)</f>
        <v>4.8105983837115254</v>
      </c>
      <c r="Y904">
        <f>IF(ISBLANK(Mitigation_Industry!Y375),"",Mitigation_Industry!Y375)</f>
        <v>5.0222647125948336</v>
      </c>
      <c r="Z904">
        <f>IF(ISBLANK(Mitigation_Industry!Z375),"",Mitigation_Industry!Z375)</f>
        <v>5.2432443599490046</v>
      </c>
      <c r="AA904">
        <f>IF(ISBLANK(Mitigation_Industry!AA375),"",Mitigation_Industry!AA375)</f>
        <v>5.4739471117867611</v>
      </c>
      <c r="AB904">
        <f>IF(ISBLANK(Mitigation_Industry!AB375),"",Mitigation_Industry!AB375)</f>
        <v>5.714800784705381</v>
      </c>
      <c r="AC904">
        <f>IF(ISBLANK(Mitigation_Industry!AC375),"",Mitigation_Industry!AC375)</f>
        <v>5.9662520192324164</v>
      </c>
      <c r="AD904">
        <f>IF(ISBLANK(Mitigation_Industry!AD375),"",Mitigation_Industry!AD375)</f>
        <v>6.2287671080786424</v>
      </c>
      <c r="AE904">
        <f>IF(ISBLANK(Mitigation_Industry!AE375),"",Mitigation_Industry!AE375)</f>
        <v>6.5028328608341015</v>
      </c>
    </row>
    <row r="905" spans="1:31" x14ac:dyDescent="0.45">
      <c r="A905" t="s">
        <v>1573</v>
      </c>
      <c r="B905" t="s">
        <v>1476</v>
      </c>
      <c r="C905" t="s">
        <v>284</v>
      </c>
      <c r="D905">
        <v>1</v>
      </c>
      <c r="E905" t="s">
        <v>1161</v>
      </c>
      <c r="F905">
        <f>MAX(MAX(L905:AE905),-MIN(L905:AE905))</f>
        <v>5.9289575257051421</v>
      </c>
      <c r="I905" t="s">
        <v>1571</v>
      </c>
      <c r="J905" t="s">
        <v>1572</v>
      </c>
      <c r="K905">
        <f t="shared" ref="K905:AE905" si="223">IF(ISNUMBER(K903),IF(ISNUMBER(K904),K904-K903,999999),0)</f>
        <v>0</v>
      </c>
      <c r="L905">
        <f t="shared" si="223"/>
        <v>-0.97700789128903009</v>
      </c>
      <c r="M905">
        <f t="shared" si="223"/>
        <v>2.7312997385057467</v>
      </c>
      <c r="N905">
        <f t="shared" si="223"/>
        <v>2.8514769269999998</v>
      </c>
      <c r="O905">
        <f t="shared" si="223"/>
        <v>2.9769419117880003</v>
      </c>
      <c r="P905">
        <f t="shared" si="223"/>
        <v>3.1079273559066722</v>
      </c>
      <c r="Q905">
        <f t="shared" si="223"/>
        <v>3.2446761595665663</v>
      </c>
      <c r="R905">
        <f t="shared" si="223"/>
        <v>3.3874419105874942</v>
      </c>
      <c r="S905">
        <f t="shared" si="223"/>
        <v>3.5364893546533445</v>
      </c>
      <c r="T905">
        <f t="shared" si="223"/>
        <v>3.6920948862580927</v>
      </c>
      <c r="U905">
        <f t="shared" si="223"/>
        <v>3.8545470612534483</v>
      </c>
      <c r="V905">
        <f t="shared" si="223"/>
        <v>4.0241471319485997</v>
      </c>
      <c r="W905">
        <f t="shared" si="223"/>
        <v>4.2012096057543369</v>
      </c>
      <c r="X905">
        <f t="shared" si="223"/>
        <v>4.3860628284075291</v>
      </c>
      <c r="Y905">
        <f t="shared" si="223"/>
        <v>4.5790495928574613</v>
      </c>
      <c r="Z905">
        <f t="shared" si="223"/>
        <v>4.780527774943188</v>
      </c>
      <c r="AA905">
        <f t="shared" si="223"/>
        <v>4.9908709970406884</v>
      </c>
      <c r="AB905">
        <f t="shared" si="223"/>
        <v>5.2104693209104811</v>
      </c>
      <c r="AC905">
        <f t="shared" si="223"/>
        <v>5.4397299710305411</v>
      </c>
      <c r="AD905">
        <f t="shared" si="223"/>
        <v>5.679078089755885</v>
      </c>
      <c r="AE905">
        <f t="shared" si="223"/>
        <v>5.9289575257051421</v>
      </c>
    </row>
    <row r="907" spans="1:31" x14ac:dyDescent="0.45">
      <c r="A907" t="s">
        <v>1574</v>
      </c>
      <c r="B907" t="s">
        <v>1476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1574</v>
      </c>
      <c r="B908" t="s">
        <v>1476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3.3266099144224071E-2</v>
      </c>
      <c r="M908">
        <f>IF(ISBLANK(Mitigation_Industry!M376),"",Mitigation_Industry!M376)</f>
        <v>3.5095734597156404E-2</v>
      </c>
      <c r="N908">
        <f>IF(ISBLANK(Mitigation_Industry!N376),"",Mitigation_Industry!N376)</f>
        <v>3.7026000000000003E-2</v>
      </c>
      <c r="O908">
        <f>IF(ISBLANK(Mitigation_Industry!O376),"",Mitigation_Industry!O376)</f>
        <v>3.9062430000000002E-2</v>
      </c>
      <c r="P908">
        <f>IF(ISBLANK(Mitigation_Industry!P376),"",Mitigation_Industry!P376)</f>
        <v>4.1210863649999999E-2</v>
      </c>
      <c r="Q908">
        <f>IF(ISBLANK(Mitigation_Industry!Q376),"",Mitigation_Industry!Q376)</f>
        <v>4.3477461150749991E-2</v>
      </c>
      <c r="R908">
        <f>IF(ISBLANK(Mitigation_Industry!R376),"",Mitigation_Industry!R376)</f>
        <v>4.5868721514041248E-2</v>
      </c>
      <c r="S908">
        <f>IF(ISBLANK(Mitigation_Industry!S376),"",Mitigation_Industry!S376)</f>
        <v>4.8391501197313509E-2</v>
      </c>
      <c r="T908">
        <f>IF(ISBLANK(Mitigation_Industry!T376),"",Mitigation_Industry!T376)</f>
        <v>5.105303376316575E-2</v>
      </c>
      <c r="U908">
        <f>IF(ISBLANK(Mitigation_Industry!U376),"",Mitigation_Industry!U376)</f>
        <v>5.3860950620139861E-2</v>
      </c>
      <c r="V908">
        <f>IF(ISBLANK(Mitigation_Industry!V376),"",Mitigation_Industry!V376)</f>
        <v>5.6823302904247558E-2</v>
      </c>
      <c r="W908">
        <f>IF(ISBLANK(Mitigation_Industry!W376),"",Mitigation_Industry!W376)</f>
        <v>5.9948584563981173E-2</v>
      </c>
      <c r="X908">
        <f>IF(ISBLANK(Mitigation_Industry!X376),"",Mitigation_Industry!X376)</f>
        <v>6.3245756715000129E-2</v>
      </c>
      <c r="Y908">
        <f>IF(ISBLANK(Mitigation_Industry!Y376),"",Mitigation_Industry!Y376)</f>
        <v>6.6724273334325138E-2</v>
      </c>
      <c r="Z908">
        <f>IF(ISBLANK(Mitigation_Industry!Z376),"",Mitigation_Industry!Z376)</f>
        <v>7.039410836771301E-2</v>
      </c>
      <c r="AA908">
        <f>IF(ISBLANK(Mitigation_Industry!AA376),"",Mitigation_Industry!AA376)</f>
        <v>7.426578432793722E-2</v>
      </c>
      <c r="AB908">
        <f>IF(ISBLANK(Mitigation_Industry!AB376),"",Mitigation_Industry!AB376)</f>
        <v>7.8350402465973787E-2</v>
      </c>
      <c r="AC908">
        <f>IF(ISBLANK(Mitigation_Industry!AC376),"",Mitigation_Industry!AC376)</f>
        <v>8.2659674601602312E-2</v>
      </c>
      <c r="AD908">
        <f>IF(ISBLANK(Mitigation_Industry!AD376),"",Mitigation_Industry!AD376)</f>
        <v>8.7205956704690446E-2</v>
      </c>
      <c r="AE908">
        <f>IF(ISBLANK(Mitigation_Industry!AE376),"",Mitigation_Industry!AE376)</f>
        <v>9.2002284323448424E-2</v>
      </c>
    </row>
    <row r="909" spans="1:31" x14ac:dyDescent="0.45">
      <c r="A909" t="s">
        <v>1574</v>
      </c>
      <c r="B909" t="s">
        <v>1476</v>
      </c>
      <c r="C909" t="s">
        <v>285</v>
      </c>
      <c r="D909">
        <v>1</v>
      </c>
      <c r="E909" t="s">
        <v>1161</v>
      </c>
      <c r="F909">
        <f>MAX(MAX(L909:AE909),-MIN(L909:AE909))</f>
        <v>1.6597832298566177</v>
      </c>
      <c r="I909" t="s">
        <v>1571</v>
      </c>
      <c r="J909" t="s">
        <v>1572</v>
      </c>
      <c r="K909">
        <f t="shared" ref="K909:AE909" si="224">IF(ISNUMBER(K907),IF(ISNUMBER(K908),K908-K907,999999),0)</f>
        <v>0</v>
      </c>
      <c r="L909">
        <f t="shared" si="224"/>
        <v>-8.7814739111879841E-3</v>
      </c>
      <c r="M909">
        <f t="shared" si="224"/>
        <v>-0.63315071090047392</v>
      </c>
      <c r="N909">
        <f t="shared" si="224"/>
        <v>-0.66797399999999996</v>
      </c>
      <c r="O909">
        <f t="shared" si="224"/>
        <v>-0.70471256999999998</v>
      </c>
      <c r="P909">
        <f t="shared" si="224"/>
        <v>-0.74347176134999993</v>
      </c>
      <c r="Q909">
        <f t="shared" si="224"/>
        <v>-0.78436270822424992</v>
      </c>
      <c r="R909">
        <f t="shared" si="224"/>
        <v>-0.82750265717658378</v>
      </c>
      <c r="S909">
        <f t="shared" si="224"/>
        <v>-0.87301530332129584</v>
      </c>
      <c r="T909">
        <f t="shared" si="224"/>
        <v>-0.9210311450039671</v>
      </c>
      <c r="U909">
        <f t="shared" si="224"/>
        <v>-0.97168785797918511</v>
      </c>
      <c r="V909">
        <f t="shared" si="224"/>
        <v>-1.0251306901680404</v>
      </c>
      <c r="W909">
        <f t="shared" si="224"/>
        <v>-1.0815128781272827</v>
      </c>
      <c r="X909">
        <f t="shared" si="224"/>
        <v>-1.140996086424283</v>
      </c>
      <c r="Y909">
        <f t="shared" si="224"/>
        <v>-1.2037508711776184</v>
      </c>
      <c r="Z909">
        <f t="shared" si="224"/>
        <v>-1.2699571690923872</v>
      </c>
      <c r="AA909">
        <f t="shared" si="224"/>
        <v>-1.3398048133924689</v>
      </c>
      <c r="AB909">
        <f t="shared" si="224"/>
        <v>-1.4134940781290544</v>
      </c>
      <c r="AC909">
        <f t="shared" si="224"/>
        <v>-1.4912362524261522</v>
      </c>
      <c r="AD909">
        <f t="shared" si="224"/>
        <v>-1.5732542463095904</v>
      </c>
      <c r="AE909">
        <f t="shared" si="224"/>
        <v>-1.6597832298566177</v>
      </c>
    </row>
    <row r="911" spans="1:31" x14ac:dyDescent="0.45">
      <c r="A911" t="s">
        <v>1575</v>
      </c>
      <c r="B911" t="s">
        <v>1476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1575</v>
      </c>
      <c r="B912" t="s">
        <v>1476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1575</v>
      </c>
      <c r="B913" t="s">
        <v>1476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1571</v>
      </c>
      <c r="J913" t="s">
        <v>1572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1576</v>
      </c>
      <c r="B915" t="s">
        <v>1476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1576</v>
      </c>
      <c r="B916" t="s">
        <v>1476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14.692706044200628</v>
      </c>
      <c r="M916">
        <f>IF(ISBLANK(Mitigation_Industry!M378),"",Mitigation_Industry!M378)</f>
        <v>15.177565343659246</v>
      </c>
      <c r="N916">
        <f>IF(ISBLANK(Mitigation_Industry!N378),"",Mitigation_Industry!N378)</f>
        <v>15.678424999999999</v>
      </c>
      <c r="O916">
        <f>IF(ISBLANK(Mitigation_Industry!O378),"",Mitigation_Industry!O378)</f>
        <v>16.195813024999996</v>
      </c>
      <c r="P916">
        <f>IF(ISBLANK(Mitigation_Industry!P378),"",Mitigation_Industry!P378)</f>
        <v>16.730274854824994</v>
      </c>
      <c r="Q916">
        <f>IF(ISBLANK(Mitigation_Industry!Q378),"",Mitigation_Industry!Q378)</f>
        <v>17.282373925034218</v>
      </c>
      <c r="R916">
        <f>IF(ISBLANK(Mitigation_Industry!R378),"",Mitigation_Industry!R378)</f>
        <v>17.852692264560343</v>
      </c>
      <c r="S916">
        <f>IF(ISBLANK(Mitigation_Industry!S378),"",Mitigation_Industry!S378)</f>
        <v>18.441831109290838</v>
      </c>
      <c r="T916">
        <f>IF(ISBLANK(Mitigation_Industry!T378),"",Mitigation_Industry!T378)</f>
        <v>19.050411535897432</v>
      </c>
      <c r="U916">
        <f>IF(ISBLANK(Mitigation_Industry!U378),"",Mitigation_Industry!U378)</f>
        <v>19.679075116582045</v>
      </c>
      <c r="V916">
        <f>IF(ISBLANK(Mitigation_Industry!V378),"",Mitigation_Industry!V378)</f>
        <v>20.328484595429249</v>
      </c>
      <c r="W916">
        <f>IF(ISBLANK(Mitigation_Industry!W378),"",Mitigation_Industry!W378)</f>
        <v>20.999324587078412</v>
      </c>
      <c r="X916">
        <f>IF(ISBLANK(Mitigation_Industry!X378),"",Mitigation_Industry!X378)</f>
        <v>21.692302298451992</v>
      </c>
      <c r="Y916">
        <f>IF(ISBLANK(Mitigation_Industry!Y378),"",Mitigation_Industry!Y378)</f>
        <v>22.40814827430091</v>
      </c>
      <c r="Z916">
        <f>IF(ISBLANK(Mitigation_Industry!Z378),"",Mitigation_Industry!Z378)</f>
        <v>23.147617167352838</v>
      </c>
      <c r="AA916">
        <f>IF(ISBLANK(Mitigation_Industry!AA378),"",Mitigation_Industry!AA378)</f>
        <v>23.911488533875481</v>
      </c>
      <c r="AB916">
        <f>IF(ISBLANK(Mitigation_Industry!AB378),"",Mitigation_Industry!AB378)</f>
        <v>24.700567655493362</v>
      </c>
      <c r="AC916">
        <f>IF(ISBLANK(Mitigation_Industry!AC378),"",Mitigation_Industry!AC378)</f>
        <v>25.515686388124642</v>
      </c>
      <c r="AD916">
        <f>IF(ISBLANK(Mitigation_Industry!AD378),"",Mitigation_Industry!AD378)</f>
        <v>26.357704038932756</v>
      </c>
      <c r="AE916">
        <f>IF(ISBLANK(Mitigation_Industry!AE378),"",Mitigation_Industry!AE378)</f>
        <v>27.227508272217527</v>
      </c>
    </row>
    <row r="917" spans="1:31" x14ac:dyDescent="0.45">
      <c r="A917" t="s">
        <v>1576</v>
      </c>
      <c r="B917" t="s">
        <v>1476</v>
      </c>
      <c r="C917" t="s">
        <v>287</v>
      </c>
      <c r="D917">
        <v>1</v>
      </c>
      <c r="E917" t="s">
        <v>1161</v>
      </c>
      <c r="F917">
        <f>MAX(MAX(L917:AE917),-MIN(L917:AE917))</f>
        <v>18.445667927516922</v>
      </c>
      <c r="I917" t="s">
        <v>1571</v>
      </c>
      <c r="J917" t="s">
        <v>1572</v>
      </c>
      <c r="K917">
        <f t="shared" ref="K917:AE917" si="226">IF(ISNUMBER(K915),IF(ISNUMBER(K916),K916-K915,999999),0)</f>
        <v>0</v>
      </c>
      <c r="L917">
        <f t="shared" si="226"/>
        <v>1.183992150607871</v>
      </c>
      <c r="M917">
        <f t="shared" si="226"/>
        <v>-10.282260406582775</v>
      </c>
      <c r="N917">
        <f t="shared" si="226"/>
        <v>-10.621575000000002</v>
      </c>
      <c r="O917">
        <f t="shared" si="226"/>
        <v>-10.972086975000003</v>
      </c>
      <c r="P917">
        <f t="shared" si="226"/>
        <v>-11.334165845175001</v>
      </c>
      <c r="Q917">
        <f t="shared" si="226"/>
        <v>-11.708193318065774</v>
      </c>
      <c r="R917">
        <f t="shared" si="226"/>
        <v>-12.094563697561949</v>
      </c>
      <c r="S917">
        <f t="shared" si="226"/>
        <v>-12.493684299581485</v>
      </c>
      <c r="T917">
        <f t="shared" si="226"/>
        <v>-12.905975881467679</v>
      </c>
      <c r="U917">
        <f t="shared" si="226"/>
        <v>-13.331873085556108</v>
      </c>
      <c r="V917">
        <f t="shared" si="226"/>
        <v>-13.771824897379457</v>
      </c>
      <c r="W917">
        <f t="shared" si="226"/>
        <v>-14.226295118992986</v>
      </c>
      <c r="X917">
        <f t="shared" si="226"/>
        <v>-14.695762857919753</v>
      </c>
      <c r="Y917">
        <f t="shared" si="226"/>
        <v>-15.180723032231104</v>
      </c>
      <c r="Z917">
        <f t="shared" si="226"/>
        <v>-15.681686892294731</v>
      </c>
      <c r="AA917">
        <f t="shared" si="226"/>
        <v>-16.199182559740454</v>
      </c>
      <c r="AB917">
        <f t="shared" si="226"/>
        <v>-16.733755584211895</v>
      </c>
      <c r="AC917">
        <f t="shared" si="226"/>
        <v>-17.28596951849088</v>
      </c>
      <c r="AD917">
        <f t="shared" si="226"/>
        <v>-17.85640651260108</v>
      </c>
      <c r="AE917">
        <f t="shared" si="226"/>
        <v>-18.445667927516922</v>
      </c>
    </row>
    <row r="919" spans="1:31" x14ac:dyDescent="0.45">
      <c r="A919" t="s">
        <v>1577</v>
      </c>
      <c r="B919" t="s">
        <v>1476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1577</v>
      </c>
      <c r="B920" t="s">
        <v>1476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21.335371186955932</v>
      </c>
      <c r="M920">
        <f>IF(ISBLANK(Mitigation_Industry!M379),"",Mitigation_Industry!M379)</f>
        <v>22.03059399488933</v>
      </c>
      <c r="N920">
        <f>IF(ISBLANK(Mitigation_Industry!N379),"",Mitigation_Industry!N379)</f>
        <v>22.749283126999998</v>
      </c>
      <c r="O920">
        <f>IF(ISBLANK(Mitigation_Industry!O379),"",Mitigation_Industry!O379)</f>
        <v>23.492256381187996</v>
      </c>
      <c r="P920">
        <f>IF(ISBLANK(Mitigation_Industry!P379),"",Mitigation_Industry!P379)</f>
        <v>24.260360915098467</v>
      </c>
      <c r="Q920">
        <f>IF(ISBLANK(Mitigation_Industry!Q379),"",Mitigation_Industry!Q379)</f>
        <v>25.054474330356104</v>
      </c>
      <c r="R920">
        <f>IF(ISBLANK(Mitigation_Industry!R379),"",Mitigation_Industry!R379)</f>
        <v>25.875505797940995</v>
      </c>
      <c r="S920">
        <f>IF(ISBLANK(Mitigation_Industry!S379),"",Mitigation_Industry!S379)</f>
        <v>26.724397226308184</v>
      </c>
      <c r="T920">
        <f>IF(ISBLANK(Mitigation_Industry!T379),"",Mitigation_Industry!T379)</f>
        <v>27.602124473917094</v>
      </c>
      <c r="U920">
        <f>IF(ISBLANK(Mitigation_Industry!U379),"",Mitigation_Industry!U379)</f>
        <v>28.509698607903829</v>
      </c>
      <c r="V920">
        <f>IF(ISBLANK(Mitigation_Industry!V379),"",Mitigation_Industry!V379)</f>
        <v>29.448167210698358</v>
      </c>
      <c r="W920">
        <f>IF(ISBLANK(Mitigation_Industry!W379),"",Mitigation_Industry!W379)</f>
        <v>30.418615736460836</v>
      </c>
      <c r="X920">
        <f>IF(ISBLANK(Mitigation_Industry!X379),"",Mitigation_Industry!X379)</f>
        <v>31.422168919286591</v>
      </c>
      <c r="Y920">
        <f>IF(ISBLANK(Mitigation_Industry!Y379),"",Mitigation_Industry!Y379)</f>
        <v>32.459992235207118</v>
      </c>
      <c r="Z920">
        <f>IF(ISBLANK(Mitigation_Industry!Z379),"",Mitigation_Industry!Z379)</f>
        <v>33.533293420096101</v>
      </c>
      <c r="AA920">
        <f>IF(ISBLANK(Mitigation_Industry!AA379),"",Mitigation_Industry!AA379)</f>
        <v>34.643324045674106</v>
      </c>
      <c r="AB920">
        <f>IF(ISBLANK(Mitigation_Industry!AB379),"",Mitigation_Industry!AB379)</f>
        <v>35.791381155893696</v>
      </c>
      <c r="AC920">
        <f>IF(ISBLANK(Mitigation_Industry!AC379),"",Mitigation_Industry!AC379)</f>
        <v>36.978808966078674</v>
      </c>
      <c r="AD920">
        <f>IF(ISBLANK(Mitigation_Industry!AD379),"",Mitigation_Industry!AD379)</f>
        <v>38.207000627286746</v>
      </c>
      <c r="AE920">
        <f>IF(ISBLANK(Mitigation_Industry!AE379),"",Mitigation_Industry!AE379)</f>
        <v>39.477400058464283</v>
      </c>
    </row>
    <row r="921" spans="1:31" x14ac:dyDescent="0.45">
      <c r="A921" t="s">
        <v>1577</v>
      </c>
      <c r="B921" t="s">
        <v>1476</v>
      </c>
      <c r="C921" t="s">
        <v>111</v>
      </c>
      <c r="D921">
        <v>1</v>
      </c>
      <c r="E921" t="s">
        <v>1161</v>
      </c>
      <c r="F921">
        <f>MAX(MAX(L921:AE921),-MIN(L921:AE921))</f>
        <v>9.3639724991560627</v>
      </c>
      <c r="I921" t="s">
        <v>1571</v>
      </c>
      <c r="J921" t="s">
        <v>1572</v>
      </c>
      <c r="K921">
        <f t="shared" ref="K921:AE921" si="227">IF(ISNUMBER(K919),IF(ISNUMBER(K920),K920-K919,999999),0)</f>
        <v>0</v>
      </c>
      <c r="L921">
        <f t="shared" si="227"/>
        <v>0.40912482921110183</v>
      </c>
      <c r="M921">
        <f t="shared" si="227"/>
        <v>-4.9313176412084196</v>
      </c>
      <c r="N921">
        <f t="shared" si="227"/>
        <v>-5.1137168730000013</v>
      </c>
      <c r="O921">
        <f t="shared" si="227"/>
        <v>-5.3023666188120053</v>
      </c>
      <c r="P921">
        <f t="shared" si="227"/>
        <v>-5.4974744339015302</v>
      </c>
      <c r="Q921">
        <f t="shared" si="227"/>
        <v>-5.6992548620388881</v>
      </c>
      <c r="R921">
        <f t="shared" si="227"/>
        <v>-5.9079296893634101</v>
      </c>
      <c r="S921">
        <f t="shared" si="227"/>
        <v>-6.1237282088564768</v>
      </c>
      <c r="T921">
        <f t="shared" si="227"/>
        <v>-6.3468874959539505</v>
      </c>
      <c r="U921">
        <f t="shared" si="227"/>
        <v>-6.5776526958485348</v>
      </c>
      <c r="V921">
        <f t="shared" si="227"/>
        <v>-6.8162773230640497</v>
      </c>
      <c r="W921">
        <f t="shared" si="227"/>
        <v>-7.0630235739153164</v>
      </c>
      <c r="X921">
        <f t="shared" si="227"/>
        <v>-7.3181626525019823</v>
      </c>
      <c r="Y921">
        <f t="shared" si="227"/>
        <v>-7.5819751109211779</v>
      </c>
      <c r="Z921">
        <f t="shared" si="227"/>
        <v>-7.85475120442198</v>
      </c>
      <c r="AA921">
        <f t="shared" si="227"/>
        <v>-8.1367912622658025</v>
      </c>
      <c r="AB921">
        <f t="shared" si="227"/>
        <v>-8.4284060750998506</v>
      </c>
      <c r="AC921">
        <f t="shared" si="227"/>
        <v>-8.7299172996966092</v>
      </c>
      <c r="AD921">
        <f t="shared" si="227"/>
        <v>-9.0416578819607167</v>
      </c>
      <c r="AE921">
        <f t="shared" si="227"/>
        <v>-9.3639724991560627</v>
      </c>
    </row>
    <row r="923" spans="1:31" x14ac:dyDescent="0.45">
      <c r="A923" t="s">
        <v>1578</v>
      </c>
      <c r="B923" t="s">
        <v>1482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1578</v>
      </c>
      <c r="B924" t="s">
        <v>1482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0.57123661061347031</v>
      </c>
      <c r="M924">
        <f>IF(ISBLANK(Mitigation_Industry!M385),"",Mitigation_Industry!M385)</f>
        <v>0.58380381604696674</v>
      </c>
      <c r="N924">
        <f>IF(ISBLANK(Mitigation_Industry!N385),"",Mitigation_Industry!N385)</f>
        <v>0.5966475</v>
      </c>
      <c r="O924">
        <f>IF(ISBLANK(Mitigation_Industry!O385),"",Mitigation_Industry!O385)</f>
        <v>0.60977374500000003</v>
      </c>
      <c r="P924">
        <f>IF(ISBLANK(Mitigation_Industry!P385),"",Mitigation_Industry!P385)</f>
        <v>0.62318876738999995</v>
      </c>
      <c r="Q924">
        <f>IF(ISBLANK(Mitigation_Industry!Q385),"",Mitigation_Industry!Q385)</f>
        <v>0.6368989202725801</v>
      </c>
      <c r="R924">
        <f>IF(ISBLANK(Mitigation_Industry!R385),"",Mitigation_Industry!R385)</f>
        <v>0.65091069651857669</v>
      </c>
      <c r="S924">
        <f>IF(ISBLANK(Mitigation_Industry!S385),"",Mitigation_Industry!S385)</f>
        <v>0.66523073184198556</v>
      </c>
      <c r="T924">
        <f>IF(ISBLANK(Mitigation_Industry!T385),"",Mitigation_Industry!T385)</f>
        <v>0.67986580794250906</v>
      </c>
      <c r="U924">
        <f>IF(ISBLANK(Mitigation_Industry!U385),"",Mitigation_Industry!U385)</f>
        <v>0.69482285571724434</v>
      </c>
      <c r="V924">
        <f>IF(ISBLANK(Mitigation_Industry!V385),"",Mitigation_Industry!V385)</f>
        <v>0.7101089585430238</v>
      </c>
      <c r="W924">
        <f>IF(ISBLANK(Mitigation_Industry!W385),"",Mitigation_Industry!W385)</f>
        <v>0.72573135563097024</v>
      </c>
      <c r="X924">
        <f>IF(ISBLANK(Mitigation_Industry!X385),"",Mitigation_Industry!X385)</f>
        <v>0.74169744545485172</v>
      </c>
      <c r="Y924">
        <f>IF(ISBLANK(Mitigation_Industry!Y385),"",Mitigation_Industry!Y385)</f>
        <v>0.75801478925485843</v>
      </c>
      <c r="Z924">
        <f>IF(ISBLANK(Mitigation_Industry!Z385),"",Mitigation_Industry!Z385)</f>
        <v>0.7746911146184654</v>
      </c>
      <c r="AA924">
        <f>IF(ISBLANK(Mitigation_Industry!AA385),"",Mitigation_Industry!AA385)</f>
        <v>0.79173431914007153</v>
      </c>
      <c r="AB924">
        <f>IF(ISBLANK(Mitigation_Industry!AB385),"",Mitigation_Industry!AB385)</f>
        <v>0.8091524741611531</v>
      </c>
      <c r="AC924">
        <f>IF(ISBLANK(Mitigation_Industry!AC385),"",Mitigation_Industry!AC385)</f>
        <v>0.8269538285926985</v>
      </c>
      <c r="AD924">
        <f>IF(ISBLANK(Mitigation_Industry!AD385),"",Mitigation_Industry!AD385)</f>
        <v>0.84514681282173787</v>
      </c>
      <c r="AE924">
        <f>IF(ISBLANK(Mitigation_Industry!AE385),"",Mitigation_Industry!AE385)</f>
        <v>0.8637400427038161</v>
      </c>
    </row>
    <row r="925" spans="1:31" x14ac:dyDescent="0.45">
      <c r="A925" t="s">
        <v>1578</v>
      </c>
      <c r="B925" t="s">
        <v>1482</v>
      </c>
      <c r="C925" t="s">
        <v>283</v>
      </c>
      <c r="D925">
        <v>1</v>
      </c>
      <c r="E925" t="s">
        <v>1161</v>
      </c>
      <c r="F925">
        <f>MAX(MAX(L925:AE925),-MIN(L925:AE925))</f>
        <v>2.1204534126941121E-2</v>
      </c>
      <c r="I925" t="s">
        <v>1492</v>
      </c>
      <c r="K925">
        <f t="shared" ref="K925:AE925" si="228">IF(ISNUMBER(K923),IF(ISNUMBER(K924),K924-K923,999999),0)</f>
        <v>0</v>
      </c>
      <c r="L925">
        <f t="shared" si="228"/>
        <v>1.4023671018416728E-2</v>
      </c>
      <c r="M925">
        <f t="shared" si="228"/>
        <v>1.4332191780822012E-2</v>
      </c>
      <c r="N925">
        <f t="shared" si="228"/>
        <v>1.4647500000000035E-2</v>
      </c>
      <c r="O925">
        <f t="shared" si="228"/>
        <v>1.4969745000000034E-2</v>
      </c>
      <c r="P925">
        <f t="shared" si="228"/>
        <v>1.5299079389999859E-2</v>
      </c>
      <c r="Q925">
        <f t="shared" si="228"/>
        <v>1.563565913658016E-2</v>
      </c>
      <c r="R925">
        <f t="shared" si="228"/>
        <v>1.5979643637584751E-2</v>
      </c>
      <c r="S925">
        <f t="shared" si="228"/>
        <v>1.6331195797611775E-2</v>
      </c>
      <c r="T925">
        <f t="shared" si="228"/>
        <v>1.6690482105158999E-2</v>
      </c>
      <c r="U925">
        <f t="shared" si="228"/>
        <v>1.7057672711472516E-2</v>
      </c>
      <c r="V925">
        <f t="shared" si="228"/>
        <v>1.7432941511124955E-2</v>
      </c>
      <c r="W925">
        <f t="shared" si="228"/>
        <v>1.781646622436972E-2</v>
      </c>
      <c r="X925">
        <f t="shared" si="228"/>
        <v>1.8208428481305994E-2</v>
      </c>
      <c r="Y925">
        <f t="shared" si="228"/>
        <v>1.8609013907894711E-2</v>
      </c>
      <c r="Z925">
        <f t="shared" si="228"/>
        <v>1.9018412213868352E-2</v>
      </c>
      <c r="AA925">
        <f t="shared" si="228"/>
        <v>1.9436817282573293E-2</v>
      </c>
      <c r="AB925">
        <f t="shared" si="228"/>
        <v>1.9864427262789919E-2</v>
      </c>
      <c r="AC925">
        <f t="shared" si="228"/>
        <v>2.0301444662571333E-2</v>
      </c>
      <c r="AD925">
        <f t="shared" si="228"/>
        <v>2.0748076445147867E-2</v>
      </c>
      <c r="AE925">
        <f t="shared" si="228"/>
        <v>2.1204534126941121E-2</v>
      </c>
    </row>
    <row r="927" spans="1:31" x14ac:dyDescent="0.45">
      <c r="A927" t="s">
        <v>1579</v>
      </c>
      <c r="B927" t="s">
        <v>1482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1579</v>
      </c>
      <c r="B928" t="s">
        <v>1482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0.37103529198044649</v>
      </c>
      <c r="M928">
        <f>IF(ISBLANK(Mitigation_Industry!M386),"",Mitigation_Industry!M386)</f>
        <v>0.38736084482758615</v>
      </c>
      <c r="N928">
        <f>IF(ISBLANK(Mitigation_Industry!N386),"",Mitigation_Industry!N386)</f>
        <v>0.40440472199999999</v>
      </c>
      <c r="O928">
        <f>IF(ISBLANK(Mitigation_Industry!O386),"",Mitigation_Industry!O386)</f>
        <v>0.42219852976799999</v>
      </c>
      <c r="P928">
        <f>IF(ISBLANK(Mitigation_Industry!P386),"",Mitigation_Industry!P386)</f>
        <v>0.44077526507779197</v>
      </c>
      <c r="Q928">
        <f>IF(ISBLANK(Mitigation_Industry!Q386),"",Mitigation_Industry!Q386)</f>
        <v>0.46016937674121494</v>
      </c>
      <c r="R928">
        <f>IF(ISBLANK(Mitigation_Industry!R386),"",Mitigation_Industry!R386)</f>
        <v>0.48041682931782825</v>
      </c>
      <c r="S928">
        <f>IF(ISBLANK(Mitigation_Industry!S386),"",Mitigation_Industry!S386)</f>
        <v>0.50155516980781278</v>
      </c>
      <c r="T928">
        <f>IF(ISBLANK(Mitigation_Industry!T386),"",Mitigation_Industry!T386)</f>
        <v>0.52362359727935659</v>
      </c>
      <c r="U928">
        <f>IF(ISBLANK(Mitigation_Industry!U386),"",Mitigation_Industry!U386)</f>
        <v>0.54666303555964835</v>
      </c>
      <c r="V928">
        <f>IF(ISBLANK(Mitigation_Industry!V386),"",Mitigation_Industry!V386)</f>
        <v>0.57071620912427279</v>
      </c>
      <c r="W928">
        <f>IF(ISBLANK(Mitigation_Industry!W386),"",Mitigation_Industry!W386)</f>
        <v>0.59582772232574088</v>
      </c>
      <c r="X928">
        <f>IF(ISBLANK(Mitigation_Industry!X386),"",Mitigation_Industry!X386)</f>
        <v>0.62204414210807335</v>
      </c>
      <c r="Y928">
        <f>IF(ISBLANK(Mitigation_Industry!Y386),"",Mitigation_Industry!Y386)</f>
        <v>0.6494140843608287</v>
      </c>
      <c r="Z928">
        <f>IF(ISBLANK(Mitigation_Industry!Z386),"",Mitigation_Industry!Z386)</f>
        <v>0.67798830407270505</v>
      </c>
      <c r="AA928">
        <f>IF(ISBLANK(Mitigation_Industry!AA386),"",Mitigation_Industry!AA386)</f>
        <v>0.70781978945190405</v>
      </c>
      <c r="AB928">
        <f>IF(ISBLANK(Mitigation_Industry!AB386),"",Mitigation_Industry!AB386)</f>
        <v>0.73896386018778804</v>
      </c>
      <c r="AC928">
        <f>IF(ISBLANK(Mitigation_Industry!AC386),"",Mitigation_Industry!AC386)</f>
        <v>0.77147827003605074</v>
      </c>
      <c r="AD928">
        <f>IF(ISBLANK(Mitigation_Industry!AD386),"",Mitigation_Industry!AD386)</f>
        <v>0.80542331391763677</v>
      </c>
      <c r="AE928">
        <f>IF(ISBLANK(Mitigation_Industry!AE386),"",Mitigation_Industry!AE386)</f>
        <v>0.84086193973001278</v>
      </c>
    </row>
    <row r="929" spans="1:31" x14ac:dyDescent="0.45">
      <c r="A929" t="s">
        <v>1579</v>
      </c>
      <c r="B929" t="s">
        <v>1482</v>
      </c>
      <c r="C929" t="s">
        <v>284</v>
      </c>
      <c r="D929">
        <v>1</v>
      </c>
      <c r="E929" t="s">
        <v>1161</v>
      </c>
      <c r="F929">
        <f>MAX(MAX(L929:AE929),-MIN(L929:AE929))</f>
        <v>0.2669866046010535</v>
      </c>
      <c r="I929" t="s">
        <v>1492</v>
      </c>
      <c r="K929">
        <f t="shared" ref="K929:AE929" si="229">IF(ISNUMBER(K927),IF(ISNUMBER(K928),K928-K927,999999),0)</f>
        <v>0</v>
      </c>
      <c r="L929">
        <f t="shared" si="229"/>
        <v>0.11780941449773191</v>
      </c>
      <c r="M929">
        <f t="shared" si="229"/>
        <v>0.12299302873563212</v>
      </c>
      <c r="N929">
        <f t="shared" si="229"/>
        <v>0.12840472200000003</v>
      </c>
      <c r="O929">
        <f t="shared" si="229"/>
        <v>0.13405452976799997</v>
      </c>
      <c r="P929">
        <f t="shared" si="229"/>
        <v>0.13995292907779189</v>
      </c>
      <c r="Q929">
        <f t="shared" si="229"/>
        <v>0.1461108579572149</v>
      </c>
      <c r="R929">
        <f t="shared" si="229"/>
        <v>0.15253973570733215</v>
      </c>
      <c r="S929">
        <f t="shared" si="229"/>
        <v>0.15925148407845491</v>
      </c>
      <c r="T929">
        <f t="shared" si="229"/>
        <v>0.16625854937790691</v>
      </c>
      <c r="U929">
        <f t="shared" si="229"/>
        <v>0.17357392555053486</v>
      </c>
      <c r="V929">
        <f t="shared" si="229"/>
        <v>0.1812111782747583</v>
      </c>
      <c r="W929">
        <f t="shared" si="229"/>
        <v>0.18918447011884776</v>
      </c>
      <c r="X929">
        <f t="shared" si="229"/>
        <v>0.1975085868040769</v>
      </c>
      <c r="Y929">
        <f t="shared" si="229"/>
        <v>0.20619896462345644</v>
      </c>
      <c r="Z929">
        <f t="shared" si="229"/>
        <v>0.21527171906688836</v>
      </c>
      <c r="AA929">
        <f t="shared" si="229"/>
        <v>0.22474367470583145</v>
      </c>
      <c r="AB929">
        <f t="shared" si="229"/>
        <v>0.23463239639288813</v>
      </c>
      <c r="AC929">
        <f t="shared" si="229"/>
        <v>0.24495622183417542</v>
      </c>
      <c r="AD929">
        <f t="shared" si="229"/>
        <v>0.25573429559487892</v>
      </c>
      <c r="AE929">
        <f t="shared" si="229"/>
        <v>0.2669866046010535</v>
      </c>
    </row>
    <row r="931" spans="1:31" x14ac:dyDescent="0.45">
      <c r="A931" t="s">
        <v>1580</v>
      </c>
      <c r="B931" t="s">
        <v>1482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1580</v>
      </c>
      <c r="B932" t="s">
        <v>1482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0.64621002403360217</v>
      </c>
      <c r="M932">
        <f>IF(ISBLANK(Mitigation_Industry!M387),"",Mitigation_Industry!M387)</f>
        <v>0.68175157535545017</v>
      </c>
      <c r="N932">
        <f>IF(ISBLANK(Mitigation_Industry!N387),"",Mitigation_Industry!N387)</f>
        <v>0.71924791200000004</v>
      </c>
      <c r="O932">
        <f>IF(ISBLANK(Mitigation_Industry!O387),"",Mitigation_Industry!O387)</f>
        <v>0.75880654716000007</v>
      </c>
      <c r="P932">
        <f>IF(ISBLANK(Mitigation_Industry!P387),"",Mitigation_Industry!P387)</f>
        <v>0.80054090725379989</v>
      </c>
      <c r="Q932">
        <f>IF(ISBLANK(Mitigation_Industry!Q387),"",Mitigation_Industry!Q387)</f>
        <v>0.84457065715275881</v>
      </c>
      <c r="R932">
        <f>IF(ISBLANK(Mitigation_Industry!R387),"",Mitigation_Industry!R387)</f>
        <v>0.89102204329616075</v>
      </c>
      <c r="S932">
        <f>IF(ISBLANK(Mitigation_Industry!S387),"",Mitigation_Industry!S387)</f>
        <v>0.9400282556774493</v>
      </c>
      <c r="T932">
        <f>IF(ISBLANK(Mitigation_Industry!T387),"",Mitigation_Industry!T387)</f>
        <v>0.99172980973970914</v>
      </c>
      <c r="U932">
        <f>IF(ISBLANK(Mitigation_Industry!U387),"",Mitigation_Industry!U387)</f>
        <v>1.0462749492753931</v>
      </c>
      <c r="V932">
        <f>IF(ISBLANK(Mitigation_Industry!V387),"",Mitigation_Industry!V387)</f>
        <v>1.1038200714855397</v>
      </c>
      <c r="W932">
        <f>IF(ISBLANK(Mitigation_Industry!W387),"",Mitigation_Industry!W387)</f>
        <v>1.1645301754172441</v>
      </c>
      <c r="X932">
        <f>IF(ISBLANK(Mitigation_Industry!X387),"",Mitigation_Industry!X387)</f>
        <v>1.2285793350651928</v>
      </c>
      <c r="Y932">
        <f>IF(ISBLANK(Mitigation_Industry!Y387),"",Mitigation_Industry!Y387)</f>
        <v>1.2961511984937784</v>
      </c>
      <c r="Z932">
        <f>IF(ISBLANK(Mitigation_Industry!Z387),"",Mitigation_Industry!Z387)</f>
        <v>1.3674395144109359</v>
      </c>
      <c r="AA932">
        <f>IF(ISBLANK(Mitigation_Industry!AA387),"",Mitigation_Industry!AA387)</f>
        <v>1.4426486877035372</v>
      </c>
      <c r="AB932">
        <f>IF(ISBLANK(Mitigation_Industry!AB387),"",Mitigation_Industry!AB387)</f>
        <v>1.5219943655272321</v>
      </c>
      <c r="AC932">
        <f>IF(ISBLANK(Mitigation_Industry!AC387),"",Mitigation_Industry!AC387)</f>
        <v>1.6057040556312294</v>
      </c>
      <c r="AD932">
        <f>IF(ISBLANK(Mitigation_Industry!AD387),"",Mitigation_Industry!AD387)</f>
        <v>1.6940177786909472</v>
      </c>
      <c r="AE932">
        <f>IF(ISBLANK(Mitigation_Industry!AE387),"",Mitigation_Industry!AE387)</f>
        <v>1.787188756518949</v>
      </c>
    </row>
    <row r="933" spans="1:31" x14ac:dyDescent="0.45">
      <c r="A933" t="s">
        <v>1580</v>
      </c>
      <c r="B933" t="s">
        <v>1482</v>
      </c>
      <c r="C933" t="s">
        <v>285</v>
      </c>
      <c r="D933">
        <v>1</v>
      </c>
      <c r="E933" t="s">
        <v>1161</v>
      </c>
      <c r="F933">
        <f>MAX(MAX(L933:AE933),-MIN(L933:AE933))</f>
        <v>3.5403242338882812E-2</v>
      </c>
      <c r="I933" t="s">
        <v>1492</v>
      </c>
      <c r="K933">
        <f t="shared" ref="K933:AE933" si="230">IF(ISNUMBER(K931),IF(ISNUMBER(K932),K932-K931,999999),0)</f>
        <v>0</v>
      </c>
      <c r="L933">
        <f t="shared" si="230"/>
        <v>1.2801070955279603E-2</v>
      </c>
      <c r="M933">
        <f t="shared" si="230"/>
        <v>1.350512985781982E-2</v>
      </c>
      <c r="N933">
        <f t="shared" si="230"/>
        <v>1.4247912000000085E-2</v>
      </c>
      <c r="O933">
        <f t="shared" si="230"/>
        <v>1.5031547160000103E-2</v>
      </c>
      <c r="P933">
        <f t="shared" si="230"/>
        <v>1.5858282253799927E-2</v>
      </c>
      <c r="Q933">
        <f t="shared" si="230"/>
        <v>1.6730487777758873E-2</v>
      </c>
      <c r="R933">
        <f t="shared" si="230"/>
        <v>1.7650664605535771E-2</v>
      </c>
      <c r="S933">
        <f t="shared" si="230"/>
        <v>1.8621451158839952E-2</v>
      </c>
      <c r="T933">
        <f t="shared" si="230"/>
        <v>1.9645630972576322E-2</v>
      </c>
      <c r="U933">
        <f t="shared" si="230"/>
        <v>2.072614067606815E-2</v>
      </c>
      <c r="V933">
        <f t="shared" si="230"/>
        <v>2.1866078413251833E-2</v>
      </c>
      <c r="W933">
        <f t="shared" si="230"/>
        <v>2.3068712725980323E-2</v>
      </c>
      <c r="X933">
        <f t="shared" si="230"/>
        <v>2.4337491925909616E-2</v>
      </c>
      <c r="Y933">
        <f t="shared" si="230"/>
        <v>2.5676053981834812E-2</v>
      </c>
      <c r="Z933">
        <f t="shared" si="230"/>
        <v>2.708823695083562E-2</v>
      </c>
      <c r="AA933">
        <f t="shared" si="230"/>
        <v>2.8578089983130939E-2</v>
      </c>
      <c r="AB933">
        <f t="shared" si="230"/>
        <v>3.0149884932203941E-2</v>
      </c>
      <c r="AC933">
        <f t="shared" si="230"/>
        <v>3.1808128603474817E-2</v>
      </c>
      <c r="AD933">
        <f t="shared" si="230"/>
        <v>3.3557575676666174E-2</v>
      </c>
      <c r="AE933">
        <f t="shared" si="230"/>
        <v>3.5403242338882812E-2</v>
      </c>
    </row>
    <row r="935" spans="1:31" x14ac:dyDescent="0.45">
      <c r="A935" t="s">
        <v>1581</v>
      </c>
      <c r="B935" t="s">
        <v>1482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1581</v>
      </c>
      <c r="B936" t="s">
        <v>1482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1581</v>
      </c>
      <c r="B937" t="s">
        <v>1482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1492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1582</v>
      </c>
      <c r="B939" t="s">
        <v>1482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1582</v>
      </c>
      <c r="B940" t="s">
        <v>1482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25.163138219961041</v>
      </c>
      <c r="M940">
        <f>IF(ISBLANK(Mitigation_Industry!M389),"",Mitigation_Industry!M389)</f>
        <v>25.993521781219755</v>
      </c>
      <c r="N940">
        <f>IF(ISBLANK(Mitigation_Industry!N389),"",Mitigation_Industry!N389)</f>
        <v>26.851308</v>
      </c>
      <c r="O940">
        <f>IF(ISBLANK(Mitigation_Industry!O389),"",Mitigation_Industry!O389)</f>
        <v>27.737401163999998</v>
      </c>
      <c r="P940">
        <f>IF(ISBLANK(Mitigation_Industry!P389),"",Mitigation_Industry!P389)</f>
        <v>28.652735402411995</v>
      </c>
      <c r="Q940">
        <f>IF(ISBLANK(Mitigation_Industry!Q389),"",Mitigation_Industry!Q389)</f>
        <v>29.598275670691589</v>
      </c>
      <c r="R940">
        <f>IF(ISBLANK(Mitigation_Industry!R389),"",Mitigation_Industry!R389)</f>
        <v>30.575018767824407</v>
      </c>
      <c r="S940">
        <f>IF(ISBLANK(Mitigation_Industry!S389),"",Mitigation_Industry!S389)</f>
        <v>31.583994387162612</v>
      </c>
      <c r="T940">
        <f>IF(ISBLANK(Mitigation_Industry!T389),"",Mitigation_Industry!T389)</f>
        <v>32.626266201938975</v>
      </c>
      <c r="U940">
        <f>IF(ISBLANK(Mitigation_Industry!U389),"",Mitigation_Industry!U389)</f>
        <v>33.70293298660296</v>
      </c>
      <c r="V940">
        <f>IF(ISBLANK(Mitigation_Industry!V389),"",Mitigation_Industry!V389)</f>
        <v>34.815129775160841</v>
      </c>
      <c r="W940">
        <f>IF(ISBLANK(Mitigation_Industry!W389),"",Mitigation_Industry!W389)</f>
        <v>35.964029057741151</v>
      </c>
      <c r="X940">
        <f>IF(ISBLANK(Mitigation_Industry!X389),"",Mitigation_Industry!X389)</f>
        <v>37.150842016646592</v>
      </c>
      <c r="Y940">
        <f>IF(ISBLANK(Mitigation_Industry!Y389),"",Mitigation_Industry!Y389)</f>
        <v>38.376819803195943</v>
      </c>
      <c r="Z940">
        <f>IF(ISBLANK(Mitigation_Industry!Z389),"",Mitigation_Industry!Z389)</f>
        <v>39.643254856701404</v>
      </c>
      <c r="AA940">
        <f>IF(ISBLANK(Mitigation_Industry!AA389),"",Mitigation_Industry!AA389)</f>
        <v>40.951482266972548</v>
      </c>
      <c r="AB940">
        <f>IF(ISBLANK(Mitigation_Industry!AB389),"",Mitigation_Industry!AB389)</f>
        <v>42.302881181782631</v>
      </c>
      <c r="AC940">
        <f>IF(ISBLANK(Mitigation_Industry!AC389),"",Mitigation_Industry!AC389)</f>
        <v>43.698876260781446</v>
      </c>
      <c r="AD940">
        <f>IF(ISBLANK(Mitigation_Industry!AD389),"",Mitigation_Industry!AD389)</f>
        <v>45.140939177387231</v>
      </c>
      <c r="AE940">
        <f>IF(ISBLANK(Mitigation_Industry!AE389),"",Mitigation_Industry!AE389)</f>
        <v>46.630590170241007</v>
      </c>
    </row>
    <row r="941" spans="1:31" x14ac:dyDescent="0.45">
      <c r="A941" t="s">
        <v>1582</v>
      </c>
      <c r="B941" t="s">
        <v>1482</v>
      </c>
      <c r="C941" t="s">
        <v>287</v>
      </c>
      <c r="D941">
        <v>1</v>
      </c>
      <c r="E941" t="s">
        <v>1161</v>
      </c>
      <c r="F941">
        <f>MAX(MAX(L941:AE941),-MIN(L941:AE941))</f>
        <v>0.95741397050655763</v>
      </c>
      <c r="I941" t="s">
        <v>1492</v>
      </c>
      <c r="K941">
        <f t="shared" ref="K941:AE941" si="232">IF(ISNUMBER(K939),IF(ISNUMBER(K940),K940-K939,999999),0)</f>
        <v>0</v>
      </c>
      <c r="L941">
        <f t="shared" si="232"/>
        <v>0.51664669020109599</v>
      </c>
      <c r="M941">
        <f t="shared" si="232"/>
        <v>0.53369603097773322</v>
      </c>
      <c r="N941">
        <f t="shared" si="232"/>
        <v>0.5513079999999988</v>
      </c>
      <c r="O941">
        <f t="shared" si="232"/>
        <v>0.56950116399999828</v>
      </c>
      <c r="P941">
        <f t="shared" si="232"/>
        <v>0.58829470241199999</v>
      </c>
      <c r="Q941">
        <f t="shared" si="232"/>
        <v>0.60770842759159649</v>
      </c>
      <c r="R941">
        <f t="shared" si="232"/>
        <v>0.6277628057021154</v>
      </c>
      <c r="S941">
        <f t="shared" si="232"/>
        <v>0.64847897829028867</v>
      </c>
      <c r="T941">
        <f t="shared" si="232"/>
        <v>0.66987878457386429</v>
      </c>
      <c r="U941">
        <f t="shared" si="232"/>
        <v>0.69198478446480749</v>
      </c>
      <c r="V941">
        <f t="shared" si="232"/>
        <v>0.71482028235213591</v>
      </c>
      <c r="W941">
        <f t="shared" si="232"/>
        <v>0.73840935166975186</v>
      </c>
      <c r="X941">
        <f t="shared" si="232"/>
        <v>0.76277686027484748</v>
      </c>
      <c r="Y941">
        <f t="shared" si="232"/>
        <v>0.78794849666392963</v>
      </c>
      <c r="Z941">
        <f t="shared" si="232"/>
        <v>0.81395079705383466</v>
      </c>
      <c r="AA941">
        <f t="shared" si="232"/>
        <v>0.84081117335661304</v>
      </c>
      <c r="AB941">
        <f t="shared" si="232"/>
        <v>0.86855794207737347</v>
      </c>
      <c r="AC941">
        <f t="shared" si="232"/>
        <v>0.89722035416592405</v>
      </c>
      <c r="AD941">
        <f t="shared" si="232"/>
        <v>0.9268286258533962</v>
      </c>
      <c r="AE941">
        <f t="shared" si="232"/>
        <v>0.95741397050655763</v>
      </c>
    </row>
    <row r="943" spans="1:31" x14ac:dyDescent="0.45">
      <c r="A943" t="s">
        <v>1583</v>
      </c>
      <c r="B943" t="s">
        <v>1482</v>
      </c>
      <c r="C943" t="s">
        <v>111</v>
      </c>
      <c r="D943">
        <v>1</v>
      </c>
      <c r="E943" t="s">
        <v>1159</v>
      </c>
    </row>
    <row r="944" spans="1:31" x14ac:dyDescent="0.45">
      <c r="A944" t="s">
        <v>1583</v>
      </c>
      <c r="B944" t="s">
        <v>1482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26.751620146588561</v>
      </c>
      <c r="M944">
        <f>IF(ISBLANK(Mitigation_Industry!M390),"",Mitigation_Industry!M390)</f>
        <v>27.646438017449757</v>
      </c>
      <c r="N944">
        <f>IF(ISBLANK(Mitigation_Industry!N390),"",Mitigation_Industry!N390)</f>
        <v>28.571608133999998</v>
      </c>
      <c r="O944">
        <f>IF(ISBLANK(Mitigation_Industry!O390),"",Mitigation_Industry!O390)</f>
        <v>29.528179985927999</v>
      </c>
      <c r="P944">
        <f>IF(ISBLANK(Mitigation_Industry!P390),"",Mitigation_Industry!P390)</f>
        <v>30.517240342133586</v>
      </c>
      <c r="Q944">
        <f>IF(ISBLANK(Mitigation_Industry!Q390),"",Mitigation_Industry!Q390)</f>
        <v>31.539914624858142</v>
      </c>
      <c r="R944">
        <f>IF(ISBLANK(Mitigation_Industry!R390),"",Mitigation_Industry!R390)</f>
        <v>32.597368336956976</v>
      </c>
      <c r="S944">
        <f>IF(ISBLANK(Mitigation_Industry!S390),"",Mitigation_Industry!S390)</f>
        <v>33.690808544489862</v>
      </c>
      <c r="T944">
        <f>IF(ISBLANK(Mitigation_Industry!T390),"",Mitigation_Industry!T390)</f>
        <v>34.821485416900551</v>
      </c>
      <c r="U944">
        <f>IF(ISBLANK(Mitigation_Industry!U390),"",Mitigation_Industry!U390)</f>
        <v>35.990693827155248</v>
      </c>
      <c r="V944">
        <f>IF(ISBLANK(Mitigation_Industry!V390),"",Mitigation_Industry!V390)</f>
        <v>37.19977501431368</v>
      </c>
      <c r="W944">
        <f>IF(ISBLANK(Mitigation_Industry!W390),"",Mitigation_Industry!W390)</f>
        <v>38.450118311115105</v>
      </c>
      <c r="X944">
        <f>IF(ISBLANK(Mitigation_Industry!X390),"",Mitigation_Industry!X390)</f>
        <v>39.743162939274711</v>
      </c>
      <c r="Y944">
        <f>IF(ISBLANK(Mitigation_Industry!Y390),"",Mitigation_Industry!Y390)</f>
        <v>41.08039987530541</v>
      </c>
      <c r="Z944">
        <f>IF(ISBLANK(Mitigation_Industry!Z390),"",Mitigation_Industry!Z390)</f>
        <v>42.463373789803512</v>
      </c>
      <c r="AA944">
        <f>IF(ISBLANK(Mitigation_Industry!AA390),"",Mitigation_Industry!AA390)</f>
        <v>43.893685063268059</v>
      </c>
      <c r="AB944">
        <f>IF(ISBLANK(Mitigation_Industry!AB390),"",Mitigation_Industry!AB390)</f>
        <v>45.372991881658805</v>
      </c>
      <c r="AC944">
        <f>IF(ISBLANK(Mitigation_Industry!AC390),"",Mitigation_Industry!AC390)</f>
        <v>46.903012415041424</v>
      </c>
      <c r="AD944">
        <f>IF(ISBLANK(Mitigation_Industry!AD390),"",Mitigation_Industry!AD390)</f>
        <v>48.485527082817555</v>
      </c>
      <c r="AE944">
        <f>IF(ISBLANK(Mitigation_Industry!AE390),"",Mitigation_Industry!AE390)</f>
        <v>50.122380909193787</v>
      </c>
    </row>
    <row r="945" spans="1:31" x14ac:dyDescent="0.45">
      <c r="A945" t="s">
        <v>1583</v>
      </c>
      <c r="B945" t="s">
        <v>1482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1492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1584</v>
      </c>
      <c r="B947" t="s">
        <v>1483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1584</v>
      </c>
      <c r="B948" t="s">
        <v>1483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1584</v>
      </c>
      <c r="B949" t="s">
        <v>1483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1492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1585</v>
      </c>
      <c r="B951" t="s">
        <v>1483</v>
      </c>
      <c r="C951" t="s">
        <v>1355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1585</v>
      </c>
      <c r="B952" t="s">
        <v>1483</v>
      </c>
      <c r="C952" t="s">
        <v>1355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1585</v>
      </c>
      <c r="B953" t="s">
        <v>1483</v>
      </c>
      <c r="C953" t="s">
        <v>1355</v>
      </c>
      <c r="D953">
        <v>1</v>
      </c>
      <c r="E953" t="s">
        <v>1161</v>
      </c>
      <c r="F953">
        <f>MAX(MAX(L953:AE953),-MIN(L953:AE953))</f>
        <v>0</v>
      </c>
      <c r="I953" t="s">
        <v>1492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1586</v>
      </c>
      <c r="B955" t="s">
        <v>1483</v>
      </c>
      <c r="C955" t="s">
        <v>1359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1586</v>
      </c>
      <c r="B956" t="s">
        <v>1483</v>
      </c>
      <c r="C956" t="s">
        <v>1359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1586</v>
      </c>
      <c r="B957" t="s">
        <v>1483</v>
      </c>
      <c r="C957" t="s">
        <v>1359</v>
      </c>
      <c r="D957">
        <v>1</v>
      </c>
      <c r="E957" t="s">
        <v>1161</v>
      </c>
      <c r="F957">
        <f>MAX(MAX(L957:AE957),-MIN(L957:AE957))</f>
        <v>0</v>
      </c>
      <c r="I957" t="s">
        <v>1492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1587</v>
      </c>
      <c r="B959" t="s">
        <v>1483</v>
      </c>
      <c r="C959" t="s">
        <v>1363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1587</v>
      </c>
      <c r="B960" t="s">
        <v>1483</v>
      </c>
      <c r="C960" t="s">
        <v>1363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1587</v>
      </c>
      <c r="B961" t="s">
        <v>1483</v>
      </c>
      <c r="C961" t="s">
        <v>1363</v>
      </c>
      <c r="D961">
        <v>1</v>
      </c>
      <c r="E961" t="s">
        <v>1161</v>
      </c>
      <c r="F961">
        <f>MAX(MAX(L961:AE961),-MIN(L961:AE961))</f>
        <v>0</v>
      </c>
      <c r="I961" t="s">
        <v>1492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1588</v>
      </c>
      <c r="B963" t="s">
        <v>1483</v>
      </c>
      <c r="C963" t="s">
        <v>1425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1588</v>
      </c>
      <c r="B964" t="s">
        <v>1483</v>
      </c>
      <c r="C964" t="s">
        <v>1425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1588</v>
      </c>
      <c r="B965" t="s">
        <v>1483</v>
      </c>
      <c r="C965" t="s">
        <v>1425</v>
      </c>
      <c r="D965">
        <v>1</v>
      </c>
      <c r="E965" t="s">
        <v>1161</v>
      </c>
      <c r="F965">
        <f>MAX(MAX(L965:AE965),-MIN(L965:AE965))</f>
        <v>0</v>
      </c>
      <c r="I965" t="s">
        <v>1492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1589</v>
      </c>
      <c r="B967" t="s">
        <v>1483</v>
      </c>
      <c r="C967" t="s">
        <v>1373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1589</v>
      </c>
      <c r="B968" t="s">
        <v>1483</v>
      </c>
      <c r="C968" t="s">
        <v>1373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1589</v>
      </c>
      <c r="B969" t="s">
        <v>1483</v>
      </c>
      <c r="C969" t="s">
        <v>1373</v>
      </c>
      <c r="D969">
        <v>1</v>
      </c>
      <c r="E969" t="s">
        <v>1161</v>
      </c>
      <c r="F969">
        <f>MAX(MAX(L969:AE969),-MIN(L969:AE969))</f>
        <v>0</v>
      </c>
      <c r="I969" t="s">
        <v>1492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1590</v>
      </c>
      <c r="B971" t="s">
        <v>1483</v>
      </c>
      <c r="C971" t="s">
        <v>1378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1590</v>
      </c>
      <c r="B972" t="s">
        <v>1483</v>
      </c>
      <c r="C972" t="s">
        <v>1378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1590</v>
      </c>
      <c r="B973" t="s">
        <v>1483</v>
      </c>
      <c r="C973" t="s">
        <v>1378</v>
      </c>
      <c r="D973">
        <v>1</v>
      </c>
      <c r="E973" t="s">
        <v>1161</v>
      </c>
      <c r="F973">
        <f>MAX(MAX(L973:AE973),-MIN(L973:AE973))</f>
        <v>0</v>
      </c>
      <c r="I973" t="s">
        <v>1492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1591</v>
      </c>
      <c r="B975" t="s">
        <v>1483</v>
      </c>
      <c r="C975" t="s">
        <v>1383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1591</v>
      </c>
      <c r="B976" t="s">
        <v>1483</v>
      </c>
      <c r="C976" t="s">
        <v>1383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1591</v>
      </c>
      <c r="B977" t="s">
        <v>1483</v>
      </c>
      <c r="C977" t="s">
        <v>1383</v>
      </c>
      <c r="D977">
        <v>1</v>
      </c>
      <c r="E977" t="s">
        <v>1161</v>
      </c>
      <c r="F977">
        <f>MAX(MAX(L977:AE977),-MIN(L977:AE977))</f>
        <v>0</v>
      </c>
      <c r="I977" t="s">
        <v>1492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1592</v>
      </c>
      <c r="B979" t="s">
        <v>1483</v>
      </c>
      <c r="C979" t="s">
        <v>1484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1592</v>
      </c>
      <c r="B980" t="s">
        <v>1483</v>
      </c>
      <c r="C980" t="s">
        <v>1484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1592</v>
      </c>
      <c r="B981" t="s">
        <v>1483</v>
      </c>
      <c r="C981" t="s">
        <v>1484</v>
      </c>
      <c r="D981">
        <v>1</v>
      </c>
      <c r="E981" t="s">
        <v>1161</v>
      </c>
      <c r="F981">
        <f>MAX(MAX(L981:AE981),-MIN(L981:AE981))</f>
        <v>0</v>
      </c>
      <c r="I981" t="s">
        <v>1492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1593</v>
      </c>
      <c r="B983" t="s">
        <v>1406</v>
      </c>
      <c r="C983" t="s">
        <v>1407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1593</v>
      </c>
      <c r="B984" t="s">
        <v>1406</v>
      </c>
      <c r="C984" t="s">
        <v>1407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1593</v>
      </c>
      <c r="B985" t="s">
        <v>1406</v>
      </c>
      <c r="C985" t="s">
        <v>1407</v>
      </c>
      <c r="D985">
        <v>2</v>
      </c>
      <c r="E985" t="s">
        <v>1161</v>
      </c>
      <c r="F985">
        <f>MAX(MAX(L985:AE985),-MIN(L985:AE985))</f>
        <v>187.5</v>
      </c>
      <c r="I985" t="s">
        <v>1571</v>
      </c>
      <c r="J985" t="s">
        <v>1594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1595</v>
      </c>
      <c r="B987" t="s">
        <v>1406</v>
      </c>
      <c r="C987" t="s">
        <v>1408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1595</v>
      </c>
      <c r="B988" t="s">
        <v>1406</v>
      </c>
      <c r="C988" t="s">
        <v>1408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1595</v>
      </c>
      <c r="B989" t="s">
        <v>1406</v>
      </c>
      <c r="C989" t="s">
        <v>1408</v>
      </c>
      <c r="D989">
        <v>2</v>
      </c>
      <c r="E989" t="s">
        <v>1161</v>
      </c>
      <c r="F989">
        <f>MAX(MAX(L989:AE989),-MIN(L989:AE989))</f>
        <v>0</v>
      </c>
      <c r="I989" t="s">
        <v>1492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1596</v>
      </c>
      <c r="B991" t="s">
        <v>1417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1596</v>
      </c>
      <c r="B992" t="s">
        <v>1417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6058.5984688896006</v>
      </c>
      <c r="S992">
        <f>IF(ISBLANK(Mitigation_Industry!S675),"",Mitigation_Industry!S675)</f>
        <v>6325.1768015207426</v>
      </c>
      <c r="T992">
        <f>IF(ISBLANK(Mitigation_Industry!T675),"",Mitigation_Industry!T675)</f>
        <v>6603.4845807876563</v>
      </c>
      <c r="U992">
        <f>IF(ISBLANK(Mitigation_Industry!U675),"",Mitigation_Industry!U675)</f>
        <v>6894.0379023423138</v>
      </c>
      <c r="V992">
        <f>IF(ISBLANK(Mitigation_Industry!V675),"",Mitigation_Industry!V675)</f>
        <v>7197.3755700453748</v>
      </c>
      <c r="W992">
        <f>IF(ISBLANK(Mitigation_Industry!W675),"",Mitigation_Industry!W675)</f>
        <v>7514.0600951273718</v>
      </c>
      <c r="X992">
        <f>IF(ISBLANK(Mitigation_Industry!X675),"",Mitigation_Industry!X675)</f>
        <v>7844.6787393129762</v>
      </c>
      <c r="Y992">
        <f>IF(ISBLANK(Mitigation_Industry!Y675),"",Mitigation_Industry!Y675)</f>
        <v>8189.8446038427483</v>
      </c>
      <c r="Z992">
        <f>IF(ISBLANK(Mitigation_Industry!Z675),"",Mitigation_Industry!Z675)</f>
        <v>8550.1977664118276</v>
      </c>
      <c r="AA992">
        <f>IF(ISBLANK(Mitigation_Industry!AA675),"",Mitigation_Industry!AA675)</f>
        <v>8926.4064681339478</v>
      </c>
      <c r="AB992">
        <f>IF(ISBLANK(Mitigation_Industry!AB675),"",Mitigation_Industry!AB675)</f>
        <v>9319.1683527318437</v>
      </c>
      <c r="AC992">
        <f>IF(ISBLANK(Mitigation_Industry!AC675),"",Mitigation_Industry!AC675)</f>
        <v>9729.2117602520448</v>
      </c>
      <c r="AD992">
        <f>IF(ISBLANK(Mitigation_Industry!AD675),"",Mitigation_Industry!AD675)</f>
        <v>10157.297077703133</v>
      </c>
      <c r="AE992">
        <f>IF(ISBLANK(Mitigation_Industry!AE675),"",Mitigation_Industry!AE675)</f>
        <v>10604.218149122071</v>
      </c>
    </row>
    <row r="993" spans="1:31" x14ac:dyDescent="0.45">
      <c r="A993" t="s">
        <v>1596</v>
      </c>
      <c r="B993" t="s">
        <v>1417</v>
      </c>
      <c r="C993" t="s">
        <v>1350</v>
      </c>
      <c r="D993">
        <v>2</v>
      </c>
      <c r="E993" t="s">
        <v>1161</v>
      </c>
      <c r="F993">
        <f>MAX(MAX(L993:AE993),-MIN(L993:AE993))</f>
        <v>3.637978807091713E-12</v>
      </c>
      <c r="I993" t="s">
        <v>1492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-9.0949470177292824E-13</v>
      </c>
      <c r="Q993">
        <f t="shared" si="245"/>
        <v>0</v>
      </c>
      <c r="R993">
        <f t="shared" si="245"/>
        <v>-9.0949470177292824E-13</v>
      </c>
      <c r="S993">
        <f t="shared" si="245"/>
        <v>-1.8189894035458565E-12</v>
      </c>
      <c r="T993">
        <f t="shared" si="245"/>
        <v>-9.0949470177292824E-13</v>
      </c>
      <c r="U993">
        <f t="shared" si="245"/>
        <v>-9.0949470177292824E-13</v>
      </c>
      <c r="V993">
        <f t="shared" si="245"/>
        <v>-1.8189894035458565E-12</v>
      </c>
      <c r="W993">
        <f t="shared" si="245"/>
        <v>-1.8189894035458565E-12</v>
      </c>
      <c r="X993">
        <f t="shared" si="245"/>
        <v>-1.8189894035458565E-12</v>
      </c>
      <c r="Y993">
        <f t="shared" si="245"/>
        <v>-9.0949470177292824E-13</v>
      </c>
      <c r="Z993">
        <f t="shared" si="245"/>
        <v>-3.637978807091713E-12</v>
      </c>
      <c r="AA993">
        <f t="shared" si="245"/>
        <v>-3.637978807091713E-12</v>
      </c>
      <c r="AB993">
        <f t="shared" si="245"/>
        <v>-1.8189894035458565E-12</v>
      </c>
      <c r="AC993">
        <f t="shared" si="245"/>
        <v>-1.8189894035458565E-12</v>
      </c>
      <c r="AD993">
        <f t="shared" si="245"/>
        <v>-3.637978807091713E-12</v>
      </c>
      <c r="AE993">
        <f t="shared" si="245"/>
        <v>-3.637978807091713E-12</v>
      </c>
    </row>
    <row r="995" spans="1:31" x14ac:dyDescent="0.45">
      <c r="A995" t="s">
        <v>1597</v>
      </c>
      <c r="B995" t="s">
        <v>1417</v>
      </c>
      <c r="C995" t="s">
        <v>1355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1597</v>
      </c>
      <c r="B996" t="s">
        <v>1417</v>
      </c>
      <c r="C996" t="s">
        <v>1355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5461.8872832000006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6488.5062610280602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7072.0565601198796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7708.0890389108217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8770.981979041735</v>
      </c>
      <c r="AC996">
        <f>IF(ISBLANK(Mitigation_Industry!AC676),"",Mitigation_Industry!AC676)</f>
        <v>9156.9051861195712</v>
      </c>
      <c r="AD996">
        <f>IF(ISBLANK(Mitigation_Industry!AD676),"",Mitigation_Industry!AD676)</f>
        <v>9559.809014308832</v>
      </c>
      <c r="AE996">
        <f>IF(ISBLANK(Mitigation_Industry!AE676),"",Mitigation_Industry!AE676)</f>
        <v>9980.4406109384199</v>
      </c>
    </row>
    <row r="997" spans="1:31" x14ac:dyDescent="0.45">
      <c r="A997" t="s">
        <v>1597</v>
      </c>
      <c r="B997" t="s">
        <v>1417</v>
      </c>
      <c r="C997" t="s">
        <v>1355</v>
      </c>
      <c r="D997">
        <v>2</v>
      </c>
      <c r="E997" t="s">
        <v>1161</v>
      </c>
      <c r="F997">
        <f>MAX(MAX(L997:AE997),-MIN(L997:AE997))</f>
        <v>1.8189894035458565E-12</v>
      </c>
      <c r="I997" t="s">
        <v>1492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9.0949470177292824E-13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9.0949470177292824E-13</v>
      </c>
      <c r="V997">
        <f t="shared" si="246"/>
        <v>0</v>
      </c>
      <c r="W997">
        <f t="shared" si="246"/>
        <v>9.0949470177292824E-13</v>
      </c>
      <c r="X997">
        <f t="shared" si="246"/>
        <v>0</v>
      </c>
      <c r="Y997">
        <f t="shared" si="246"/>
        <v>9.0949470177292824E-13</v>
      </c>
      <c r="Z997">
        <f t="shared" si="246"/>
        <v>0</v>
      </c>
      <c r="AA997">
        <f t="shared" si="246"/>
        <v>0</v>
      </c>
      <c r="AB997">
        <f t="shared" si="246"/>
        <v>1.8189894035458565E-12</v>
      </c>
      <c r="AC997">
        <f t="shared" si="246"/>
        <v>1.8189894035458565E-12</v>
      </c>
      <c r="AD997">
        <f t="shared" si="246"/>
        <v>1.8189894035458565E-12</v>
      </c>
      <c r="AE997">
        <f t="shared" si="246"/>
        <v>0</v>
      </c>
    </row>
    <row r="999" spans="1:31" x14ac:dyDescent="0.45">
      <c r="A999" t="s">
        <v>1598</v>
      </c>
      <c r="B999" t="s">
        <v>1417</v>
      </c>
      <c r="C999" t="s">
        <v>1359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1598</v>
      </c>
      <c r="B1000" t="s">
        <v>1417</v>
      </c>
      <c r="C1000" t="s">
        <v>1359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1598</v>
      </c>
      <c r="B1001" t="s">
        <v>1417</v>
      </c>
      <c r="C1001" t="s">
        <v>1359</v>
      </c>
      <c r="D1001">
        <v>2</v>
      </c>
      <c r="E1001" t="s">
        <v>1161</v>
      </c>
      <c r="F1001">
        <f>MAX(MAX(L1001:AE1001),-MIN(L1001:AE1001))</f>
        <v>0</v>
      </c>
      <c r="I1001" t="s">
        <v>1492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1599</v>
      </c>
      <c r="B1003" t="s">
        <v>1417</v>
      </c>
      <c r="C1003" t="s">
        <v>1363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1599</v>
      </c>
      <c r="B1004" t="s">
        <v>1417</v>
      </c>
      <c r="C1004" t="s">
        <v>1363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60753.588245941261</v>
      </c>
      <c r="U1004">
        <f>IF(ISBLANK(Mitigation_Industry!U678),"",Mitigation_Industry!U678)</f>
        <v>62758.456658057316</v>
      </c>
      <c r="V1004">
        <f>IF(ISBLANK(Mitigation_Industry!V678),"",Mitigation_Industry!V678)</f>
        <v>64829.485727773194</v>
      </c>
      <c r="W1004">
        <f>IF(ISBLANK(Mitigation_Industry!W678),"",Mitigation_Industry!W678)</f>
        <v>66968.858756789705</v>
      </c>
      <c r="X1004">
        <f>IF(ISBLANK(Mitigation_Industry!X678),"",Mitigation_Industry!X678)</f>
        <v>69178.831095763744</v>
      </c>
      <c r="Y1004">
        <f>IF(ISBLANK(Mitigation_Industry!Y678),"",Mitigation_Industry!Y678)</f>
        <v>71461.732521923957</v>
      </c>
      <c r="Z1004">
        <f>IF(ISBLANK(Mitigation_Industry!Z678),"",Mitigation_Industry!Z678)</f>
        <v>73819.969695147433</v>
      </c>
      <c r="AA1004">
        <f>IF(ISBLANK(Mitigation_Industry!AA678),"",Mitigation_Industry!AA678)</f>
        <v>76256.028695087298</v>
      </c>
      <c r="AB1004">
        <f>IF(ISBLANK(Mitigation_Industry!AB678),"",Mitigation_Industry!AB678)</f>
        <v>78772.477642025158</v>
      </c>
      <c r="AC1004">
        <f>IF(ISBLANK(Mitigation_Industry!AC678),"",Mitigation_Industry!AC678)</f>
        <v>81371.969404211981</v>
      </c>
      <c r="AD1004">
        <f>IF(ISBLANK(Mitigation_Industry!AD678),"",Mitigation_Industry!AD678)</f>
        <v>84057.244394550973</v>
      </c>
      <c r="AE1004">
        <f>IF(ISBLANK(Mitigation_Industry!AE678),"",Mitigation_Industry!AE678)</f>
        <v>86831.133459571138</v>
      </c>
    </row>
    <row r="1005" spans="1:31" x14ac:dyDescent="0.45">
      <c r="A1005" t="s">
        <v>1599</v>
      </c>
      <c r="B1005" t="s">
        <v>1417</v>
      </c>
      <c r="C1005" t="s">
        <v>1363</v>
      </c>
      <c r="D1005">
        <v>2</v>
      </c>
      <c r="E1005" t="s">
        <v>1161</v>
      </c>
      <c r="F1005">
        <f>MAX(MAX(L1005:AE1005),-MIN(L1005:AE1005))</f>
        <v>5.8207660913467407E-11</v>
      </c>
      <c r="I1005" t="s">
        <v>1492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-7.2759576141834259E-12</v>
      </c>
      <c r="U1005">
        <f t="shared" si="248"/>
        <v>-7.2759576141834259E-12</v>
      </c>
      <c r="V1005">
        <f t="shared" si="248"/>
        <v>-1.4551915228366852E-11</v>
      </c>
      <c r="W1005">
        <f t="shared" si="248"/>
        <v>-1.4551915228366852E-11</v>
      </c>
      <c r="X1005">
        <f t="shared" si="248"/>
        <v>-2.9103830456733704E-11</v>
      </c>
      <c r="Y1005">
        <f t="shared" si="248"/>
        <v>-1.4551915228366852E-11</v>
      </c>
      <c r="Z1005">
        <f t="shared" si="248"/>
        <v>-2.9103830456733704E-11</v>
      </c>
      <c r="AA1005">
        <f t="shared" si="248"/>
        <v>-2.9103830456733704E-11</v>
      </c>
      <c r="AB1005">
        <f t="shared" si="248"/>
        <v>-4.3655745685100555E-11</v>
      </c>
      <c r="AC1005">
        <f t="shared" si="248"/>
        <v>-4.3655745685100555E-11</v>
      </c>
      <c r="AD1005">
        <f t="shared" si="248"/>
        <v>-4.3655745685100555E-11</v>
      </c>
      <c r="AE1005">
        <f t="shared" si="248"/>
        <v>-5.8207660913467407E-11</v>
      </c>
    </row>
    <row r="1007" spans="1:31" x14ac:dyDescent="0.45">
      <c r="A1007" t="s">
        <v>1600</v>
      </c>
      <c r="B1007" t="s">
        <v>1417</v>
      </c>
      <c r="C1007" t="s">
        <v>1425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1600</v>
      </c>
      <c r="B1008" t="s">
        <v>1417</v>
      </c>
      <c r="C1008" t="s">
        <v>1425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1905.4208266800001</v>
      </c>
      <c r="R1008">
        <f>IF(ISBLANK(Mitigation_Industry!R679),"",Mitigation_Industry!R679)</f>
        <v>1947.3400848669601</v>
      </c>
      <c r="S1008">
        <f>IF(ISBLANK(Mitigation_Industry!S679),"",Mitigation_Industry!S679)</f>
        <v>1990.1815667340331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2124.4444852267002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2420.7545768274535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1600</v>
      </c>
      <c r="B1009" t="s">
        <v>1417</v>
      </c>
      <c r="C1009" t="s">
        <v>1425</v>
      </c>
      <c r="D1009">
        <v>2</v>
      </c>
      <c r="E1009" t="s">
        <v>1161</v>
      </c>
      <c r="F1009">
        <f>MAX(MAX(L1009:AE1009),-MIN(L1009:AE1009))</f>
        <v>4.5474735088646412E-13</v>
      </c>
      <c r="I1009" t="s">
        <v>1492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2.2737367544323206E-13</v>
      </c>
      <c r="R1009">
        <f t="shared" si="249"/>
        <v>2.2737367544323206E-13</v>
      </c>
      <c r="S1009">
        <f t="shared" si="249"/>
        <v>2.2737367544323206E-13</v>
      </c>
      <c r="T1009">
        <f t="shared" si="249"/>
        <v>0</v>
      </c>
      <c r="U1009">
        <f t="shared" si="249"/>
        <v>0</v>
      </c>
      <c r="V1009">
        <f t="shared" si="249"/>
        <v>4.5474735088646412E-13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-4.5474735088646412E-13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1601</v>
      </c>
      <c r="B1011" t="s">
        <v>1417</v>
      </c>
      <c r="C1011" t="s">
        <v>1373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1601</v>
      </c>
      <c r="B1012" t="s">
        <v>1417</v>
      </c>
      <c r="C1012" t="s">
        <v>1373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3054.6511135168003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3405.7761002379407</v>
      </c>
      <c r="X1012">
        <f>IF(ISBLANK(Mitigation_Industry!X680),"",Mitigation_Industry!X680)</f>
        <v>3480.7031744431756</v>
      </c>
      <c r="Y1012">
        <f>IF(ISBLANK(Mitigation_Industry!Y680),"",Mitigation_Industry!Y680)</f>
        <v>3557.2786442809256</v>
      </c>
      <c r="Z1012">
        <f>IF(ISBLANK(Mitigation_Industry!Z680),"",Mitigation_Industry!Z680)</f>
        <v>3635.5387744551062</v>
      </c>
      <c r="AA1012">
        <f>IF(ISBLANK(Mitigation_Industry!AA680),"",Mitigation_Industry!AA680)</f>
        <v>3715.5206274931184</v>
      </c>
      <c r="AB1012">
        <f>IF(ISBLANK(Mitigation_Industry!AB680),"",Mitigation_Industry!AB680)</f>
        <v>3797.2620812979667</v>
      </c>
      <c r="AC1012">
        <f>IF(ISBLANK(Mitigation_Industry!AC680),"",Mitigation_Industry!AC680)</f>
        <v>3880.8018470865222</v>
      </c>
      <c r="AD1012">
        <f>IF(ISBLANK(Mitigation_Industry!AD680),"",Mitigation_Industry!AD680)</f>
        <v>3966.1794877224256</v>
      </c>
      <c r="AE1012">
        <f>IF(ISBLANK(Mitigation_Industry!AE680),"",Mitigation_Industry!AE680)</f>
        <v>4053.4354364523192</v>
      </c>
    </row>
    <row r="1013" spans="1:31" x14ac:dyDescent="0.45">
      <c r="A1013" t="s">
        <v>1601</v>
      </c>
      <c r="B1013" t="s">
        <v>1417</v>
      </c>
      <c r="C1013" t="s">
        <v>1373</v>
      </c>
      <c r="D1013">
        <v>2</v>
      </c>
      <c r="E1013" t="s">
        <v>1161</v>
      </c>
      <c r="F1013">
        <f>MAX(MAX(L1013:AE1013),-MIN(L1013:AE1013))</f>
        <v>1.3642420526593924E-12</v>
      </c>
      <c r="I1013" t="s">
        <v>1492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4.5474735088646412E-13</v>
      </c>
      <c r="S1013">
        <f t="shared" si="250"/>
        <v>0</v>
      </c>
      <c r="T1013">
        <f t="shared" si="250"/>
        <v>-4.5474735088646412E-13</v>
      </c>
      <c r="U1013">
        <f t="shared" si="250"/>
        <v>0</v>
      </c>
      <c r="V1013">
        <f t="shared" si="250"/>
        <v>0</v>
      </c>
      <c r="W1013">
        <f t="shared" si="250"/>
        <v>-4.5474735088646412E-13</v>
      </c>
      <c r="X1013">
        <f t="shared" si="250"/>
        <v>-4.5474735088646412E-13</v>
      </c>
      <c r="Y1013">
        <f t="shared" si="250"/>
        <v>-4.5474735088646412E-13</v>
      </c>
      <c r="Z1013">
        <f t="shared" si="250"/>
        <v>-4.5474735088646412E-13</v>
      </c>
      <c r="AA1013">
        <f t="shared" si="250"/>
        <v>-9.0949470177292824E-13</v>
      </c>
      <c r="AB1013">
        <f t="shared" si="250"/>
        <v>-1.3642420526593924E-12</v>
      </c>
      <c r="AC1013">
        <f t="shared" si="250"/>
        <v>-1.3642420526593924E-12</v>
      </c>
      <c r="AD1013">
        <f t="shared" si="250"/>
        <v>-1.3642420526593924E-12</v>
      </c>
      <c r="AE1013">
        <f t="shared" si="250"/>
        <v>-1.3642420526593924E-12</v>
      </c>
    </row>
    <row r="1015" spans="1:31" x14ac:dyDescent="0.45">
      <c r="A1015" t="s">
        <v>1602</v>
      </c>
      <c r="B1015" t="s">
        <v>1417</v>
      </c>
      <c r="C1015" t="s">
        <v>1378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1602</v>
      </c>
      <c r="B1016" t="s">
        <v>1417</v>
      </c>
      <c r="C1016" t="s">
        <v>1378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626.69039999999995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683.68590292510305</v>
      </c>
      <c r="U1016">
        <f>IF(ISBLANK(Mitigation_Industry!U681),"",Mitigation_Industry!U681)</f>
        <v>698.72699278945538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729.80916433670154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813.69901742099285</v>
      </c>
      <c r="AC1016">
        <f>IF(ISBLANK(Mitigation_Industry!AC681),"",Mitigation_Industry!AC681)</f>
        <v>831.60039580425473</v>
      </c>
      <c r="AD1016">
        <f>IF(ISBLANK(Mitigation_Industry!AD681),"",Mitigation_Industry!AD681)</f>
        <v>849.89560451194836</v>
      </c>
      <c r="AE1016">
        <f>IF(ISBLANK(Mitigation_Industry!AE681),"",Mitigation_Industry!AE681)</f>
        <v>868.59330781121128</v>
      </c>
    </row>
    <row r="1017" spans="1:31" x14ac:dyDescent="0.45">
      <c r="A1017" t="s">
        <v>1602</v>
      </c>
      <c r="B1017" t="s">
        <v>1417</v>
      </c>
      <c r="C1017" t="s">
        <v>1378</v>
      </c>
      <c r="D1017">
        <v>2</v>
      </c>
      <c r="E1017" t="s">
        <v>1161</v>
      </c>
      <c r="F1017">
        <f>MAX(MAX(L1017:AE1017),-MIN(L1017:AE1017))</f>
        <v>1.1368683772161603E-13</v>
      </c>
      <c r="I1017" t="s">
        <v>1492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-1.1368683772161603E-13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-1.1368683772161603E-13</v>
      </c>
      <c r="U1017">
        <f t="shared" si="251"/>
        <v>-1.1368683772161603E-13</v>
      </c>
      <c r="V1017">
        <f t="shared" si="251"/>
        <v>0</v>
      </c>
      <c r="W1017">
        <f t="shared" si="251"/>
        <v>-1.1368683772161603E-13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-1.1368683772161603E-13</v>
      </c>
      <c r="AC1017">
        <f t="shared" si="251"/>
        <v>-1.1368683772161603E-13</v>
      </c>
      <c r="AD1017">
        <f t="shared" si="251"/>
        <v>-1.1368683772161603E-13</v>
      </c>
      <c r="AE1017">
        <f t="shared" si="251"/>
        <v>-1.1368683772161603E-13</v>
      </c>
    </row>
    <row r="1019" spans="1:31" x14ac:dyDescent="0.45">
      <c r="A1019" t="s">
        <v>1603</v>
      </c>
      <c r="B1019" t="s">
        <v>1417</v>
      </c>
      <c r="C1019" t="s">
        <v>1383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1603</v>
      </c>
      <c r="B1020" t="s">
        <v>1417</v>
      </c>
      <c r="C1020" t="s">
        <v>1383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352.27241249999992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</v>
      </c>
      <c r="T1020">
        <f>IF(ISBLANK(Mitigation_Industry!T682),"",Mitigation_Industry!T682)</f>
        <v>413.65284202856708</v>
      </c>
      <c r="U1020">
        <f>IF(ISBLANK(Mitigation_Industry!U682),"",Mitigation_Industry!U682)</f>
        <v>436.40374834013824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601.73216924272583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669.74294767138485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1603</v>
      </c>
      <c r="B1021" t="s">
        <v>1417</v>
      </c>
      <c r="C1021" t="s">
        <v>1383</v>
      </c>
      <c r="D1021">
        <v>2</v>
      </c>
      <c r="E1021" t="s">
        <v>1161</v>
      </c>
      <c r="F1021">
        <f>MAX(MAX(L1021:AE1021),-MIN(L1021:AE1021))</f>
        <v>1.1368683772161603E-13</v>
      </c>
      <c r="I1021" t="s">
        <v>1492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-5.6843418860808015E-14</v>
      </c>
      <c r="R1021">
        <f t="shared" si="252"/>
        <v>0</v>
      </c>
      <c r="S1021">
        <f t="shared" si="252"/>
        <v>-5.6843418860808015E-14</v>
      </c>
      <c r="T1021">
        <f t="shared" si="252"/>
        <v>-5.6843418860808015E-14</v>
      </c>
      <c r="U1021">
        <f t="shared" si="252"/>
        <v>-5.6843418860808015E-14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-1.1368683772161603E-13</v>
      </c>
      <c r="AB1021">
        <f t="shared" si="252"/>
        <v>0</v>
      </c>
      <c r="AC1021">
        <f t="shared" si="252"/>
        <v>-1.1368683772161603E-13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1604</v>
      </c>
      <c r="B1023" t="s">
        <v>1430</v>
      </c>
      <c r="C1023" t="s">
        <v>1433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1604</v>
      </c>
      <c r="B1024" t="s">
        <v>1430</v>
      </c>
      <c r="C1024" t="s">
        <v>1433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1604</v>
      </c>
      <c r="B1025" t="s">
        <v>1430</v>
      </c>
      <c r="C1025" t="s">
        <v>1433</v>
      </c>
      <c r="D1025">
        <v>2</v>
      </c>
      <c r="E1025" t="s">
        <v>1161</v>
      </c>
      <c r="F1025">
        <f>MAX(MAX(L1025:AE1025),-MIN(L1025:AE1025))</f>
        <v>0</v>
      </c>
      <c r="I1025" t="s">
        <v>1492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1605</v>
      </c>
      <c r="B1027" t="s">
        <v>1430</v>
      </c>
      <c r="C1027" t="s">
        <v>1436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1605</v>
      </c>
      <c r="B1028" t="s">
        <v>1430</v>
      </c>
      <c r="C1028" t="s">
        <v>1436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1605</v>
      </c>
      <c r="B1029" t="s">
        <v>1430</v>
      </c>
      <c r="C1029" t="s">
        <v>1436</v>
      </c>
      <c r="D1029">
        <v>2</v>
      </c>
      <c r="E1029" t="s">
        <v>1161</v>
      </c>
      <c r="F1029">
        <f>MAX(MAX(L1029:AE1029),-MIN(L1029:AE1029))</f>
        <v>0</v>
      </c>
      <c r="I1029" t="s">
        <v>1492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1606</v>
      </c>
      <c r="B1031" t="s">
        <v>1430</v>
      </c>
      <c r="C1031" t="s">
        <v>1439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1606</v>
      </c>
      <c r="B1032" t="s">
        <v>1430</v>
      </c>
      <c r="C1032" t="s">
        <v>1439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1606</v>
      </c>
      <c r="B1033" t="s">
        <v>1430</v>
      </c>
      <c r="C1033" t="s">
        <v>1439</v>
      </c>
      <c r="D1033">
        <v>2</v>
      </c>
      <c r="E1033" t="s">
        <v>1161</v>
      </c>
      <c r="F1033">
        <f>MAX(MAX(L1033:AE1033),-MIN(L1033:AE1033))</f>
        <v>0</v>
      </c>
      <c r="I1033" t="s">
        <v>1492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1607</v>
      </c>
      <c r="B1035" t="s">
        <v>1430</v>
      </c>
      <c r="C1035" t="s">
        <v>1442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1607</v>
      </c>
      <c r="B1036" t="s">
        <v>1430</v>
      </c>
      <c r="C1036" t="s">
        <v>1442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1607</v>
      </c>
      <c r="B1037" t="s">
        <v>1430</v>
      </c>
      <c r="C1037" t="s">
        <v>1442</v>
      </c>
      <c r="D1037">
        <v>2</v>
      </c>
      <c r="E1037" t="s">
        <v>1161</v>
      </c>
      <c r="F1037">
        <f>MAX(MAX(L1037:AE1037),-MIN(L1037:AE1037))</f>
        <v>0</v>
      </c>
      <c r="I1037" t="s">
        <v>1492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1608</v>
      </c>
      <c r="B1039" t="s">
        <v>1430</v>
      </c>
      <c r="C1039" t="s">
        <v>1445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1608</v>
      </c>
      <c r="B1040" t="s">
        <v>1430</v>
      </c>
      <c r="C1040" t="s">
        <v>1445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1608</v>
      </c>
      <c r="B1041" t="s">
        <v>1430</v>
      </c>
      <c r="C1041" t="s">
        <v>1445</v>
      </c>
      <c r="D1041">
        <v>2</v>
      </c>
      <c r="E1041" t="s">
        <v>1161</v>
      </c>
      <c r="F1041">
        <f>MAX(MAX(L1041:AE1041),-MIN(L1041:AE1041))</f>
        <v>0</v>
      </c>
      <c r="I1041" t="s">
        <v>1492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1609</v>
      </c>
      <c r="B1043" t="s">
        <v>1430</v>
      </c>
      <c r="C1043" t="s">
        <v>1448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1609</v>
      </c>
      <c r="B1044" t="s">
        <v>1430</v>
      </c>
      <c r="C1044" t="s">
        <v>1448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1609</v>
      </c>
      <c r="B1045" t="s">
        <v>1430</v>
      </c>
      <c r="C1045" t="s">
        <v>1448</v>
      </c>
      <c r="D1045">
        <v>2</v>
      </c>
      <c r="E1045" t="s">
        <v>1161</v>
      </c>
      <c r="F1045">
        <f>MAX(MAX(L1045:AE1045),-MIN(L1045:AE1045))</f>
        <v>0</v>
      </c>
      <c r="I1045" t="s">
        <v>1492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1610</v>
      </c>
      <c r="B1047" t="s">
        <v>1430</v>
      </c>
      <c r="C1047" t="s">
        <v>1451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1610</v>
      </c>
      <c r="B1048" t="s">
        <v>1430</v>
      </c>
      <c r="C1048" t="s">
        <v>1451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1610</v>
      </c>
      <c r="B1049" t="s">
        <v>1430</v>
      </c>
      <c r="C1049" t="s">
        <v>1451</v>
      </c>
      <c r="D1049">
        <v>2</v>
      </c>
      <c r="E1049" t="s">
        <v>1161</v>
      </c>
      <c r="F1049">
        <f>MAX(MAX(L1049:AE1049),-MIN(L1049:AE1049))</f>
        <v>0</v>
      </c>
      <c r="I1049" t="s">
        <v>1492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1611</v>
      </c>
      <c r="B1051" t="s">
        <v>1430</v>
      </c>
      <c r="C1051" t="s">
        <v>1454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1611</v>
      </c>
      <c r="B1052" t="s">
        <v>1430</v>
      </c>
      <c r="C1052" t="s">
        <v>1454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1611</v>
      </c>
      <c r="B1053" t="s">
        <v>1430</v>
      </c>
      <c r="C1053" t="s">
        <v>1454</v>
      </c>
      <c r="D1053">
        <v>2</v>
      </c>
      <c r="E1053" t="s">
        <v>1161</v>
      </c>
      <c r="F1053">
        <f>MAX(MAX(L1053:AE1053),-MIN(L1053:AE1053))</f>
        <v>0</v>
      </c>
      <c r="I1053" t="s">
        <v>1492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1612</v>
      </c>
      <c r="B1055" t="s">
        <v>1457</v>
      </c>
      <c r="C1055" t="s">
        <v>1433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1612</v>
      </c>
      <c r="B1056" t="s">
        <v>1457</v>
      </c>
      <c r="C1056" t="s">
        <v>1433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7.1373846250000001</v>
      </c>
      <c r="R1056">
        <f>IF(ISBLANK(Mitigation_Industry!R698),"",Mitigation_Industry!R698)</f>
        <v>14.27476925</v>
      </c>
      <c r="S1056">
        <f>IF(ISBLANK(Mitigation_Industry!S698),"",Mitigation_Industry!S698)</f>
        <v>21.412153874999998</v>
      </c>
      <c r="T1056">
        <f>IF(ISBLANK(Mitigation_Industry!T698),"",Mitigation_Industry!T698)</f>
        <v>28.549538500000001</v>
      </c>
      <c r="U1056">
        <f>IF(ISBLANK(Mitigation_Industry!U698),"",Mitigation_Industry!U698)</f>
        <v>35.686923125</v>
      </c>
      <c r="V1056">
        <f>IF(ISBLANK(Mitigation_Industry!V698),"",Mitigation_Industry!V698)</f>
        <v>42.824307749999996</v>
      </c>
      <c r="W1056">
        <f>IF(ISBLANK(Mitigation_Industry!W698),"",Mitigation_Industry!W698)</f>
        <v>49.961692374999998</v>
      </c>
      <c r="X1056">
        <f>IF(ISBLANK(Mitigation_Industry!X698),"",Mitigation_Industry!X698)</f>
        <v>57.099077000000001</v>
      </c>
      <c r="Y1056">
        <f>IF(ISBLANK(Mitigation_Industry!Y698),"",Mitigation_Industry!Y698)</f>
        <v>64.236461625000004</v>
      </c>
      <c r="Z1056">
        <f>IF(ISBLANK(Mitigation_Industry!Z698),"",Mitigation_Industry!Z698)</f>
        <v>71.37384625</v>
      </c>
      <c r="AA1056">
        <f>IF(ISBLANK(Mitigation_Industry!AA698),"",Mitigation_Industry!AA698)</f>
        <v>78.511230874999995</v>
      </c>
      <c r="AB1056">
        <f>IF(ISBLANK(Mitigation_Industry!AB698),"",Mitigation_Industry!AB698)</f>
        <v>85.648615499999991</v>
      </c>
      <c r="AC1056">
        <f>IF(ISBLANK(Mitigation_Industry!AC698),"",Mitigation_Industry!AC698)</f>
        <v>92.786000125000001</v>
      </c>
      <c r="AD1056">
        <f>IF(ISBLANK(Mitigation_Industry!AD698),"",Mitigation_Industry!AD698)</f>
        <v>99.923384749999997</v>
      </c>
      <c r="AE1056">
        <f>IF(ISBLANK(Mitigation_Industry!AE698),"",Mitigation_Industry!AE698)</f>
        <v>107.06076937499999</v>
      </c>
    </row>
    <row r="1057" spans="1:31" x14ac:dyDescent="0.45">
      <c r="A1057" t="s">
        <v>1612</v>
      </c>
      <c r="B1057" t="s">
        <v>1457</v>
      </c>
      <c r="C1057" t="s">
        <v>1433</v>
      </c>
      <c r="D1057">
        <v>2</v>
      </c>
      <c r="E1057" t="s">
        <v>1161</v>
      </c>
      <c r="F1057">
        <f>MAX(MAX(L1057:AE1057),-MIN(L1057:AE1057))</f>
        <v>107.06076937499999</v>
      </c>
      <c r="I1057" t="s">
        <v>1571</v>
      </c>
      <c r="J1057" t="s">
        <v>1613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7.1373846250000001</v>
      </c>
      <c r="R1057">
        <f t="shared" si="261"/>
        <v>14.27476925</v>
      </c>
      <c r="S1057">
        <f t="shared" si="261"/>
        <v>21.412153874999998</v>
      </c>
      <c r="T1057">
        <f t="shared" si="261"/>
        <v>28.549538500000001</v>
      </c>
      <c r="U1057">
        <f t="shared" si="261"/>
        <v>35.686923125</v>
      </c>
      <c r="V1057">
        <f t="shared" si="261"/>
        <v>42.824307749999996</v>
      </c>
      <c r="W1057">
        <f t="shared" si="261"/>
        <v>49.961692374999998</v>
      </c>
      <c r="X1057">
        <f t="shared" si="261"/>
        <v>57.099077000000001</v>
      </c>
      <c r="Y1057">
        <f t="shared" si="261"/>
        <v>64.236461625000004</v>
      </c>
      <c r="Z1057">
        <f t="shared" si="261"/>
        <v>71.37384625</v>
      </c>
      <c r="AA1057">
        <f t="shared" si="261"/>
        <v>78.511230874999995</v>
      </c>
      <c r="AB1057">
        <f t="shared" si="261"/>
        <v>85.648615499999991</v>
      </c>
      <c r="AC1057">
        <f t="shared" si="261"/>
        <v>92.786000125000001</v>
      </c>
      <c r="AD1057">
        <f t="shared" si="261"/>
        <v>99.923384749999997</v>
      </c>
      <c r="AE1057">
        <f t="shared" si="261"/>
        <v>107.06076937499999</v>
      </c>
    </row>
    <row r="1059" spans="1:31" x14ac:dyDescent="0.45">
      <c r="A1059" t="s">
        <v>1614</v>
      </c>
      <c r="B1059" t="s">
        <v>1457</v>
      </c>
      <c r="C1059" t="s">
        <v>1436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1614</v>
      </c>
      <c r="B1060" t="s">
        <v>1457</v>
      </c>
      <c r="C1060" t="s">
        <v>1436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0.56100000000000005</v>
      </c>
      <c r="R1060">
        <f>IF(ISBLANK(Mitigation_Industry!R699),"",Mitigation_Industry!R699)</f>
        <v>1.1220000000000001</v>
      </c>
      <c r="S1060">
        <f>IF(ISBLANK(Mitigation_Industry!S699),"",Mitigation_Industry!S699)</f>
        <v>1.6830000000000001</v>
      </c>
      <c r="T1060">
        <f>IF(ISBLANK(Mitigation_Industry!T699),"",Mitigation_Industry!T699)</f>
        <v>2.2440000000000002</v>
      </c>
      <c r="U1060">
        <f>IF(ISBLANK(Mitigation_Industry!U699),"",Mitigation_Industry!U699)</f>
        <v>2.8050000000000002</v>
      </c>
      <c r="V1060">
        <f>IF(ISBLANK(Mitigation_Industry!V699),"",Mitigation_Industry!V699)</f>
        <v>3.3660000000000001</v>
      </c>
      <c r="W1060">
        <f>IF(ISBLANK(Mitigation_Industry!W699),"",Mitigation_Industry!W699)</f>
        <v>3.9270000000000005</v>
      </c>
      <c r="X1060">
        <f>IF(ISBLANK(Mitigation_Industry!X699),"",Mitigation_Industry!X699)</f>
        <v>4.4880000000000004</v>
      </c>
      <c r="Y1060">
        <f>IF(ISBLANK(Mitigation_Industry!Y699),"",Mitigation_Industry!Y699)</f>
        <v>5.0490000000000004</v>
      </c>
      <c r="Z1060">
        <f>IF(ISBLANK(Mitigation_Industry!Z699),"",Mitigation_Industry!Z699)</f>
        <v>5.61</v>
      </c>
      <c r="AA1060">
        <f>IF(ISBLANK(Mitigation_Industry!AA699),"",Mitigation_Industry!AA699)</f>
        <v>6.1710000000000003</v>
      </c>
      <c r="AB1060">
        <f>IF(ISBLANK(Mitigation_Industry!AB699),"",Mitigation_Industry!AB699)</f>
        <v>6.7320000000000002</v>
      </c>
      <c r="AC1060">
        <f>IF(ISBLANK(Mitigation_Industry!AC699),"",Mitigation_Industry!AC699)</f>
        <v>7.2930000000000001</v>
      </c>
      <c r="AD1060">
        <f>IF(ISBLANK(Mitigation_Industry!AD699),"",Mitigation_Industry!AD699)</f>
        <v>7.854000000000001</v>
      </c>
      <c r="AE1060">
        <f>IF(ISBLANK(Mitigation_Industry!AE699),"",Mitigation_Industry!AE699)</f>
        <v>8.4150000000000009</v>
      </c>
    </row>
    <row r="1061" spans="1:31" x14ac:dyDescent="0.45">
      <c r="A1061" t="s">
        <v>1614</v>
      </c>
      <c r="B1061" t="s">
        <v>1457</v>
      </c>
      <c r="C1061" t="s">
        <v>1436</v>
      </c>
      <c r="D1061">
        <v>2</v>
      </c>
      <c r="E1061" t="s">
        <v>1161</v>
      </c>
      <c r="F1061">
        <f>MAX(MAX(L1061:AE1061),-MIN(L1061:AE1061))</f>
        <v>8.4150000000000009</v>
      </c>
      <c r="I1061" t="s">
        <v>1571</v>
      </c>
      <c r="J1061" t="s">
        <v>1613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0.56100000000000005</v>
      </c>
      <c r="R1061">
        <f t="shared" si="262"/>
        <v>1.1220000000000001</v>
      </c>
      <c r="S1061">
        <f t="shared" si="262"/>
        <v>1.6830000000000001</v>
      </c>
      <c r="T1061">
        <f t="shared" si="262"/>
        <v>2.2440000000000002</v>
      </c>
      <c r="U1061">
        <f t="shared" si="262"/>
        <v>2.8050000000000002</v>
      </c>
      <c r="V1061">
        <f t="shared" si="262"/>
        <v>3.3660000000000001</v>
      </c>
      <c r="W1061">
        <f t="shared" si="262"/>
        <v>3.9270000000000005</v>
      </c>
      <c r="X1061">
        <f t="shared" si="262"/>
        <v>4.4880000000000004</v>
      </c>
      <c r="Y1061">
        <f t="shared" si="262"/>
        <v>5.0490000000000004</v>
      </c>
      <c r="Z1061">
        <f t="shared" si="262"/>
        <v>5.61</v>
      </c>
      <c r="AA1061">
        <f t="shared" si="262"/>
        <v>6.1710000000000003</v>
      </c>
      <c r="AB1061">
        <f t="shared" si="262"/>
        <v>6.7320000000000002</v>
      </c>
      <c r="AC1061">
        <f t="shared" si="262"/>
        <v>7.2930000000000001</v>
      </c>
      <c r="AD1061">
        <f t="shared" si="262"/>
        <v>7.854000000000001</v>
      </c>
      <c r="AE1061">
        <f t="shared" si="262"/>
        <v>8.4150000000000009</v>
      </c>
    </row>
    <row r="1063" spans="1:31" x14ac:dyDescent="0.45">
      <c r="A1063" t="s">
        <v>1615</v>
      </c>
      <c r="B1063" t="s">
        <v>1457</v>
      </c>
      <c r="C1063" t="s">
        <v>1439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1615</v>
      </c>
      <c r="B1064" t="s">
        <v>1457</v>
      </c>
      <c r="C1064" t="s">
        <v>1439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17.812253374999997</v>
      </c>
      <c r="R1064">
        <f>IF(ISBLANK(Mitigation_Industry!R700),"",Mitigation_Industry!R700)</f>
        <v>35.624506749999995</v>
      </c>
      <c r="S1064">
        <f>IF(ISBLANK(Mitigation_Industry!S700),"",Mitigation_Industry!S700)</f>
        <v>53.436760124999992</v>
      </c>
      <c r="T1064">
        <f>IF(ISBLANK(Mitigation_Industry!T700),"",Mitigation_Industry!T700)</f>
        <v>71.24901349999999</v>
      </c>
      <c r="U1064">
        <f>IF(ISBLANK(Mitigation_Industry!U700),"",Mitigation_Industry!U700)</f>
        <v>89.061266874999987</v>
      </c>
      <c r="V1064">
        <f>IF(ISBLANK(Mitigation_Industry!V700),"",Mitigation_Industry!V700)</f>
        <v>106.87352024999998</v>
      </c>
      <c r="W1064">
        <f>IF(ISBLANK(Mitigation_Industry!W700),"",Mitigation_Industry!W700)</f>
        <v>124.68577362499998</v>
      </c>
      <c r="X1064">
        <f>IF(ISBLANK(Mitigation_Industry!X700),"",Mitigation_Industry!X700)</f>
        <v>142.49802699999998</v>
      </c>
      <c r="Y1064">
        <f>IF(ISBLANK(Mitigation_Industry!Y700),"",Mitigation_Industry!Y700)</f>
        <v>160.31028037499999</v>
      </c>
      <c r="Z1064">
        <f>IF(ISBLANK(Mitigation_Industry!Z700),"",Mitigation_Industry!Z700)</f>
        <v>178.12253374999997</v>
      </c>
      <c r="AA1064">
        <f>IF(ISBLANK(Mitigation_Industry!AA700),"",Mitigation_Industry!AA700)</f>
        <v>195.93478712499999</v>
      </c>
      <c r="AB1064">
        <f>IF(ISBLANK(Mitigation_Industry!AB700),"",Mitigation_Industry!AB700)</f>
        <v>213.74704049999997</v>
      </c>
      <c r="AC1064">
        <f>IF(ISBLANK(Mitigation_Industry!AC700),"",Mitigation_Industry!AC700)</f>
        <v>231.55929387499998</v>
      </c>
      <c r="AD1064">
        <f>IF(ISBLANK(Mitigation_Industry!AD700),"",Mitigation_Industry!AD700)</f>
        <v>249.37154724999996</v>
      </c>
      <c r="AE1064">
        <f>IF(ISBLANK(Mitigation_Industry!AE700),"",Mitigation_Industry!AE700)</f>
        <v>267.18380062499995</v>
      </c>
    </row>
    <row r="1065" spans="1:31" x14ac:dyDescent="0.45">
      <c r="A1065" t="s">
        <v>1615</v>
      </c>
      <c r="B1065" t="s">
        <v>1457</v>
      </c>
      <c r="C1065" t="s">
        <v>1439</v>
      </c>
      <c r="D1065">
        <v>2</v>
      </c>
      <c r="E1065" t="s">
        <v>1161</v>
      </c>
      <c r="F1065">
        <f>MAX(MAX(L1065:AE1065),-MIN(L1065:AE1065))</f>
        <v>267.18380062499995</v>
      </c>
      <c r="I1065" t="s">
        <v>1571</v>
      </c>
      <c r="J1065" t="s">
        <v>1613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17.812253374999997</v>
      </c>
      <c r="R1065">
        <f t="shared" si="263"/>
        <v>35.624506749999995</v>
      </c>
      <c r="S1065">
        <f t="shared" si="263"/>
        <v>53.436760124999992</v>
      </c>
      <c r="T1065">
        <f t="shared" si="263"/>
        <v>71.24901349999999</v>
      </c>
      <c r="U1065">
        <f t="shared" si="263"/>
        <v>89.061266874999987</v>
      </c>
      <c r="V1065">
        <f t="shared" si="263"/>
        <v>106.87352024999998</v>
      </c>
      <c r="W1065">
        <f t="shared" si="263"/>
        <v>124.68577362499998</v>
      </c>
      <c r="X1065">
        <f t="shared" si="263"/>
        <v>142.49802699999998</v>
      </c>
      <c r="Y1065">
        <f t="shared" si="263"/>
        <v>160.31028037499999</v>
      </c>
      <c r="Z1065">
        <f t="shared" si="263"/>
        <v>178.12253374999997</v>
      </c>
      <c r="AA1065">
        <f t="shared" si="263"/>
        <v>195.93478712499999</v>
      </c>
      <c r="AB1065">
        <f t="shared" si="263"/>
        <v>213.74704049999997</v>
      </c>
      <c r="AC1065">
        <f t="shared" si="263"/>
        <v>231.55929387499998</v>
      </c>
      <c r="AD1065">
        <f t="shared" si="263"/>
        <v>249.37154724999996</v>
      </c>
      <c r="AE1065">
        <f t="shared" si="263"/>
        <v>267.18380062499995</v>
      </c>
    </row>
    <row r="1067" spans="1:31" x14ac:dyDescent="0.45">
      <c r="A1067" t="s">
        <v>1616</v>
      </c>
      <c r="B1067" t="s">
        <v>1457</v>
      </c>
      <c r="C1067" t="s">
        <v>1442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1616</v>
      </c>
      <c r="B1068" t="s">
        <v>1457</v>
      </c>
      <c r="C1068" t="s">
        <v>1442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3.9196062499999997</v>
      </c>
      <c r="R1068">
        <f>IF(ISBLANK(Mitigation_Industry!R701),"",Mitigation_Industry!R701)</f>
        <v>7.8392124999999995</v>
      </c>
      <c r="S1068">
        <f>IF(ISBLANK(Mitigation_Industry!S701),"",Mitigation_Industry!S701)</f>
        <v>11.75881875</v>
      </c>
      <c r="T1068">
        <f>IF(ISBLANK(Mitigation_Industry!T701),"",Mitigation_Industry!T701)</f>
        <v>15.678424999999999</v>
      </c>
      <c r="U1068">
        <f>IF(ISBLANK(Mitigation_Industry!U701),"",Mitigation_Industry!U701)</f>
        <v>19.598031249999998</v>
      </c>
      <c r="V1068">
        <f>IF(ISBLANK(Mitigation_Industry!V701),"",Mitigation_Industry!V701)</f>
        <v>23.517637499999999</v>
      </c>
      <c r="W1068">
        <f>IF(ISBLANK(Mitigation_Industry!W701),"",Mitigation_Industry!W701)</f>
        <v>27.437243749999997</v>
      </c>
      <c r="X1068">
        <f>IF(ISBLANK(Mitigation_Industry!X701),"",Mitigation_Industry!X701)</f>
        <v>31.356849999999998</v>
      </c>
      <c r="Y1068">
        <f>IF(ISBLANK(Mitigation_Industry!Y701),"",Mitigation_Industry!Y701)</f>
        <v>35.276456249999995</v>
      </c>
      <c r="Z1068">
        <f>IF(ISBLANK(Mitigation_Industry!Z701),"",Mitigation_Industry!Z701)</f>
        <v>39.196062499999996</v>
      </c>
      <c r="AA1068">
        <f>IF(ISBLANK(Mitigation_Industry!AA701),"",Mitigation_Industry!AA701)</f>
        <v>43.115668749999998</v>
      </c>
      <c r="AB1068">
        <f>IF(ISBLANK(Mitigation_Industry!AB701),"",Mitigation_Industry!AB701)</f>
        <v>47.035274999999999</v>
      </c>
      <c r="AC1068">
        <f>IF(ISBLANK(Mitigation_Industry!AC701),"",Mitigation_Industry!AC701)</f>
        <v>50.954881249999993</v>
      </c>
      <c r="AD1068">
        <f>IF(ISBLANK(Mitigation_Industry!AD701),"",Mitigation_Industry!AD701)</f>
        <v>54.874487499999994</v>
      </c>
      <c r="AE1068">
        <f>IF(ISBLANK(Mitigation_Industry!AE701),"",Mitigation_Industry!AE701)</f>
        <v>58.794093749999995</v>
      </c>
    </row>
    <row r="1069" spans="1:31" x14ac:dyDescent="0.45">
      <c r="A1069" t="s">
        <v>1616</v>
      </c>
      <c r="B1069" t="s">
        <v>1457</v>
      </c>
      <c r="C1069" t="s">
        <v>1442</v>
      </c>
      <c r="D1069">
        <v>2</v>
      </c>
      <c r="E1069" t="s">
        <v>1161</v>
      </c>
      <c r="F1069">
        <f>MAX(MAX(L1069:AE1069),-MIN(L1069:AE1069))</f>
        <v>58.794093749999995</v>
      </c>
      <c r="I1069" t="s">
        <v>1571</v>
      </c>
      <c r="J1069" t="s">
        <v>1613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3.9196062499999997</v>
      </c>
      <c r="R1069">
        <f t="shared" si="264"/>
        <v>7.8392124999999995</v>
      </c>
      <c r="S1069">
        <f t="shared" si="264"/>
        <v>11.75881875</v>
      </c>
      <c r="T1069">
        <f t="shared" si="264"/>
        <v>15.678424999999999</v>
      </c>
      <c r="U1069">
        <f t="shared" si="264"/>
        <v>19.598031249999998</v>
      </c>
      <c r="V1069">
        <f t="shared" si="264"/>
        <v>23.517637499999999</v>
      </c>
      <c r="W1069">
        <f t="shared" si="264"/>
        <v>27.437243749999997</v>
      </c>
      <c r="X1069">
        <f t="shared" si="264"/>
        <v>31.356849999999998</v>
      </c>
      <c r="Y1069">
        <f t="shared" si="264"/>
        <v>35.276456249999995</v>
      </c>
      <c r="Z1069">
        <f t="shared" si="264"/>
        <v>39.196062499999996</v>
      </c>
      <c r="AA1069">
        <f t="shared" si="264"/>
        <v>43.115668749999998</v>
      </c>
      <c r="AB1069">
        <f t="shared" si="264"/>
        <v>47.035274999999999</v>
      </c>
      <c r="AC1069">
        <f t="shared" si="264"/>
        <v>50.954881249999993</v>
      </c>
      <c r="AD1069">
        <f t="shared" si="264"/>
        <v>54.874487499999994</v>
      </c>
      <c r="AE1069">
        <f t="shared" si="264"/>
        <v>58.794093749999995</v>
      </c>
    </row>
    <row r="1071" spans="1:31" x14ac:dyDescent="0.45">
      <c r="A1071" t="s">
        <v>1617</v>
      </c>
      <c r="B1071" t="s">
        <v>1457</v>
      </c>
      <c r="C1071" t="s">
        <v>1445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1617</v>
      </c>
      <c r="B1072" t="s">
        <v>1457</v>
      </c>
      <c r="C1072" t="s">
        <v>1445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24.684000000000001</v>
      </c>
      <c r="R1072">
        <f>IF(ISBLANK(Mitigation_Industry!R702),"",Mitigation_Industry!R702)</f>
        <v>49.368000000000002</v>
      </c>
      <c r="S1072">
        <f>IF(ISBLANK(Mitigation_Industry!S702),"",Mitigation_Industry!S702)</f>
        <v>74.052000000000007</v>
      </c>
      <c r="T1072">
        <f>IF(ISBLANK(Mitigation_Industry!T702),"",Mitigation_Industry!T702)</f>
        <v>98.736000000000004</v>
      </c>
      <c r="U1072">
        <f>IF(ISBLANK(Mitigation_Industry!U702),"",Mitigation_Industry!U702)</f>
        <v>123.42</v>
      </c>
      <c r="V1072">
        <f>IF(ISBLANK(Mitigation_Industry!V702),"",Mitigation_Industry!V702)</f>
        <v>148.10400000000001</v>
      </c>
      <c r="W1072">
        <f>IF(ISBLANK(Mitigation_Industry!W702),"",Mitigation_Industry!W702)</f>
        <v>172.78800000000001</v>
      </c>
      <c r="X1072">
        <f>IF(ISBLANK(Mitigation_Industry!X702),"",Mitigation_Industry!X702)</f>
        <v>197.47200000000001</v>
      </c>
      <c r="Y1072">
        <f>IF(ISBLANK(Mitigation_Industry!Y702),"",Mitigation_Industry!Y702)</f>
        <v>222.15600000000001</v>
      </c>
      <c r="Z1072">
        <f>IF(ISBLANK(Mitigation_Industry!Z702),"",Mitigation_Industry!Z702)</f>
        <v>246.84</v>
      </c>
      <c r="AA1072">
        <f>IF(ISBLANK(Mitigation_Industry!AA702),"",Mitigation_Industry!AA702)</f>
        <v>271.524</v>
      </c>
      <c r="AB1072">
        <f>IF(ISBLANK(Mitigation_Industry!AB702),"",Mitigation_Industry!AB702)</f>
        <v>296.20800000000003</v>
      </c>
      <c r="AC1072">
        <f>IF(ISBLANK(Mitigation_Industry!AC702),"",Mitigation_Industry!AC702)</f>
        <v>320.892</v>
      </c>
      <c r="AD1072">
        <f>IF(ISBLANK(Mitigation_Industry!AD702),"",Mitigation_Industry!AD702)</f>
        <v>345.57600000000002</v>
      </c>
      <c r="AE1072">
        <f>IF(ISBLANK(Mitigation_Industry!AE702),"",Mitigation_Industry!AE702)</f>
        <v>370.26</v>
      </c>
    </row>
    <row r="1073" spans="1:31" x14ac:dyDescent="0.45">
      <c r="A1073" t="s">
        <v>1617</v>
      </c>
      <c r="B1073" t="s">
        <v>1457</v>
      </c>
      <c r="C1073" t="s">
        <v>1445</v>
      </c>
      <c r="D1073">
        <v>2</v>
      </c>
      <c r="E1073" t="s">
        <v>1161</v>
      </c>
      <c r="F1073">
        <f>MAX(MAX(L1073:AE1073),-MIN(L1073:AE1073))</f>
        <v>370.26</v>
      </c>
      <c r="I1073" t="s">
        <v>1571</v>
      </c>
      <c r="J1073" t="s">
        <v>1613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24.684000000000001</v>
      </c>
      <c r="R1073">
        <f t="shared" si="265"/>
        <v>49.368000000000002</v>
      </c>
      <c r="S1073">
        <f t="shared" si="265"/>
        <v>74.052000000000007</v>
      </c>
      <c r="T1073">
        <f t="shared" si="265"/>
        <v>98.736000000000004</v>
      </c>
      <c r="U1073">
        <f t="shared" si="265"/>
        <v>123.42</v>
      </c>
      <c r="V1073">
        <f t="shared" si="265"/>
        <v>148.10400000000001</v>
      </c>
      <c r="W1073">
        <f t="shared" si="265"/>
        <v>172.78800000000001</v>
      </c>
      <c r="X1073">
        <f t="shared" si="265"/>
        <v>197.47200000000001</v>
      </c>
      <c r="Y1073">
        <f t="shared" si="265"/>
        <v>222.15600000000001</v>
      </c>
      <c r="Z1073">
        <f t="shared" si="265"/>
        <v>246.84</v>
      </c>
      <c r="AA1073">
        <f t="shared" si="265"/>
        <v>271.524</v>
      </c>
      <c r="AB1073">
        <f t="shared" si="265"/>
        <v>296.20800000000003</v>
      </c>
      <c r="AC1073">
        <f t="shared" si="265"/>
        <v>320.892</v>
      </c>
      <c r="AD1073">
        <f t="shared" si="265"/>
        <v>345.57600000000002</v>
      </c>
      <c r="AE1073">
        <f t="shared" si="265"/>
        <v>370.26</v>
      </c>
    </row>
    <row r="1075" spans="1:31" x14ac:dyDescent="0.45">
      <c r="A1075" t="s">
        <v>1618</v>
      </c>
      <c r="B1075" t="s">
        <v>1457</v>
      </c>
      <c r="C1075" t="s">
        <v>1448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1618</v>
      </c>
      <c r="B1076" t="s">
        <v>1457</v>
      </c>
      <c r="C1076" t="s">
        <v>1448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1618</v>
      </c>
      <c r="B1077" t="s">
        <v>1457</v>
      </c>
      <c r="C1077" t="s">
        <v>1448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1571</v>
      </c>
      <c r="J1077" t="s">
        <v>1613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1619</v>
      </c>
      <c r="B1079" t="s">
        <v>1457</v>
      </c>
      <c r="C1079" t="s">
        <v>1451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1619</v>
      </c>
      <c r="B1080" t="s">
        <v>1457</v>
      </c>
      <c r="C1080" t="s">
        <v>1451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1619</v>
      </c>
      <c r="B1081" t="s">
        <v>1457</v>
      </c>
      <c r="C1081" t="s">
        <v>1451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1571</v>
      </c>
      <c r="J1081" t="s">
        <v>1613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1620</v>
      </c>
      <c r="B1083" t="s">
        <v>1457</v>
      </c>
      <c r="C1083" t="s">
        <v>1454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1620</v>
      </c>
      <c r="B1084" t="s">
        <v>1457</v>
      </c>
      <c r="C1084" t="s">
        <v>1454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1.5427500000000001</v>
      </c>
      <c r="R1084">
        <f>IF(ISBLANK(Mitigation_Industry!R705),"",Mitigation_Industry!R705)</f>
        <v>3.0855000000000001</v>
      </c>
      <c r="S1084">
        <f>IF(ISBLANK(Mitigation_Industry!S705),"",Mitigation_Industry!S705)</f>
        <v>4.6282500000000004</v>
      </c>
      <c r="T1084">
        <f>IF(ISBLANK(Mitigation_Industry!T705),"",Mitigation_Industry!T705)</f>
        <v>6.1710000000000003</v>
      </c>
      <c r="U1084">
        <f>IF(ISBLANK(Mitigation_Industry!U705),"",Mitigation_Industry!U705)</f>
        <v>7.7137500000000001</v>
      </c>
      <c r="V1084">
        <f>IF(ISBLANK(Mitigation_Industry!V705),"",Mitigation_Industry!V705)</f>
        <v>9.2565000000000008</v>
      </c>
      <c r="W1084">
        <f>IF(ISBLANK(Mitigation_Industry!W705),"",Mitigation_Industry!W705)</f>
        <v>10.799250000000001</v>
      </c>
      <c r="X1084">
        <f>IF(ISBLANK(Mitigation_Industry!X705),"",Mitigation_Industry!X705)</f>
        <v>12.342000000000001</v>
      </c>
      <c r="Y1084">
        <f>IF(ISBLANK(Mitigation_Industry!Y705),"",Mitigation_Industry!Y705)</f>
        <v>13.88475</v>
      </c>
      <c r="Z1084">
        <f>IF(ISBLANK(Mitigation_Industry!Z705),"",Mitigation_Industry!Z705)</f>
        <v>15.4275</v>
      </c>
      <c r="AA1084">
        <f>IF(ISBLANK(Mitigation_Industry!AA705),"",Mitigation_Industry!AA705)</f>
        <v>16.97025</v>
      </c>
      <c r="AB1084">
        <f>IF(ISBLANK(Mitigation_Industry!AB705),"",Mitigation_Industry!AB705)</f>
        <v>18.513000000000002</v>
      </c>
      <c r="AC1084">
        <f>IF(ISBLANK(Mitigation_Industry!AC705),"",Mitigation_Industry!AC705)</f>
        <v>20.05575</v>
      </c>
      <c r="AD1084">
        <f>IF(ISBLANK(Mitigation_Industry!AD705),"",Mitigation_Industry!AD705)</f>
        <v>21.598500000000001</v>
      </c>
      <c r="AE1084">
        <f>IF(ISBLANK(Mitigation_Industry!AE705),"",Mitigation_Industry!AE705)</f>
        <v>23.141249999999999</v>
      </c>
    </row>
    <row r="1085" spans="1:31" x14ac:dyDescent="0.45">
      <c r="A1085" t="s">
        <v>1620</v>
      </c>
      <c r="B1085" t="s">
        <v>1457</v>
      </c>
      <c r="C1085" t="s">
        <v>1454</v>
      </c>
      <c r="D1085">
        <v>2</v>
      </c>
      <c r="E1085" t="s">
        <v>1161</v>
      </c>
      <c r="F1085">
        <f>MAX(MAX(L1085:AE1085),-MIN(L1085:AE1085))</f>
        <v>23.141249999999999</v>
      </c>
      <c r="I1085" t="s">
        <v>1571</v>
      </c>
      <c r="J1085" t="s">
        <v>1613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1.5427500000000001</v>
      </c>
      <c r="R1085">
        <f t="shared" si="268"/>
        <v>3.0855000000000001</v>
      </c>
      <c r="S1085">
        <f t="shared" si="268"/>
        <v>4.6282500000000004</v>
      </c>
      <c r="T1085">
        <f t="shared" si="268"/>
        <v>6.1710000000000003</v>
      </c>
      <c r="U1085">
        <f t="shared" si="268"/>
        <v>7.7137500000000001</v>
      </c>
      <c r="V1085">
        <f t="shared" si="268"/>
        <v>9.2565000000000008</v>
      </c>
      <c r="W1085">
        <f t="shared" si="268"/>
        <v>10.799250000000001</v>
      </c>
      <c r="X1085">
        <f t="shared" si="268"/>
        <v>12.342000000000001</v>
      </c>
      <c r="Y1085">
        <f t="shared" si="268"/>
        <v>13.88475</v>
      </c>
      <c r="Z1085">
        <f t="shared" si="268"/>
        <v>15.4275</v>
      </c>
      <c r="AA1085">
        <f t="shared" si="268"/>
        <v>16.97025</v>
      </c>
      <c r="AB1085">
        <f t="shared" si="268"/>
        <v>18.513000000000002</v>
      </c>
      <c r="AC1085">
        <f t="shared" si="268"/>
        <v>20.05575</v>
      </c>
      <c r="AD1085">
        <f t="shared" si="268"/>
        <v>21.598500000000001</v>
      </c>
      <c r="AE1085">
        <f t="shared" si="268"/>
        <v>23.141249999999999</v>
      </c>
    </row>
    <row r="1087" spans="1:31" x14ac:dyDescent="0.45">
      <c r="A1087" t="s">
        <v>1621</v>
      </c>
      <c r="B1087" t="s">
        <v>1460</v>
      </c>
      <c r="C1087" t="s">
        <v>1433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1621</v>
      </c>
      <c r="B1088" t="s">
        <v>1460</v>
      </c>
      <c r="C1088" t="s">
        <v>1433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1621</v>
      </c>
      <c r="B1089" t="s">
        <v>1460</v>
      </c>
      <c r="C1089" t="s">
        <v>1433</v>
      </c>
      <c r="D1089">
        <v>2</v>
      </c>
      <c r="E1089" t="s">
        <v>1161</v>
      </c>
      <c r="F1089">
        <f>MAX(MAX(L1089:AE1089),-MIN(L1089:AE1089))</f>
        <v>0</v>
      </c>
      <c r="I1089" t="s">
        <v>1492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1622</v>
      </c>
      <c r="B1091" t="s">
        <v>1460</v>
      </c>
      <c r="C1091" t="s">
        <v>1436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1622</v>
      </c>
      <c r="B1092" t="s">
        <v>1460</v>
      </c>
      <c r="C1092" t="s">
        <v>1436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1622</v>
      </c>
      <c r="B1093" t="s">
        <v>1460</v>
      </c>
      <c r="C1093" t="s">
        <v>1436</v>
      </c>
      <c r="D1093">
        <v>2</v>
      </c>
      <c r="E1093" t="s">
        <v>1161</v>
      </c>
      <c r="F1093">
        <f>MAX(MAX(L1093:AE1093),-MIN(L1093:AE1093))</f>
        <v>0</v>
      </c>
      <c r="I1093" t="s">
        <v>1492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1623</v>
      </c>
      <c r="B1095" t="s">
        <v>1460</v>
      </c>
      <c r="C1095" t="s">
        <v>1439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1623</v>
      </c>
      <c r="B1096" t="s">
        <v>1460</v>
      </c>
      <c r="C1096" t="s">
        <v>1439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1623</v>
      </c>
      <c r="B1097" t="s">
        <v>1460</v>
      </c>
      <c r="C1097" t="s">
        <v>1439</v>
      </c>
      <c r="D1097">
        <v>2</v>
      </c>
      <c r="E1097" t="s">
        <v>1161</v>
      </c>
      <c r="F1097">
        <f>MAX(MAX(L1097:AE1097),-MIN(L1097:AE1097))</f>
        <v>0</v>
      </c>
      <c r="I1097" t="s">
        <v>1492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1624</v>
      </c>
      <c r="B1099" t="s">
        <v>1460</v>
      </c>
      <c r="C1099" t="s">
        <v>1442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1624</v>
      </c>
      <c r="B1100" t="s">
        <v>1460</v>
      </c>
      <c r="C1100" t="s">
        <v>1442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1624</v>
      </c>
      <c r="B1101" t="s">
        <v>1460</v>
      </c>
      <c r="C1101" t="s">
        <v>1442</v>
      </c>
      <c r="D1101">
        <v>2</v>
      </c>
      <c r="E1101" t="s">
        <v>1161</v>
      </c>
      <c r="F1101">
        <f>MAX(MAX(L1101:AE1101),-MIN(L1101:AE1101))</f>
        <v>0</v>
      </c>
      <c r="I1101" t="s">
        <v>1492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1625</v>
      </c>
      <c r="B1103" t="s">
        <v>1460</v>
      </c>
      <c r="C1103" t="s">
        <v>1445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1625</v>
      </c>
      <c r="B1104" t="s">
        <v>1460</v>
      </c>
      <c r="C1104" t="s">
        <v>1445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1625</v>
      </c>
      <c r="B1105" t="s">
        <v>1460</v>
      </c>
      <c r="C1105" t="s">
        <v>1445</v>
      </c>
      <c r="D1105">
        <v>2</v>
      </c>
      <c r="E1105" t="s">
        <v>1161</v>
      </c>
      <c r="F1105">
        <f>MAX(MAX(L1105:AE1105),-MIN(L1105:AE1105))</f>
        <v>0</v>
      </c>
      <c r="I1105" t="s">
        <v>1492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1626</v>
      </c>
      <c r="B1107" t="s">
        <v>1460</v>
      </c>
      <c r="C1107" t="s">
        <v>1448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1626</v>
      </c>
      <c r="B1108" t="s">
        <v>1460</v>
      </c>
      <c r="C1108" t="s">
        <v>1448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1626</v>
      </c>
      <c r="B1109" t="s">
        <v>1460</v>
      </c>
      <c r="C1109" t="s">
        <v>1448</v>
      </c>
      <c r="D1109">
        <v>2</v>
      </c>
      <c r="E1109" t="s">
        <v>1161</v>
      </c>
      <c r="F1109">
        <f>MAX(MAX(L1109:AE1109),-MIN(L1109:AE1109))</f>
        <v>0</v>
      </c>
      <c r="I1109" t="s">
        <v>1492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1627</v>
      </c>
      <c r="B1111" t="s">
        <v>1460</v>
      </c>
      <c r="C1111" t="s">
        <v>1451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1627</v>
      </c>
      <c r="B1112" t="s">
        <v>1460</v>
      </c>
      <c r="C1112" t="s">
        <v>1451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1627</v>
      </c>
      <c r="B1113" t="s">
        <v>1460</v>
      </c>
      <c r="C1113" t="s">
        <v>1451</v>
      </c>
      <c r="D1113">
        <v>2</v>
      </c>
      <c r="E1113" t="s">
        <v>1161</v>
      </c>
      <c r="F1113">
        <f>MAX(MAX(L1113:AE1113),-MIN(L1113:AE1113))</f>
        <v>0</v>
      </c>
      <c r="I1113" t="s">
        <v>1492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1628</v>
      </c>
      <c r="B1115" t="s">
        <v>1460</v>
      </c>
      <c r="C1115" t="s">
        <v>1454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1628</v>
      </c>
      <c r="B1116" t="s">
        <v>1460</v>
      </c>
      <c r="C1116" t="s">
        <v>1454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1628</v>
      </c>
      <c r="B1117" t="s">
        <v>1460</v>
      </c>
      <c r="C1117" t="s">
        <v>1454</v>
      </c>
      <c r="D1117">
        <v>2</v>
      </c>
      <c r="E1117" t="s">
        <v>1161</v>
      </c>
      <c r="F1117">
        <f>MAX(MAX(L1117:AE1117),-MIN(L1117:AE1117))</f>
        <v>0</v>
      </c>
      <c r="I1117" t="s">
        <v>1492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1629</v>
      </c>
      <c r="B1119" t="s">
        <v>1463</v>
      </c>
      <c r="C1119" t="s">
        <v>1433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1629</v>
      </c>
      <c r="B1120" t="s">
        <v>1463</v>
      </c>
      <c r="C1120" t="s">
        <v>1433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9.5165128333333342E-3</v>
      </c>
      <c r="R1120">
        <f>IF(ISBLANK(Mitigation_Industry!R719),"",Mitigation_Industry!R719)</f>
        <v>1.9033025666666668E-2</v>
      </c>
      <c r="S1120">
        <f>IF(ISBLANK(Mitigation_Industry!S719),"",Mitigation_Industry!S719)</f>
        <v>2.8549538499999996E-2</v>
      </c>
      <c r="T1120">
        <f>IF(ISBLANK(Mitigation_Industry!T719),"",Mitigation_Industry!T719)</f>
        <v>3.8066051333333337E-2</v>
      </c>
      <c r="U1120">
        <f>IF(ISBLANK(Mitigation_Industry!U719),"",Mitigation_Industry!U719)</f>
        <v>4.7582564166666667E-2</v>
      </c>
      <c r="V1120">
        <f>IF(ISBLANK(Mitigation_Industry!V719),"",Mitigation_Industry!V719)</f>
        <v>5.7099076999999991E-2</v>
      </c>
      <c r="W1120">
        <f>IF(ISBLANK(Mitigation_Industry!W719),"",Mitigation_Industry!W719)</f>
        <v>6.6615589833333336E-2</v>
      </c>
      <c r="X1120">
        <f>IF(ISBLANK(Mitigation_Industry!X719),"",Mitigation_Industry!X719)</f>
        <v>7.6132102666666673E-2</v>
      </c>
      <c r="Y1120">
        <f>IF(ISBLANK(Mitigation_Industry!Y719),"",Mitigation_Industry!Y719)</f>
        <v>8.5648615500000011E-2</v>
      </c>
      <c r="Z1120">
        <f>IF(ISBLANK(Mitigation_Industry!Z719),"",Mitigation_Industry!Z719)</f>
        <v>9.5165128333333335E-2</v>
      </c>
      <c r="AA1120">
        <f>IF(ISBLANK(Mitigation_Industry!AA719),"",Mitigation_Industry!AA719)</f>
        <v>0.10468164116666666</v>
      </c>
      <c r="AB1120">
        <f>IF(ISBLANK(Mitigation_Industry!AB719),"",Mitigation_Industry!AB719)</f>
        <v>0.11419815399999998</v>
      </c>
      <c r="AC1120">
        <f>IF(ISBLANK(Mitigation_Industry!AC719),"",Mitigation_Industry!AC719)</f>
        <v>0.12371466683333333</v>
      </c>
      <c r="AD1120">
        <f>IF(ISBLANK(Mitigation_Industry!AD719),"",Mitigation_Industry!AD719)</f>
        <v>0.13323117966666667</v>
      </c>
      <c r="AE1120">
        <f>IF(ISBLANK(Mitigation_Industry!AE719),"",Mitigation_Industry!AE719)</f>
        <v>0.1427476925</v>
      </c>
    </row>
    <row r="1121" spans="1:31" x14ac:dyDescent="0.45">
      <c r="A1121" t="s">
        <v>1629</v>
      </c>
      <c r="B1121" t="s">
        <v>1463</v>
      </c>
      <c r="C1121" t="s">
        <v>1433</v>
      </c>
      <c r="D1121">
        <v>2</v>
      </c>
      <c r="E1121" t="s">
        <v>1161</v>
      </c>
      <c r="F1121">
        <f>MAX(MAX(L1121:AE1121),-MIN(L1121:AE1121))</f>
        <v>0.1427476925</v>
      </c>
      <c r="I1121" t="s">
        <v>1571</v>
      </c>
      <c r="J1121" t="s">
        <v>1613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9.5165128333333342E-3</v>
      </c>
      <c r="R1121">
        <f t="shared" si="277"/>
        <v>1.9033025666666668E-2</v>
      </c>
      <c r="S1121">
        <f t="shared" si="277"/>
        <v>2.8549538499999996E-2</v>
      </c>
      <c r="T1121">
        <f t="shared" si="277"/>
        <v>3.8066051333333337E-2</v>
      </c>
      <c r="U1121">
        <f t="shared" si="277"/>
        <v>4.7582564166666667E-2</v>
      </c>
      <c r="V1121">
        <f t="shared" si="277"/>
        <v>5.7099076999999991E-2</v>
      </c>
      <c r="W1121">
        <f t="shared" si="277"/>
        <v>6.6615589833333336E-2</v>
      </c>
      <c r="X1121">
        <f t="shared" si="277"/>
        <v>7.6132102666666673E-2</v>
      </c>
      <c r="Y1121">
        <f t="shared" si="277"/>
        <v>8.5648615500000011E-2</v>
      </c>
      <c r="Z1121">
        <f t="shared" si="277"/>
        <v>9.5165128333333335E-2</v>
      </c>
      <c r="AA1121">
        <f t="shared" si="277"/>
        <v>0.10468164116666666</v>
      </c>
      <c r="AB1121">
        <f t="shared" si="277"/>
        <v>0.11419815399999998</v>
      </c>
      <c r="AC1121">
        <f t="shared" si="277"/>
        <v>0.12371466683333333</v>
      </c>
      <c r="AD1121">
        <f t="shared" si="277"/>
        <v>0.13323117966666667</v>
      </c>
      <c r="AE1121">
        <f t="shared" si="277"/>
        <v>0.1427476925</v>
      </c>
    </row>
    <row r="1123" spans="1:31" x14ac:dyDescent="0.45">
      <c r="A1123" t="s">
        <v>1630</v>
      </c>
      <c r="B1123" t="s">
        <v>1463</v>
      </c>
      <c r="C1123" t="s">
        <v>1436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1630</v>
      </c>
      <c r="B1124" t="s">
        <v>1463</v>
      </c>
      <c r="C1124" t="s">
        <v>1436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8.250000000000001E-4</v>
      </c>
      <c r="R1124">
        <f>IF(ISBLANK(Mitigation_Industry!R720),"",Mitigation_Industry!R720)</f>
        <v>1.6500000000000002E-3</v>
      </c>
      <c r="S1124">
        <f>IF(ISBLANK(Mitigation_Industry!S720),"",Mitigation_Industry!S720)</f>
        <v>2.4750000000000002E-3</v>
      </c>
      <c r="T1124">
        <f>IF(ISBLANK(Mitigation_Industry!T720),"",Mitigation_Industry!T720)</f>
        <v>3.3000000000000004E-3</v>
      </c>
      <c r="U1124">
        <f>IF(ISBLANK(Mitigation_Industry!U720),"",Mitigation_Industry!U720)</f>
        <v>4.1250000000000002E-3</v>
      </c>
      <c r="V1124">
        <f>IF(ISBLANK(Mitigation_Industry!V720),"",Mitigation_Industry!V720)</f>
        <v>4.9500000000000004E-3</v>
      </c>
      <c r="W1124">
        <f>IF(ISBLANK(Mitigation_Industry!W720),"",Mitigation_Industry!W720)</f>
        <v>5.7750000000000006E-3</v>
      </c>
      <c r="X1124">
        <f>IF(ISBLANK(Mitigation_Industry!X720),"",Mitigation_Industry!X720)</f>
        <v>6.6000000000000008E-3</v>
      </c>
      <c r="Y1124">
        <f>IF(ISBLANK(Mitigation_Industry!Y720),"",Mitigation_Industry!Y720)</f>
        <v>7.4250000000000002E-3</v>
      </c>
      <c r="Z1124">
        <f>IF(ISBLANK(Mitigation_Industry!Z720),"",Mitigation_Industry!Z720)</f>
        <v>8.2500000000000004E-3</v>
      </c>
      <c r="AA1124">
        <f>IF(ISBLANK(Mitigation_Industry!AA720),"",Mitigation_Industry!AA720)</f>
        <v>9.0749999999999997E-3</v>
      </c>
      <c r="AB1124">
        <f>IF(ISBLANK(Mitigation_Industry!AB720),"",Mitigation_Industry!AB720)</f>
        <v>9.9000000000000008E-3</v>
      </c>
      <c r="AC1124">
        <f>IF(ISBLANK(Mitigation_Industry!AC720),"",Mitigation_Industry!AC720)</f>
        <v>1.0725E-2</v>
      </c>
      <c r="AD1124">
        <f>IF(ISBLANK(Mitigation_Industry!AD720),"",Mitigation_Industry!AD720)</f>
        <v>1.1550000000000001E-2</v>
      </c>
      <c r="AE1124">
        <f>IF(ISBLANK(Mitigation_Industry!AE720),"",Mitigation_Industry!AE720)</f>
        <v>1.2375000000000001E-2</v>
      </c>
    </row>
    <row r="1125" spans="1:31" x14ac:dyDescent="0.45">
      <c r="A1125" t="s">
        <v>1630</v>
      </c>
      <c r="B1125" t="s">
        <v>1463</v>
      </c>
      <c r="C1125" t="s">
        <v>1436</v>
      </c>
      <c r="D1125">
        <v>2</v>
      </c>
      <c r="E1125" t="s">
        <v>1161</v>
      </c>
      <c r="F1125">
        <f>MAX(MAX(L1125:AE1125),-MIN(L1125:AE1125))</f>
        <v>1.2375000000000001E-2</v>
      </c>
      <c r="I1125" t="s">
        <v>1571</v>
      </c>
      <c r="J1125" t="s">
        <v>1613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8.250000000000001E-4</v>
      </c>
      <c r="R1125">
        <f t="shared" si="278"/>
        <v>1.6500000000000002E-3</v>
      </c>
      <c r="S1125">
        <f t="shared" si="278"/>
        <v>2.4750000000000002E-3</v>
      </c>
      <c r="T1125">
        <f t="shared" si="278"/>
        <v>3.3000000000000004E-3</v>
      </c>
      <c r="U1125">
        <f t="shared" si="278"/>
        <v>4.1250000000000002E-3</v>
      </c>
      <c r="V1125">
        <f t="shared" si="278"/>
        <v>4.9500000000000004E-3</v>
      </c>
      <c r="W1125">
        <f t="shared" si="278"/>
        <v>5.7750000000000006E-3</v>
      </c>
      <c r="X1125">
        <f t="shared" si="278"/>
        <v>6.6000000000000008E-3</v>
      </c>
      <c r="Y1125">
        <f t="shared" si="278"/>
        <v>7.4250000000000002E-3</v>
      </c>
      <c r="Z1125">
        <f t="shared" si="278"/>
        <v>8.2500000000000004E-3</v>
      </c>
      <c r="AA1125">
        <f t="shared" si="278"/>
        <v>9.0749999999999997E-3</v>
      </c>
      <c r="AB1125">
        <f t="shared" si="278"/>
        <v>9.9000000000000008E-3</v>
      </c>
      <c r="AC1125">
        <f t="shared" si="278"/>
        <v>1.0725E-2</v>
      </c>
      <c r="AD1125">
        <f t="shared" si="278"/>
        <v>1.1550000000000001E-2</v>
      </c>
      <c r="AE1125">
        <f t="shared" si="278"/>
        <v>1.2375000000000001E-2</v>
      </c>
    </row>
    <row r="1127" spans="1:31" x14ac:dyDescent="0.45">
      <c r="A1127" t="s">
        <v>1631</v>
      </c>
      <c r="B1127" t="s">
        <v>1463</v>
      </c>
      <c r="C1127" t="s">
        <v>1439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1631</v>
      </c>
      <c r="B1128" t="s">
        <v>1463</v>
      </c>
      <c r="C1128" t="s">
        <v>1439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2.8729440927419352E-2</v>
      </c>
      <c r="R1128">
        <f>IF(ISBLANK(Mitigation_Industry!R721),"",Mitigation_Industry!R721)</f>
        <v>5.7458881854838703E-2</v>
      </c>
      <c r="S1128">
        <f>IF(ISBLANK(Mitigation_Industry!S721),"",Mitigation_Industry!S721)</f>
        <v>8.6188322782258048E-2</v>
      </c>
      <c r="T1128">
        <f>IF(ISBLANK(Mitigation_Industry!T721),"",Mitigation_Industry!T721)</f>
        <v>0.11491776370967741</v>
      </c>
      <c r="U1128">
        <f>IF(ISBLANK(Mitigation_Industry!U721),"",Mitigation_Industry!U721)</f>
        <v>0.14364720463709676</v>
      </c>
      <c r="V1128">
        <f>IF(ISBLANK(Mitigation_Industry!V721),"",Mitigation_Industry!V721)</f>
        <v>0.1723766455645161</v>
      </c>
      <c r="W1128">
        <f>IF(ISBLANK(Mitigation_Industry!W721),"",Mitigation_Industry!W721)</f>
        <v>0.20110608649193545</v>
      </c>
      <c r="X1128">
        <f>IF(ISBLANK(Mitigation_Industry!X721),"",Mitigation_Industry!X721)</f>
        <v>0.22983552741935481</v>
      </c>
      <c r="Y1128">
        <f>IF(ISBLANK(Mitigation_Industry!Y721),"",Mitigation_Industry!Y721)</f>
        <v>0.25856496834677417</v>
      </c>
      <c r="Z1128">
        <f>IF(ISBLANK(Mitigation_Industry!Z721),"",Mitigation_Industry!Z721)</f>
        <v>0.28729440927419353</v>
      </c>
      <c r="AA1128">
        <f>IF(ISBLANK(Mitigation_Industry!AA721),"",Mitigation_Industry!AA721)</f>
        <v>0.31602385020161289</v>
      </c>
      <c r="AB1128">
        <f>IF(ISBLANK(Mitigation_Industry!AB721),"",Mitigation_Industry!AB721)</f>
        <v>0.34475329112903219</v>
      </c>
      <c r="AC1128">
        <f>IF(ISBLANK(Mitigation_Industry!AC721),"",Mitigation_Industry!AC721)</f>
        <v>0.37348273205645161</v>
      </c>
      <c r="AD1128">
        <f>IF(ISBLANK(Mitigation_Industry!AD721),"",Mitigation_Industry!AD721)</f>
        <v>0.40221217298387091</v>
      </c>
      <c r="AE1128">
        <f>IF(ISBLANK(Mitigation_Industry!AE721),"",Mitigation_Industry!AE721)</f>
        <v>0.43094161391129021</v>
      </c>
    </row>
    <row r="1129" spans="1:31" x14ac:dyDescent="0.45">
      <c r="A1129" t="s">
        <v>1631</v>
      </c>
      <c r="B1129" t="s">
        <v>1463</v>
      </c>
      <c r="C1129" t="s">
        <v>1439</v>
      </c>
      <c r="D1129">
        <v>2</v>
      </c>
      <c r="E1129" t="s">
        <v>1161</v>
      </c>
      <c r="F1129">
        <f>MAX(MAX(L1129:AE1129),-MIN(L1129:AE1129))</f>
        <v>0.43094161391129021</v>
      </c>
      <c r="I1129" t="s">
        <v>1571</v>
      </c>
      <c r="J1129" t="s">
        <v>1613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2.8729440927419352E-2</v>
      </c>
      <c r="R1129">
        <f t="shared" si="279"/>
        <v>5.7458881854838703E-2</v>
      </c>
      <c r="S1129">
        <f t="shared" si="279"/>
        <v>8.6188322782258048E-2</v>
      </c>
      <c r="T1129">
        <f t="shared" si="279"/>
        <v>0.11491776370967741</v>
      </c>
      <c r="U1129">
        <f t="shared" si="279"/>
        <v>0.14364720463709676</v>
      </c>
      <c r="V1129">
        <f t="shared" si="279"/>
        <v>0.1723766455645161</v>
      </c>
      <c r="W1129">
        <f t="shared" si="279"/>
        <v>0.20110608649193545</v>
      </c>
      <c r="X1129">
        <f t="shared" si="279"/>
        <v>0.22983552741935481</v>
      </c>
      <c r="Y1129">
        <f t="shared" si="279"/>
        <v>0.25856496834677417</v>
      </c>
      <c r="Z1129">
        <f t="shared" si="279"/>
        <v>0.28729440927419353</v>
      </c>
      <c r="AA1129">
        <f t="shared" si="279"/>
        <v>0.31602385020161289</v>
      </c>
      <c r="AB1129">
        <f t="shared" si="279"/>
        <v>0.34475329112903219</v>
      </c>
      <c r="AC1129">
        <f t="shared" si="279"/>
        <v>0.37348273205645161</v>
      </c>
      <c r="AD1129">
        <f t="shared" si="279"/>
        <v>0.40221217298387091</v>
      </c>
      <c r="AE1129">
        <f t="shared" si="279"/>
        <v>0.43094161391129021</v>
      </c>
    </row>
    <row r="1131" spans="1:31" x14ac:dyDescent="0.45">
      <c r="A1131" t="s">
        <v>1632</v>
      </c>
      <c r="B1131" t="s">
        <v>1463</v>
      </c>
      <c r="C1131" t="s">
        <v>1442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1632</v>
      </c>
      <c r="B1132" t="s">
        <v>1463</v>
      </c>
      <c r="C1132" t="s">
        <v>1442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3.5632784090909086E-2</v>
      </c>
      <c r="R1132">
        <f>IF(ISBLANK(Mitigation_Industry!R722),"",Mitigation_Industry!R722)</f>
        <v>7.1265568181818173E-2</v>
      </c>
      <c r="S1132">
        <f>IF(ISBLANK(Mitigation_Industry!S722),"",Mitigation_Industry!S722)</f>
        <v>0.10689835227272727</v>
      </c>
      <c r="T1132">
        <f>IF(ISBLANK(Mitigation_Industry!T722),"",Mitigation_Industry!T722)</f>
        <v>0.14253113636363635</v>
      </c>
      <c r="U1132">
        <f>IF(ISBLANK(Mitigation_Industry!U722),"",Mitigation_Industry!U722)</f>
        <v>0.17816392045454543</v>
      </c>
      <c r="V1132">
        <f>IF(ISBLANK(Mitigation_Industry!V722),"",Mitigation_Industry!V722)</f>
        <v>0.21379670454545455</v>
      </c>
      <c r="W1132">
        <f>IF(ISBLANK(Mitigation_Industry!W722),"",Mitigation_Industry!W722)</f>
        <v>0.24942948863636361</v>
      </c>
      <c r="X1132">
        <f>IF(ISBLANK(Mitigation_Industry!X722),"",Mitigation_Industry!X722)</f>
        <v>0.28506227272727269</v>
      </c>
      <c r="Y1132">
        <f>IF(ISBLANK(Mitigation_Industry!Y722),"",Mitigation_Industry!Y722)</f>
        <v>0.32069505681818178</v>
      </c>
      <c r="Z1132">
        <f>IF(ISBLANK(Mitigation_Industry!Z722),"",Mitigation_Industry!Z722)</f>
        <v>0.35632784090909086</v>
      </c>
      <c r="AA1132">
        <f>IF(ISBLANK(Mitigation_Industry!AA722),"",Mitigation_Industry!AA722)</f>
        <v>0.39196062499999995</v>
      </c>
      <c r="AB1132">
        <f>IF(ISBLANK(Mitigation_Industry!AB722),"",Mitigation_Industry!AB722)</f>
        <v>0.42759340909090909</v>
      </c>
      <c r="AC1132">
        <f>IF(ISBLANK(Mitigation_Industry!AC722),"",Mitigation_Industry!AC722)</f>
        <v>0.46322619318181812</v>
      </c>
      <c r="AD1132">
        <f>IF(ISBLANK(Mitigation_Industry!AD722),"",Mitigation_Industry!AD722)</f>
        <v>0.49885897727272721</v>
      </c>
      <c r="AE1132">
        <f>IF(ISBLANK(Mitigation_Industry!AE722),"",Mitigation_Industry!AE722)</f>
        <v>0.5344917613636363</v>
      </c>
    </row>
    <row r="1133" spans="1:31" x14ac:dyDescent="0.45">
      <c r="A1133" t="s">
        <v>1632</v>
      </c>
      <c r="B1133" t="s">
        <v>1463</v>
      </c>
      <c r="C1133" t="s">
        <v>1442</v>
      </c>
      <c r="D1133">
        <v>2</v>
      </c>
      <c r="E1133" t="s">
        <v>1161</v>
      </c>
      <c r="F1133">
        <f>MAX(MAX(L1133:AE1133),-MIN(L1133:AE1133))</f>
        <v>0.5344917613636363</v>
      </c>
      <c r="I1133" t="s">
        <v>1571</v>
      </c>
      <c r="J1133" t="s">
        <v>1613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3.5632784090909086E-2</v>
      </c>
      <c r="R1133">
        <f t="shared" si="280"/>
        <v>7.1265568181818173E-2</v>
      </c>
      <c r="S1133">
        <f t="shared" si="280"/>
        <v>0.10689835227272727</v>
      </c>
      <c r="T1133">
        <f t="shared" si="280"/>
        <v>0.14253113636363635</v>
      </c>
      <c r="U1133">
        <f t="shared" si="280"/>
        <v>0.17816392045454543</v>
      </c>
      <c r="V1133">
        <f t="shared" si="280"/>
        <v>0.21379670454545455</v>
      </c>
      <c r="W1133">
        <f t="shared" si="280"/>
        <v>0.24942948863636361</v>
      </c>
      <c r="X1133">
        <f t="shared" si="280"/>
        <v>0.28506227272727269</v>
      </c>
      <c r="Y1133">
        <f t="shared" si="280"/>
        <v>0.32069505681818178</v>
      </c>
      <c r="Z1133">
        <f t="shared" si="280"/>
        <v>0.35632784090909086</v>
      </c>
      <c r="AA1133">
        <f t="shared" si="280"/>
        <v>0.39196062499999995</v>
      </c>
      <c r="AB1133">
        <f t="shared" si="280"/>
        <v>0.42759340909090909</v>
      </c>
      <c r="AC1133">
        <f t="shared" si="280"/>
        <v>0.46322619318181812</v>
      </c>
      <c r="AD1133">
        <f t="shared" si="280"/>
        <v>0.49885897727272721</v>
      </c>
      <c r="AE1133">
        <f t="shared" si="280"/>
        <v>0.5344917613636363</v>
      </c>
    </row>
    <row r="1135" spans="1:31" x14ac:dyDescent="0.45">
      <c r="A1135" t="s">
        <v>1633</v>
      </c>
      <c r="B1135" t="s">
        <v>1463</v>
      </c>
      <c r="C1135" t="s">
        <v>1445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1633</v>
      </c>
      <c r="B1136" t="s">
        <v>1463</v>
      </c>
      <c r="C1136" t="s">
        <v>1445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5.4853333333333337E-2</v>
      </c>
      <c r="R1136">
        <f>IF(ISBLANK(Mitigation_Industry!R723),"",Mitigation_Industry!R723)</f>
        <v>0.10970666666666667</v>
      </c>
      <c r="S1136">
        <f>IF(ISBLANK(Mitigation_Industry!S723),"",Mitigation_Industry!S723)</f>
        <v>0.16456000000000001</v>
      </c>
      <c r="T1136">
        <f>IF(ISBLANK(Mitigation_Industry!T723),"",Mitigation_Industry!T723)</f>
        <v>0.21941333333333335</v>
      </c>
      <c r="U1136">
        <f>IF(ISBLANK(Mitigation_Industry!U723),"",Mitigation_Industry!U723)</f>
        <v>0.27426666666666666</v>
      </c>
      <c r="V1136">
        <f>IF(ISBLANK(Mitigation_Industry!V723),"",Mitigation_Industry!V723)</f>
        <v>0.32912000000000002</v>
      </c>
      <c r="W1136">
        <f>IF(ISBLANK(Mitigation_Industry!W723),"",Mitigation_Industry!W723)</f>
        <v>0.38397333333333333</v>
      </c>
      <c r="X1136">
        <f>IF(ISBLANK(Mitigation_Industry!X723),"",Mitigation_Industry!X723)</f>
        <v>0.4388266666666667</v>
      </c>
      <c r="Y1136">
        <f>IF(ISBLANK(Mitigation_Industry!Y723),"",Mitigation_Industry!Y723)</f>
        <v>0.49368000000000001</v>
      </c>
      <c r="Z1136">
        <f>IF(ISBLANK(Mitigation_Industry!Z723),"",Mitigation_Industry!Z723)</f>
        <v>0.54853333333333332</v>
      </c>
      <c r="AA1136">
        <f>IF(ISBLANK(Mitigation_Industry!AA723),"",Mitigation_Industry!AA723)</f>
        <v>0.60338666666666663</v>
      </c>
      <c r="AB1136">
        <f>IF(ISBLANK(Mitigation_Industry!AB723),"",Mitigation_Industry!AB723)</f>
        <v>0.65824000000000005</v>
      </c>
      <c r="AC1136">
        <f>IF(ISBLANK(Mitigation_Industry!AC723),"",Mitigation_Industry!AC723)</f>
        <v>0.71309333333333336</v>
      </c>
      <c r="AD1136">
        <f>IF(ISBLANK(Mitigation_Industry!AD723),"",Mitigation_Industry!AD723)</f>
        <v>0.76794666666666667</v>
      </c>
      <c r="AE1136">
        <f>IF(ISBLANK(Mitigation_Industry!AE723),"",Mitigation_Industry!AE723)</f>
        <v>0.82279999999999998</v>
      </c>
    </row>
    <row r="1137" spans="1:31" x14ac:dyDescent="0.45">
      <c r="A1137" t="s">
        <v>1633</v>
      </c>
      <c r="B1137" t="s">
        <v>1463</v>
      </c>
      <c r="C1137" t="s">
        <v>1445</v>
      </c>
      <c r="D1137">
        <v>2</v>
      </c>
      <c r="E1137" t="s">
        <v>1161</v>
      </c>
      <c r="F1137">
        <f>MAX(MAX(L1137:AE1137),-MIN(L1137:AE1137))</f>
        <v>0.82279999999999998</v>
      </c>
      <c r="I1137" t="s">
        <v>1571</v>
      </c>
      <c r="J1137" t="s">
        <v>1613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5.4853333333333337E-2</v>
      </c>
      <c r="R1137">
        <f t="shared" si="281"/>
        <v>0.10970666666666667</v>
      </c>
      <c r="S1137">
        <f t="shared" si="281"/>
        <v>0.16456000000000001</v>
      </c>
      <c r="T1137">
        <f t="shared" si="281"/>
        <v>0.21941333333333335</v>
      </c>
      <c r="U1137">
        <f t="shared" si="281"/>
        <v>0.27426666666666666</v>
      </c>
      <c r="V1137">
        <f t="shared" si="281"/>
        <v>0.32912000000000002</v>
      </c>
      <c r="W1137">
        <f t="shared" si="281"/>
        <v>0.38397333333333333</v>
      </c>
      <c r="X1137">
        <f t="shared" si="281"/>
        <v>0.4388266666666667</v>
      </c>
      <c r="Y1137">
        <f t="shared" si="281"/>
        <v>0.49368000000000001</v>
      </c>
      <c r="Z1137">
        <f t="shared" si="281"/>
        <v>0.54853333333333332</v>
      </c>
      <c r="AA1137">
        <f t="shared" si="281"/>
        <v>0.60338666666666663</v>
      </c>
      <c r="AB1137">
        <f t="shared" si="281"/>
        <v>0.65824000000000005</v>
      </c>
      <c r="AC1137">
        <f t="shared" si="281"/>
        <v>0.71309333333333336</v>
      </c>
      <c r="AD1137">
        <f t="shared" si="281"/>
        <v>0.76794666666666667</v>
      </c>
      <c r="AE1137">
        <f t="shared" si="281"/>
        <v>0.82279999999999998</v>
      </c>
    </row>
    <row r="1139" spans="1:31" x14ac:dyDescent="0.45">
      <c r="A1139" t="s">
        <v>1634</v>
      </c>
      <c r="B1139" t="s">
        <v>1463</v>
      </c>
      <c r="C1139" t="s">
        <v>1448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1634</v>
      </c>
      <c r="B1140" t="s">
        <v>1463</v>
      </c>
      <c r="C1140" t="s">
        <v>1448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1634</v>
      </c>
      <c r="B1141" t="s">
        <v>1463</v>
      </c>
      <c r="C1141" t="s">
        <v>1448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1571</v>
      </c>
      <c r="J1141" t="s">
        <v>1613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1635</v>
      </c>
      <c r="B1143" t="s">
        <v>1463</v>
      </c>
      <c r="C1143" t="s">
        <v>1451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1635</v>
      </c>
      <c r="B1144" t="s">
        <v>1463</v>
      </c>
      <c r="C1144" t="s">
        <v>1451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1635</v>
      </c>
      <c r="B1145" t="s">
        <v>1463</v>
      </c>
      <c r="C1145" t="s">
        <v>1451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1571</v>
      </c>
      <c r="J1145" t="s">
        <v>1613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1636</v>
      </c>
      <c r="B1147" t="s">
        <v>1463</v>
      </c>
      <c r="C1147" t="s">
        <v>1454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1636</v>
      </c>
      <c r="B1148" t="s">
        <v>1463</v>
      </c>
      <c r="C1148" t="s">
        <v>1454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6.4281250000000005E-4</v>
      </c>
      <c r="R1148">
        <f>IF(ISBLANK(Mitigation_Industry!R726),"",Mitigation_Industry!R726)</f>
        <v>1.2856250000000001E-3</v>
      </c>
      <c r="S1148">
        <f>IF(ISBLANK(Mitigation_Industry!S726),"",Mitigation_Industry!S726)</f>
        <v>1.9284375000000002E-3</v>
      </c>
      <c r="T1148">
        <f>IF(ISBLANK(Mitigation_Industry!T726),"",Mitigation_Industry!T726)</f>
        <v>2.5712500000000002E-3</v>
      </c>
      <c r="U1148">
        <f>IF(ISBLANK(Mitigation_Industry!U726),"",Mitigation_Industry!U726)</f>
        <v>3.2140624999999999E-3</v>
      </c>
      <c r="V1148">
        <f>IF(ISBLANK(Mitigation_Industry!V726),"",Mitigation_Industry!V726)</f>
        <v>3.8568750000000005E-3</v>
      </c>
      <c r="W1148">
        <f>IF(ISBLANK(Mitigation_Industry!W726),"",Mitigation_Industry!W726)</f>
        <v>4.4996875000000002E-3</v>
      </c>
      <c r="X1148">
        <f>IF(ISBLANK(Mitigation_Industry!X726),"",Mitigation_Industry!X726)</f>
        <v>5.1425000000000004E-3</v>
      </c>
      <c r="Y1148">
        <f>IF(ISBLANK(Mitigation_Industry!Y726),"",Mitigation_Industry!Y726)</f>
        <v>5.7853125000000005E-3</v>
      </c>
      <c r="Z1148">
        <f>IF(ISBLANK(Mitigation_Industry!Z726),"",Mitigation_Industry!Z726)</f>
        <v>6.4281249999999998E-3</v>
      </c>
      <c r="AA1148">
        <f>IF(ISBLANK(Mitigation_Industry!AA726),"",Mitigation_Industry!AA726)</f>
        <v>7.0709375E-3</v>
      </c>
      <c r="AB1148">
        <f>IF(ISBLANK(Mitigation_Industry!AB726),"",Mitigation_Industry!AB726)</f>
        <v>7.713750000000001E-3</v>
      </c>
      <c r="AC1148">
        <f>IF(ISBLANK(Mitigation_Industry!AC726),"",Mitigation_Industry!AC726)</f>
        <v>8.3565624999999994E-3</v>
      </c>
      <c r="AD1148">
        <f>IF(ISBLANK(Mitigation_Industry!AD726),"",Mitigation_Industry!AD726)</f>
        <v>8.9993750000000004E-3</v>
      </c>
      <c r="AE1148">
        <f>IF(ISBLANK(Mitigation_Industry!AE726),"",Mitigation_Industry!AE726)</f>
        <v>9.6421874999999997E-3</v>
      </c>
    </row>
    <row r="1149" spans="1:31" x14ac:dyDescent="0.45">
      <c r="A1149" t="s">
        <v>1636</v>
      </c>
      <c r="B1149" t="s">
        <v>1463</v>
      </c>
      <c r="C1149" t="s">
        <v>1454</v>
      </c>
      <c r="D1149">
        <v>2</v>
      </c>
      <c r="E1149" t="s">
        <v>1161</v>
      </c>
      <c r="F1149">
        <f>MAX(MAX(L1149:AE1149),-MIN(L1149:AE1149))</f>
        <v>9.6421874999999997E-3</v>
      </c>
      <c r="I1149" t="s">
        <v>1571</v>
      </c>
      <c r="J1149" t="s">
        <v>1613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6.4281250000000005E-4</v>
      </c>
      <c r="R1149">
        <f t="shared" si="284"/>
        <v>1.2856250000000001E-3</v>
      </c>
      <c r="S1149">
        <f t="shared" si="284"/>
        <v>1.9284375000000002E-3</v>
      </c>
      <c r="T1149">
        <f t="shared" si="284"/>
        <v>2.5712500000000002E-3</v>
      </c>
      <c r="U1149">
        <f t="shared" si="284"/>
        <v>3.2140624999999999E-3</v>
      </c>
      <c r="V1149">
        <f t="shared" si="284"/>
        <v>3.8568750000000005E-3</v>
      </c>
      <c r="W1149">
        <f t="shared" si="284"/>
        <v>4.4996875000000002E-3</v>
      </c>
      <c r="X1149">
        <f t="shared" si="284"/>
        <v>5.1425000000000004E-3</v>
      </c>
      <c r="Y1149">
        <f t="shared" si="284"/>
        <v>5.7853125000000005E-3</v>
      </c>
      <c r="Z1149">
        <f t="shared" si="284"/>
        <v>6.4281249999999998E-3</v>
      </c>
      <c r="AA1149">
        <f t="shared" si="284"/>
        <v>7.0709375E-3</v>
      </c>
      <c r="AB1149">
        <f t="shared" si="284"/>
        <v>7.713750000000001E-3</v>
      </c>
      <c r="AC1149">
        <f t="shared" si="284"/>
        <v>8.3565624999999994E-3</v>
      </c>
      <c r="AD1149">
        <f t="shared" si="284"/>
        <v>8.9993750000000004E-3</v>
      </c>
      <c r="AE1149">
        <f t="shared" si="284"/>
        <v>9.6421874999999997E-3</v>
      </c>
    </row>
    <row r="1151" spans="1:31" x14ac:dyDescent="0.45">
      <c r="A1151" t="s">
        <v>1637</v>
      </c>
      <c r="B1151" t="s">
        <v>1464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1637</v>
      </c>
      <c r="B1152" t="s">
        <v>1464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2.6717650641872548</v>
      </c>
      <c r="M1152">
        <f>IF(ISBLANK(Mitigation_Industry!M729),"",Mitigation_Industry!M729)</f>
        <v>2.789322727011494</v>
      </c>
      <c r="N1152">
        <f>IF(ISBLANK(Mitigation_Industry!N729),"",Mitigation_Industry!N729)</f>
        <v>2.9120529269999995</v>
      </c>
      <c r="O1152">
        <f>IF(ISBLANK(Mitigation_Industry!O729),"",Mitigation_Industry!O729)</f>
        <v>3.0401832557880004</v>
      </c>
      <c r="P1152">
        <f>IF(ISBLANK(Mitigation_Industry!P729),"",Mitigation_Industry!P729)</f>
        <v>3.173951319042672</v>
      </c>
      <c r="Q1152">
        <f>IF(ISBLANK(Mitigation_Industry!Q729),"",Mitigation_Industry!Q729)</f>
        <v>3.3136051770805501</v>
      </c>
      <c r="R1152">
        <f>IF(ISBLANK(Mitigation_Industry!R729),"",Mitigation_Industry!R729)</f>
        <v>3.4594038048720939</v>
      </c>
      <c r="S1152">
        <f>IF(ISBLANK(Mitigation_Industry!S729),"",Mitigation_Industry!S729)</f>
        <v>3.6116175722864661</v>
      </c>
      <c r="T1152">
        <f>IF(ISBLANK(Mitigation_Industry!T729),"",Mitigation_Industry!T729)</f>
        <v>3.7705287454670713</v>
      </c>
      <c r="U1152">
        <f>IF(ISBLANK(Mitigation_Industry!U729),"",Mitigation_Industry!U729)</f>
        <v>3.9364320102676222</v>
      </c>
      <c r="V1152">
        <f>IF(ISBLANK(Mitigation_Industry!V729),"",Mitigation_Industry!V729)</f>
        <v>4.1096350187193975</v>
      </c>
      <c r="W1152">
        <f>IF(ISBLANK(Mitigation_Industry!W729),"",Mitigation_Industry!W729)</f>
        <v>4.2904589595430505</v>
      </c>
      <c r="X1152">
        <f>IF(ISBLANK(Mitigation_Industry!X729),"",Mitigation_Industry!X729)</f>
        <v>4.4792391537629452</v>
      </c>
      <c r="Y1152">
        <f>IF(ISBLANK(Mitigation_Industry!Y729),"",Mitigation_Industry!Y729)</f>
        <v>4.6763256765285162</v>
      </c>
      <c r="Z1152">
        <f>IF(ISBLANK(Mitigation_Industry!Z729),"",Mitigation_Industry!Z729)</f>
        <v>4.8820840062957691</v>
      </c>
      <c r="AA1152">
        <f>IF(ISBLANK(Mitigation_Industry!AA729),"",Mitigation_Industry!AA729)</f>
        <v>5.096895702572783</v>
      </c>
      <c r="AB1152">
        <f>IF(ISBLANK(Mitigation_Industry!AB729),"",Mitigation_Industry!AB729)</f>
        <v>5.3211591134859875</v>
      </c>
      <c r="AC1152">
        <f>IF(ISBLANK(Mitigation_Industry!AC729),"",Mitigation_Industry!AC729)</f>
        <v>5.5552901144793703</v>
      </c>
      <c r="AD1152">
        <f>IF(ISBLANK(Mitigation_Industry!AD729),"",Mitigation_Industry!AD729)</f>
        <v>5.7997228795164624</v>
      </c>
      <c r="AE1152">
        <f>IF(ISBLANK(Mitigation_Industry!AE729),"",Mitigation_Industry!AE729)</f>
        <v>6.0549106862151856</v>
      </c>
    </row>
    <row r="1153" spans="1:31" x14ac:dyDescent="0.45">
      <c r="A1153" t="s">
        <v>1637</v>
      </c>
      <c r="B1153" t="s">
        <v>1464</v>
      </c>
      <c r="C1153" t="s">
        <v>1350</v>
      </c>
      <c r="D1153">
        <v>2</v>
      </c>
      <c r="E1153" t="s">
        <v>1161</v>
      </c>
      <c r="F1153">
        <f>MAX(MAX(L1153:AE1153),-MIN(L1153:AE1153))</f>
        <v>1.26231796322352</v>
      </c>
      <c r="I1153" t="s">
        <v>1492</v>
      </c>
      <c r="K1153">
        <f t="shared" ref="K1153:AE1153" si="285">IF(ISNUMBER(K1151),IF(ISNUMBER(K1152),K1152-K1151,999999),0)</f>
        <v>0</v>
      </c>
      <c r="L1153">
        <f t="shared" si="285"/>
        <v>-0.55700524893204761</v>
      </c>
      <c r="M1153">
        <f t="shared" si="285"/>
        <v>-0.58151347988505764</v>
      </c>
      <c r="N1153">
        <f t="shared" si="285"/>
        <v>-0.60710007300000068</v>
      </c>
      <c r="O1153">
        <f t="shared" si="285"/>
        <v>-0.63381247621200032</v>
      </c>
      <c r="P1153">
        <f t="shared" si="285"/>
        <v>-0.66170022516532878</v>
      </c>
      <c r="Q1153">
        <f t="shared" si="285"/>
        <v>-0.69081503507260322</v>
      </c>
      <c r="R1153">
        <f t="shared" si="285"/>
        <v>-0.72121089661579729</v>
      </c>
      <c r="S1153">
        <f t="shared" si="285"/>
        <v>-0.75294417606689379</v>
      </c>
      <c r="T1153">
        <f t="shared" si="285"/>
        <v>-0.78607371981383567</v>
      </c>
      <c r="U1153">
        <f t="shared" si="285"/>
        <v>-0.82066096348564521</v>
      </c>
      <c r="V1153">
        <f t="shared" si="285"/>
        <v>-0.8567700458790144</v>
      </c>
      <c r="W1153">
        <f t="shared" si="285"/>
        <v>-0.89446792789769081</v>
      </c>
      <c r="X1153">
        <f t="shared" si="285"/>
        <v>-0.93382451672518929</v>
      </c>
      <c r="Y1153">
        <f t="shared" si="285"/>
        <v>-0.97491279546109677</v>
      </c>
      <c r="Z1153">
        <f t="shared" si="285"/>
        <v>-1.0178089584613863</v>
      </c>
      <c r="AA1153">
        <f t="shared" si="285"/>
        <v>-1.0625925526336877</v>
      </c>
      <c r="AB1153">
        <f t="shared" si="285"/>
        <v>-1.109346624949568</v>
      </c>
      <c r="AC1153">
        <f t="shared" si="285"/>
        <v>-1.1581578764473504</v>
      </c>
      <c r="AD1153">
        <f t="shared" si="285"/>
        <v>-1.2091168230110343</v>
      </c>
      <c r="AE1153">
        <f t="shared" si="285"/>
        <v>-1.26231796322352</v>
      </c>
    </row>
    <row r="1155" spans="1:31" x14ac:dyDescent="0.45">
      <c r="A1155" t="s">
        <v>1638</v>
      </c>
      <c r="B1155" t="s">
        <v>1464</v>
      </c>
      <c r="C1155" t="s">
        <v>1355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1638</v>
      </c>
      <c r="B1156" t="s">
        <v>1464</v>
      </c>
      <c r="C1156" t="s">
        <v>1355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0.19764830228563882</v>
      </c>
      <c r="M1156">
        <f>IF(ISBLANK(Mitigation_Industry!M730),"",Mitigation_Industry!M730)</f>
        <v>0.20634482758620692</v>
      </c>
      <c r="N1156">
        <f>IF(ISBLANK(Mitigation_Industry!N730),"",Mitigation_Industry!N730)</f>
        <v>0.215424</v>
      </c>
      <c r="O1156">
        <f>IF(ISBLANK(Mitigation_Industry!O730),"",Mitigation_Industry!O730)</f>
        <v>0.22490265600000001</v>
      </c>
      <c r="P1156">
        <f>IF(ISBLANK(Mitigation_Industry!P730),"",Mitigation_Industry!P730)</f>
        <v>0.23479837286400002</v>
      </c>
      <c r="Q1156">
        <f>IF(ISBLANK(Mitigation_Industry!Q730),"",Mitigation_Industry!Q730)</f>
        <v>0.24512950127001604</v>
      </c>
      <c r="R1156">
        <f>IF(ISBLANK(Mitigation_Industry!R730),"",Mitigation_Industry!R730)</f>
        <v>0.25591519932589668</v>
      </c>
      <c r="S1156">
        <f>IF(ISBLANK(Mitigation_Industry!S730),"",Mitigation_Industry!S730)</f>
        <v>0.26717546809623621</v>
      </c>
      <c r="T1156">
        <f>IF(ISBLANK(Mitigation_Industry!T730),"",Mitigation_Industry!T730)</f>
        <v>0.27893118869247063</v>
      </c>
      <c r="U1156">
        <f>IF(ISBLANK(Mitigation_Industry!U730),"",Mitigation_Industry!U730)</f>
        <v>0.29120416099493934</v>
      </c>
      <c r="V1156">
        <f>IF(ISBLANK(Mitigation_Industry!V730),"",Mitigation_Industry!V730)</f>
        <v>0.30401714407871661</v>
      </c>
      <c r="W1156">
        <f>IF(ISBLANK(Mitigation_Industry!W730),"",Mitigation_Industry!W730)</f>
        <v>0.31739389841818022</v>
      </c>
      <c r="X1156">
        <f>IF(ISBLANK(Mitigation_Industry!X730),"",Mitigation_Industry!X730)</f>
        <v>0.33135922994858014</v>
      </c>
      <c r="Y1156">
        <f>IF(ISBLANK(Mitigation_Industry!Y730),"",Mitigation_Industry!Y730)</f>
        <v>0.34593903606631771</v>
      </c>
      <c r="Z1156">
        <f>IF(ISBLANK(Mitigation_Industry!Z730),"",Mitigation_Industry!Z730)</f>
        <v>0.36116035365323562</v>
      </c>
      <c r="AA1156">
        <f>IF(ISBLANK(Mitigation_Industry!AA730),"",Mitigation_Industry!AA730)</f>
        <v>0.37705140921397801</v>
      </c>
      <c r="AB1156">
        <f>IF(ISBLANK(Mitigation_Industry!AB730),"",Mitigation_Industry!AB730)</f>
        <v>0.39364167121939314</v>
      </c>
      <c r="AC1156">
        <f>IF(ISBLANK(Mitigation_Industry!AC730),"",Mitigation_Industry!AC730)</f>
        <v>0.41096190475304639</v>
      </c>
      <c r="AD1156">
        <f>IF(ISBLANK(Mitigation_Industry!AD730),"",Mitigation_Industry!AD730)</f>
        <v>0.42904422856218044</v>
      </c>
      <c r="AE1156">
        <f>IF(ISBLANK(Mitigation_Industry!AE730),"",Mitigation_Industry!AE730)</f>
        <v>0.44792217461891631</v>
      </c>
    </row>
    <row r="1157" spans="1:31" x14ac:dyDescent="0.45">
      <c r="A1157" t="s">
        <v>1638</v>
      </c>
      <c r="B1157" t="s">
        <v>1464</v>
      </c>
      <c r="C1157" t="s">
        <v>1355</v>
      </c>
      <c r="D1157">
        <v>2</v>
      </c>
      <c r="E1157" t="s">
        <v>1161</v>
      </c>
      <c r="F1157">
        <f>MAX(MAX(L1157:AE1157),-MIN(L1157:AE1157))</f>
        <v>0.95183462106519712</v>
      </c>
      <c r="I1157" t="s">
        <v>1492</v>
      </c>
      <c r="K1157">
        <f t="shared" ref="K1157:AE1157" si="286">IF(ISNUMBER(K1155),IF(ISNUMBER(K1156),K1156-K1155,999999),0)</f>
        <v>0</v>
      </c>
      <c r="L1157">
        <f t="shared" si="286"/>
        <v>-0.42000264235698248</v>
      </c>
      <c r="M1157">
        <f t="shared" si="286"/>
        <v>-0.43848275862068969</v>
      </c>
      <c r="N1157">
        <f t="shared" si="286"/>
        <v>-0.45777600000000002</v>
      </c>
      <c r="O1157">
        <f t="shared" si="286"/>
        <v>-0.47791814399999999</v>
      </c>
      <c r="P1157">
        <f t="shared" si="286"/>
        <v>-0.49894654233600005</v>
      </c>
      <c r="Q1157">
        <f t="shared" si="286"/>
        <v>-0.52090019019878397</v>
      </c>
      <c r="R1157">
        <f t="shared" si="286"/>
        <v>-0.5438197985675306</v>
      </c>
      <c r="S1157">
        <f t="shared" si="286"/>
        <v>-0.56774786970450197</v>
      </c>
      <c r="T1157">
        <f t="shared" si="286"/>
        <v>-0.59272877597150009</v>
      </c>
      <c r="U1157">
        <f t="shared" si="286"/>
        <v>-0.61880884211424614</v>
      </c>
      <c r="V1157">
        <f t="shared" si="286"/>
        <v>-0.64603643116727294</v>
      </c>
      <c r="W1157">
        <f t="shared" si="286"/>
        <v>-0.67446203413863282</v>
      </c>
      <c r="X1157">
        <f t="shared" si="286"/>
        <v>-0.70413836364073301</v>
      </c>
      <c r="Y1157">
        <f t="shared" si="286"/>
        <v>-0.73512045164092488</v>
      </c>
      <c r="Z1157">
        <f t="shared" si="286"/>
        <v>-0.76746575151312568</v>
      </c>
      <c r="AA1157">
        <f t="shared" si="286"/>
        <v>-0.80123424457970316</v>
      </c>
      <c r="AB1157">
        <f t="shared" si="286"/>
        <v>-0.83648855134121014</v>
      </c>
      <c r="AC1157">
        <f t="shared" si="286"/>
        <v>-0.87329404760022333</v>
      </c>
      <c r="AD1157">
        <f t="shared" si="286"/>
        <v>-0.91171898569463306</v>
      </c>
      <c r="AE1157">
        <f t="shared" si="286"/>
        <v>-0.95183462106519712</v>
      </c>
    </row>
    <row r="1159" spans="1:31" x14ac:dyDescent="0.45">
      <c r="A1159" t="s">
        <v>1639</v>
      </c>
      <c r="B1159" t="s">
        <v>1464</v>
      </c>
      <c r="C1159" t="s">
        <v>1359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1639</v>
      </c>
      <c r="B1160" t="s">
        <v>1464</v>
      </c>
      <c r="C1160" t="s">
        <v>1359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1639</v>
      </c>
      <c r="B1161" t="s">
        <v>1464</v>
      </c>
      <c r="C1161" t="s">
        <v>1359</v>
      </c>
      <c r="D1161">
        <v>2</v>
      </c>
      <c r="E1161" t="s">
        <v>1161</v>
      </c>
      <c r="F1161">
        <f>MAX(MAX(L1161:AE1161),-MIN(L1161:AE1161))</f>
        <v>0</v>
      </c>
      <c r="I1161" t="s">
        <v>1492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1640</v>
      </c>
      <c r="B1163" t="s">
        <v>1464</v>
      </c>
      <c r="C1163" t="s">
        <v>1363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1640</v>
      </c>
      <c r="B1164" t="s">
        <v>1464</v>
      </c>
      <c r="C1164" t="s">
        <v>1363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14.692706044200628</v>
      </c>
      <c r="M1164">
        <f>IF(ISBLANK(Mitigation_Industry!M732),"",Mitigation_Industry!M732)</f>
        <v>15.177565343659246</v>
      </c>
      <c r="N1164">
        <f>IF(ISBLANK(Mitigation_Industry!N732),"",Mitigation_Industry!N732)</f>
        <v>15.678424999999999</v>
      </c>
      <c r="O1164">
        <f>IF(ISBLANK(Mitigation_Industry!O732),"",Mitigation_Industry!O732)</f>
        <v>16.195813024999996</v>
      </c>
      <c r="P1164">
        <f>IF(ISBLANK(Mitigation_Industry!P732),"",Mitigation_Industry!P732)</f>
        <v>16.730274854824994</v>
      </c>
      <c r="Q1164">
        <f>IF(ISBLANK(Mitigation_Industry!Q732),"",Mitigation_Industry!Q732)</f>
        <v>17.282373925034218</v>
      </c>
      <c r="R1164">
        <f>IF(ISBLANK(Mitigation_Industry!R732),"",Mitigation_Industry!R732)</f>
        <v>17.852692264560343</v>
      </c>
      <c r="S1164">
        <f>IF(ISBLANK(Mitigation_Industry!S732),"",Mitigation_Industry!S732)</f>
        <v>18.441831109290838</v>
      </c>
      <c r="T1164">
        <f>IF(ISBLANK(Mitigation_Industry!T732),"",Mitigation_Industry!T732)</f>
        <v>19.050411535897432</v>
      </c>
      <c r="U1164">
        <f>IF(ISBLANK(Mitigation_Industry!U732),"",Mitigation_Industry!U732)</f>
        <v>19.679075116582045</v>
      </c>
      <c r="V1164">
        <f>IF(ISBLANK(Mitigation_Industry!V732),"",Mitigation_Industry!V732)</f>
        <v>20.328484595429249</v>
      </c>
      <c r="W1164">
        <f>IF(ISBLANK(Mitigation_Industry!W732),"",Mitigation_Industry!W732)</f>
        <v>20.999324587078412</v>
      </c>
      <c r="X1164">
        <f>IF(ISBLANK(Mitigation_Industry!X732),"",Mitigation_Industry!X732)</f>
        <v>21.692302298451992</v>
      </c>
      <c r="Y1164">
        <f>IF(ISBLANK(Mitigation_Industry!Y732),"",Mitigation_Industry!Y732)</f>
        <v>22.40814827430091</v>
      </c>
      <c r="Z1164">
        <f>IF(ISBLANK(Mitigation_Industry!Z732),"",Mitigation_Industry!Z732)</f>
        <v>23.147617167352838</v>
      </c>
      <c r="AA1164">
        <f>IF(ISBLANK(Mitigation_Industry!AA732),"",Mitigation_Industry!AA732)</f>
        <v>23.911488533875481</v>
      </c>
      <c r="AB1164">
        <f>IF(ISBLANK(Mitigation_Industry!AB732),"",Mitigation_Industry!AB732)</f>
        <v>24.700567655493362</v>
      </c>
      <c r="AC1164">
        <f>IF(ISBLANK(Mitigation_Industry!AC732),"",Mitigation_Industry!AC732)</f>
        <v>25.515686388124642</v>
      </c>
      <c r="AD1164">
        <f>IF(ISBLANK(Mitigation_Industry!AD732),"",Mitigation_Industry!AD732)</f>
        <v>26.357704038932756</v>
      </c>
      <c r="AE1164">
        <f>IF(ISBLANK(Mitigation_Industry!AE732),"",Mitigation_Industry!AE732)</f>
        <v>27.227508272217527</v>
      </c>
    </row>
    <row r="1165" spans="1:31" x14ac:dyDescent="0.45">
      <c r="A1165" t="s">
        <v>1640</v>
      </c>
      <c r="B1165" t="s">
        <v>1464</v>
      </c>
      <c r="C1165" t="s">
        <v>1363</v>
      </c>
      <c r="D1165">
        <v>2</v>
      </c>
      <c r="E1165" t="s">
        <v>1161</v>
      </c>
      <c r="F1165">
        <f>MAX(MAX(L1165:AE1165),-MIN(L1165:AE1165))</f>
        <v>2.1940924958231562</v>
      </c>
      <c r="I1165" t="s">
        <v>1492</v>
      </c>
      <c r="K1165">
        <f t="shared" ref="K1165:AE1165" si="288">IF(ISNUMBER(K1163),IF(ISNUMBER(K1164),K1164-K1163,999999),0)</f>
        <v>0</v>
      </c>
      <c r="L1165">
        <f t="shared" si="288"/>
        <v>1.183992150607871</v>
      </c>
      <c r="M1165">
        <f t="shared" si="288"/>
        <v>1.2230638915779295</v>
      </c>
      <c r="N1165">
        <f t="shared" si="288"/>
        <v>1.2634250000000034</v>
      </c>
      <c r="O1165">
        <f t="shared" si="288"/>
        <v>1.3051180250000023</v>
      </c>
      <c r="P1165">
        <f t="shared" si="288"/>
        <v>1.3481869198250003</v>
      </c>
      <c r="Q1165">
        <f t="shared" si="288"/>
        <v>1.3926770881792265</v>
      </c>
      <c r="R1165">
        <f t="shared" si="288"/>
        <v>1.4386354320891392</v>
      </c>
      <c r="S1165">
        <f t="shared" si="288"/>
        <v>1.4861104013480855</v>
      </c>
      <c r="T1165">
        <f t="shared" si="288"/>
        <v>1.5351520445925679</v>
      </c>
      <c r="U1165">
        <f t="shared" si="288"/>
        <v>1.5858120620641216</v>
      </c>
      <c r="V1165">
        <f t="shared" si="288"/>
        <v>1.6381438601122369</v>
      </c>
      <c r="W1165">
        <f t="shared" si="288"/>
        <v>1.6922026074959398</v>
      </c>
      <c r="X1165">
        <f t="shared" si="288"/>
        <v>1.7480452935432993</v>
      </c>
      <c r="Y1165">
        <f t="shared" si="288"/>
        <v>1.8057307882302318</v>
      </c>
      <c r="Z1165">
        <f t="shared" si="288"/>
        <v>1.8653199042418294</v>
      </c>
      <c r="AA1165">
        <f t="shared" si="288"/>
        <v>1.92687546108181</v>
      </c>
      <c r="AB1165">
        <f t="shared" si="288"/>
        <v>1.9904623512974986</v>
      </c>
      <c r="AC1165">
        <f t="shared" si="288"/>
        <v>2.0561476088903206</v>
      </c>
      <c r="AD1165">
        <f t="shared" si="288"/>
        <v>2.1240004799836996</v>
      </c>
      <c r="AE1165">
        <f t="shared" si="288"/>
        <v>2.1940924958231562</v>
      </c>
    </row>
    <row r="1167" spans="1:31" x14ac:dyDescent="0.45">
      <c r="A1167" t="s">
        <v>1641</v>
      </c>
      <c r="B1167" t="s">
        <v>1464</v>
      </c>
      <c r="C1167" t="s">
        <v>1425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1641</v>
      </c>
      <c r="B1168" t="s">
        <v>1464</v>
      </c>
      <c r="C1168" t="s">
        <v>1425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3.3747527008551588</v>
      </c>
      <c r="M1168">
        <f>IF(ISBLANK(Mitigation_Industry!M733),"",Mitigation_Industry!M733)</f>
        <v>3.4489972602739725</v>
      </c>
      <c r="N1168">
        <f>IF(ISBLANK(Mitigation_Industry!N733),"",Mitigation_Industry!N733)</f>
        <v>3.5248751999999999</v>
      </c>
      <c r="O1168">
        <f>IF(ISBLANK(Mitigation_Industry!O733),"",Mitigation_Industry!O733)</f>
        <v>3.6024224544000001</v>
      </c>
      <c r="P1168">
        <f>IF(ISBLANK(Mitigation_Industry!P733),"",Mitigation_Industry!P733)</f>
        <v>3.6816757483967999</v>
      </c>
      <c r="Q1168">
        <f>IF(ISBLANK(Mitigation_Industry!Q733),"",Mitigation_Industry!Q733)</f>
        <v>3.7626726148615299</v>
      </c>
      <c r="R1168">
        <f>IF(ISBLANK(Mitigation_Industry!R733),"",Mitigation_Industry!R733)</f>
        <v>3.8454514123884831</v>
      </c>
      <c r="S1168">
        <f>IF(ISBLANK(Mitigation_Industry!S733),"",Mitigation_Industry!S733)</f>
        <v>3.9300513434610296</v>
      </c>
      <c r="T1168">
        <f>IF(ISBLANK(Mitigation_Industry!T733),"",Mitigation_Industry!T733)</f>
        <v>4.0165124730171726</v>
      </c>
      <c r="U1168">
        <f>IF(ISBLANK(Mitigation_Industry!U733),"",Mitigation_Industry!U733)</f>
        <v>4.1048757474235504</v>
      </c>
      <c r="V1168">
        <f>IF(ISBLANK(Mitigation_Industry!V733),"",Mitigation_Industry!V733)</f>
        <v>4.1951830138668695</v>
      </c>
      <c r="W1168">
        <f>IF(ISBLANK(Mitigation_Industry!W733),"",Mitigation_Industry!W733)</f>
        <v>4.2874770401719395</v>
      </c>
      <c r="X1168">
        <f>IF(ISBLANK(Mitigation_Industry!X733),"",Mitigation_Industry!X733)</f>
        <v>4.3818015350557227</v>
      </c>
      <c r="Y1168">
        <f>IF(ISBLANK(Mitigation_Industry!Y733),"",Mitigation_Industry!Y733)</f>
        <v>4.4782011688269483</v>
      </c>
      <c r="Z1168">
        <f>IF(ISBLANK(Mitigation_Industry!Z733),"",Mitigation_Industry!Z733)</f>
        <v>4.5767215945411417</v>
      </c>
      <c r="AA1168">
        <f>IF(ISBLANK(Mitigation_Industry!AA733),"",Mitigation_Industry!AA733)</f>
        <v>4.6774094696210469</v>
      </c>
      <c r="AB1168">
        <f>IF(ISBLANK(Mitigation_Industry!AB733),"",Mitigation_Industry!AB733)</f>
        <v>4.7803124779527089</v>
      </c>
      <c r="AC1168">
        <f>IF(ISBLANK(Mitigation_Industry!AC733),"",Mitigation_Industry!AC733)</f>
        <v>4.8854793524676694</v>
      </c>
      <c r="AD1168">
        <f>IF(ISBLANK(Mitigation_Industry!AD733),"",Mitigation_Industry!AD733)</f>
        <v>4.9929598982219581</v>
      </c>
      <c r="AE1168">
        <f>IF(ISBLANK(Mitigation_Industry!AE733),"",Mitigation_Industry!AE733)</f>
        <v>5.1028050159828409</v>
      </c>
    </row>
    <row r="1169" spans="1:31" x14ac:dyDescent="0.45">
      <c r="A1169" t="s">
        <v>1641</v>
      </c>
      <c r="B1169" t="s">
        <v>1464</v>
      </c>
      <c r="C1169" t="s">
        <v>1425</v>
      </c>
      <c r="D1169">
        <v>2</v>
      </c>
      <c r="E1169" t="s">
        <v>1161</v>
      </c>
      <c r="F1169">
        <f>MAX(MAX(L1169:AE1169),-MIN(L1169:AE1169))</f>
        <v>0.3189253134989265</v>
      </c>
      <c r="I1169" t="s">
        <v>1492</v>
      </c>
      <c r="K1169">
        <f t="shared" ref="K1169:AE1169" si="289">IF(ISNUMBER(K1167),IF(ISNUMBER(K1168),K1168-K1167,999999),0)</f>
        <v>0</v>
      </c>
      <c r="L1169">
        <f t="shared" si="289"/>
        <v>0.21092204380344715</v>
      </c>
      <c r="M1169">
        <f t="shared" si="289"/>
        <v>0.21556232876712267</v>
      </c>
      <c r="N1169">
        <f t="shared" si="289"/>
        <v>0.2203046999999998</v>
      </c>
      <c r="O1169">
        <f t="shared" si="289"/>
        <v>0.22515140339999995</v>
      </c>
      <c r="P1169">
        <f t="shared" si="289"/>
        <v>0.23010473427479994</v>
      </c>
      <c r="Q1169">
        <f t="shared" si="289"/>
        <v>0.23516703842884601</v>
      </c>
      <c r="R1169">
        <f t="shared" si="289"/>
        <v>0.24034071327427986</v>
      </c>
      <c r="S1169">
        <f t="shared" si="289"/>
        <v>0.24562820896631399</v>
      </c>
      <c r="T1169">
        <f t="shared" si="289"/>
        <v>0.25103202956357329</v>
      </c>
      <c r="U1169">
        <f t="shared" si="289"/>
        <v>0.25655473421397179</v>
      </c>
      <c r="V1169">
        <f t="shared" si="289"/>
        <v>0.26219893836668007</v>
      </c>
      <c r="W1169">
        <f t="shared" si="289"/>
        <v>0.26796731501074511</v>
      </c>
      <c r="X1169">
        <f t="shared" si="289"/>
        <v>0.27386259594098217</v>
      </c>
      <c r="Y1169">
        <f t="shared" si="289"/>
        <v>0.27988757305168388</v>
      </c>
      <c r="Z1169">
        <f t="shared" si="289"/>
        <v>0.28604509965882041</v>
      </c>
      <c r="AA1169">
        <f t="shared" si="289"/>
        <v>0.29233809185131499</v>
      </c>
      <c r="AB1169">
        <f t="shared" si="289"/>
        <v>0.29876952987204319</v>
      </c>
      <c r="AC1169">
        <f t="shared" si="289"/>
        <v>0.30534245952922845</v>
      </c>
      <c r="AD1169">
        <f t="shared" si="289"/>
        <v>0.31205999363887216</v>
      </c>
      <c r="AE1169">
        <f t="shared" si="289"/>
        <v>0.3189253134989265</v>
      </c>
    </row>
    <row r="1171" spans="1:31" x14ac:dyDescent="0.45">
      <c r="A1171" t="s">
        <v>1642</v>
      </c>
      <c r="B1171" t="s">
        <v>1464</v>
      </c>
      <c r="C1171" t="s">
        <v>1373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1642</v>
      </c>
      <c r="B1172" t="s">
        <v>1464</v>
      </c>
      <c r="C1172" t="s">
        <v>1373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0.34273185493658498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0.38212807844669694</v>
      </c>
      <c r="X1172">
        <f>IF(ISBLANK(Mitigation_Industry!X734),"",Mitigation_Industry!X734)</f>
        <v>0.39053489617252429</v>
      </c>
      <c r="Y1172">
        <f>IF(ISBLANK(Mitigation_Industry!Y734),"",Mitigation_Industry!Y734)</f>
        <v>0.39912666388831985</v>
      </c>
      <c r="Z1172">
        <f>IF(ISBLANK(Mitigation_Industry!Z734),"",Mitigation_Industry!Z734)</f>
        <v>0.4079074504938629</v>
      </c>
      <c r="AA1172">
        <f>IF(ISBLANK(Mitigation_Industry!AA734),"",Mitigation_Industry!AA734)</f>
        <v>0.41688141440472787</v>
      </c>
      <c r="AB1172">
        <f>IF(ISBLANK(Mitigation_Industry!AB734),"",Mitigation_Industry!AB734)</f>
        <v>0.42605280552163183</v>
      </c>
      <c r="AC1172">
        <f>IF(ISBLANK(Mitigation_Industry!AC734),"",Mitigation_Industry!AC734)</f>
        <v>0.43542596724310778</v>
      </c>
      <c r="AD1172">
        <f>IF(ISBLANK(Mitigation_Industry!AD734),"",Mitigation_Industry!AD734)</f>
        <v>0.44500533852245616</v>
      </c>
      <c r="AE1172">
        <f>IF(ISBLANK(Mitigation_Industry!AE734),"",Mitigation_Industry!AE734)</f>
        <v>0.45479545596995019</v>
      </c>
    </row>
    <row r="1173" spans="1:31" x14ac:dyDescent="0.45">
      <c r="A1173" t="s">
        <v>1642</v>
      </c>
      <c r="B1173" t="s">
        <v>1464</v>
      </c>
      <c r="C1173" t="s">
        <v>1373</v>
      </c>
      <c r="D1173">
        <v>2</v>
      </c>
      <c r="E1173" t="s">
        <v>1161</v>
      </c>
      <c r="F1173">
        <f>MAX(MAX(L1173:AE1173),-MIN(L1173:AE1173))</f>
        <v>2.2204460492503131E-16</v>
      </c>
      <c r="I1173" t="s">
        <v>1492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0</v>
      </c>
      <c r="S1173">
        <f t="shared" si="290"/>
        <v>-5.5511151231257827E-17</v>
      </c>
      <c r="T1173">
        <f t="shared" si="290"/>
        <v>-1.1102230246251565E-16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-1.1102230246251565E-16</v>
      </c>
      <c r="X1173">
        <f t="shared" si="290"/>
        <v>-1.1102230246251565E-16</v>
      </c>
      <c r="Y1173">
        <f t="shared" si="290"/>
        <v>-5.5511151231257827E-17</v>
      </c>
      <c r="Z1173">
        <f t="shared" si="290"/>
        <v>-1.1102230246251565E-16</v>
      </c>
      <c r="AA1173">
        <f t="shared" si="290"/>
        <v>-1.1102230246251565E-16</v>
      </c>
      <c r="AB1173">
        <f t="shared" si="290"/>
        <v>-2.2204460492503131E-16</v>
      </c>
      <c r="AC1173">
        <f t="shared" si="290"/>
        <v>-2.2204460492503131E-16</v>
      </c>
      <c r="AD1173">
        <f t="shared" si="290"/>
        <v>-1.6653345369377348E-16</v>
      </c>
      <c r="AE1173">
        <f t="shared" si="290"/>
        <v>-2.2204460492503131E-16</v>
      </c>
    </row>
    <row r="1175" spans="1:31" x14ac:dyDescent="0.45">
      <c r="A1175" t="s">
        <v>1643</v>
      </c>
      <c r="B1175" t="s">
        <v>1464</v>
      </c>
      <c r="C1175" t="s">
        <v>1378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1643</v>
      </c>
      <c r="B1176" t="s">
        <v>1464</v>
      </c>
      <c r="C1176" t="s">
        <v>1378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7.031466287999999E-2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7.6709558308196563E-2</v>
      </c>
      <c r="U1176">
        <f>IF(ISBLANK(Mitigation_Industry!U735),"",Mitigation_Industry!U735)</f>
        <v>7.8397168590976896E-2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8.1884588238577902E-2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9.1297029754635384E-2</v>
      </c>
      <c r="AC1176">
        <f>IF(ISBLANK(Mitigation_Industry!AC735),"",Mitigation_Industry!AC735)</f>
        <v>9.3305564409237374E-2</v>
      </c>
      <c r="AD1176">
        <f>IF(ISBLANK(Mitigation_Industry!AD735),"",Mitigation_Industry!AD735)</f>
        <v>9.5358286826240604E-2</v>
      </c>
      <c r="AE1176">
        <f>IF(ISBLANK(Mitigation_Industry!AE735),"",Mitigation_Industry!AE735)</f>
        <v>9.74561691364179E-2</v>
      </c>
    </row>
    <row r="1177" spans="1:31" x14ac:dyDescent="0.45">
      <c r="A1177" t="s">
        <v>1643</v>
      </c>
      <c r="B1177" t="s">
        <v>1464</v>
      </c>
      <c r="C1177" t="s">
        <v>1378</v>
      </c>
      <c r="D1177">
        <v>2</v>
      </c>
      <c r="E1177" t="s">
        <v>1161</v>
      </c>
      <c r="F1177">
        <f>MAX(MAX(L1177:AE1177),-MIN(L1177:AE1177))</f>
        <v>2.7755575615628914E-17</v>
      </c>
      <c r="I1177" t="s">
        <v>1492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-2.7755575615628914E-17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-1.3877787807814457E-17</v>
      </c>
      <c r="U1177">
        <f t="shared" si="291"/>
        <v>-2.7755575615628914E-17</v>
      </c>
      <c r="V1177">
        <f t="shared" si="291"/>
        <v>0</v>
      </c>
      <c r="W1177">
        <f t="shared" si="291"/>
        <v>-2.7755575615628914E-17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-2.7755575615628914E-17</v>
      </c>
      <c r="AC1177">
        <f t="shared" si="291"/>
        <v>-2.7755575615628914E-17</v>
      </c>
      <c r="AD1177">
        <f t="shared" si="291"/>
        <v>-2.7755575615628914E-17</v>
      </c>
      <c r="AE1177">
        <f t="shared" si="291"/>
        <v>-2.7755575615628914E-17</v>
      </c>
    </row>
    <row r="1179" spans="1:31" x14ac:dyDescent="0.45">
      <c r="A1179" t="s">
        <v>1644</v>
      </c>
      <c r="B1179" t="s">
        <v>1464</v>
      </c>
      <c r="C1179" t="s">
        <v>1383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1644</v>
      </c>
      <c r="B1180" t="s">
        <v>1464</v>
      </c>
      <c r="C1180" t="s">
        <v>1383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3.3266099144224071E-2</v>
      </c>
      <c r="M1180">
        <f>IF(ISBLANK(Mitigation_Industry!M736),"",Mitigation_Industry!M736)</f>
        <v>3.5095734597156404E-2</v>
      </c>
      <c r="N1180">
        <f>IF(ISBLANK(Mitigation_Industry!N736),"",Mitigation_Industry!N736)</f>
        <v>3.7026000000000003E-2</v>
      </c>
      <c r="O1180">
        <f>IF(ISBLANK(Mitigation_Industry!O736),"",Mitigation_Industry!O736)</f>
        <v>3.9062430000000002E-2</v>
      </c>
      <c r="P1180">
        <f>IF(ISBLANK(Mitigation_Industry!P736),"",Mitigation_Industry!P736)</f>
        <v>4.1210863649999999E-2</v>
      </c>
      <c r="Q1180">
        <f>IF(ISBLANK(Mitigation_Industry!Q736),"",Mitigation_Industry!Q736)</f>
        <v>4.3477461150749991E-2</v>
      </c>
      <c r="R1180">
        <f>IF(ISBLANK(Mitigation_Industry!R736),"",Mitigation_Industry!R736)</f>
        <v>4.5868721514041248E-2</v>
      </c>
      <c r="S1180">
        <f>IF(ISBLANK(Mitigation_Industry!S736),"",Mitigation_Industry!S736)</f>
        <v>4.8391501197313509E-2</v>
      </c>
      <c r="T1180">
        <f>IF(ISBLANK(Mitigation_Industry!T736),"",Mitigation_Industry!T736)</f>
        <v>5.105303376316575E-2</v>
      </c>
      <c r="U1180">
        <f>IF(ISBLANK(Mitigation_Industry!U736),"",Mitigation_Industry!U736)</f>
        <v>5.3860950620139861E-2</v>
      </c>
      <c r="V1180">
        <f>IF(ISBLANK(Mitigation_Industry!V736),"",Mitigation_Industry!V736)</f>
        <v>5.6823302904247558E-2</v>
      </c>
      <c r="W1180">
        <f>IF(ISBLANK(Mitigation_Industry!W736),"",Mitigation_Industry!W736)</f>
        <v>5.9948584563981173E-2</v>
      </c>
      <c r="X1180">
        <f>IF(ISBLANK(Mitigation_Industry!X736),"",Mitigation_Industry!X736)</f>
        <v>6.3245756715000129E-2</v>
      </c>
      <c r="Y1180">
        <f>IF(ISBLANK(Mitigation_Industry!Y736),"",Mitigation_Industry!Y736)</f>
        <v>6.6724273334325138E-2</v>
      </c>
      <c r="Z1180">
        <f>IF(ISBLANK(Mitigation_Industry!Z736),"",Mitigation_Industry!Z736)</f>
        <v>7.039410836771301E-2</v>
      </c>
      <c r="AA1180">
        <f>IF(ISBLANK(Mitigation_Industry!AA736),"",Mitigation_Industry!AA736)</f>
        <v>7.426578432793722E-2</v>
      </c>
      <c r="AB1180">
        <f>IF(ISBLANK(Mitigation_Industry!AB736),"",Mitigation_Industry!AB736)</f>
        <v>7.8350402465973787E-2</v>
      </c>
      <c r="AC1180">
        <f>IF(ISBLANK(Mitigation_Industry!AC736),"",Mitigation_Industry!AC736)</f>
        <v>8.2659674601602312E-2</v>
      </c>
      <c r="AD1180">
        <f>IF(ISBLANK(Mitigation_Industry!AD736),"",Mitigation_Industry!AD736)</f>
        <v>8.7205956704690446E-2</v>
      </c>
      <c r="AE1180">
        <f>IF(ISBLANK(Mitigation_Industry!AE736),"",Mitigation_Industry!AE736)</f>
        <v>9.2002284323448424E-2</v>
      </c>
    </row>
    <row r="1181" spans="1:31" x14ac:dyDescent="0.45">
      <c r="A1181" t="s">
        <v>1644</v>
      </c>
      <c r="B1181" t="s">
        <v>1464</v>
      </c>
      <c r="C1181" t="s">
        <v>1383</v>
      </c>
      <c r="D1181">
        <v>2</v>
      </c>
      <c r="E1181" t="s">
        <v>1161</v>
      </c>
      <c r="F1181">
        <f>MAX(MAX(L1181:AE1181),-MIN(L1181:AE1181))</f>
        <v>2.4286456192334688E-2</v>
      </c>
      <c r="I1181" t="s">
        <v>1492</v>
      </c>
      <c r="K1181">
        <f t="shared" ref="K1181:AE1181" si="292">IF(ISNUMBER(K1179),IF(ISNUMBER(K1180),K1180-K1179,999999),0)</f>
        <v>0</v>
      </c>
      <c r="L1181">
        <f t="shared" si="292"/>
        <v>-8.7814739111879841E-3</v>
      </c>
      <c r="M1181">
        <f t="shared" si="292"/>
        <v>-9.2644549763033074E-3</v>
      </c>
      <c r="N1181">
        <f t="shared" si="292"/>
        <v>-9.773999999999991E-3</v>
      </c>
      <c r="O1181">
        <f t="shared" si="292"/>
        <v>-1.0311569999999999E-2</v>
      </c>
      <c r="P1181">
        <f t="shared" si="292"/>
        <v>-1.0878706349999996E-2</v>
      </c>
      <c r="Q1181">
        <f t="shared" si="292"/>
        <v>-1.1477035199250002E-2</v>
      </c>
      <c r="R1181">
        <f t="shared" si="292"/>
        <v>-1.210827213520875E-2</v>
      </c>
      <c r="S1181">
        <f t="shared" si="292"/>
        <v>-1.2774227102645232E-2</v>
      </c>
      <c r="T1181">
        <f t="shared" si="292"/>
        <v>-1.3476809593290714E-2</v>
      </c>
      <c r="U1181">
        <f t="shared" si="292"/>
        <v>-1.4218034120921708E-2</v>
      </c>
      <c r="V1181">
        <f t="shared" si="292"/>
        <v>-1.5000025997572386E-2</v>
      </c>
      <c r="W1181">
        <f t="shared" si="292"/>
        <v>-1.5825027427438874E-2</v>
      </c>
      <c r="X1181">
        <f t="shared" si="292"/>
        <v>-1.6695403935948025E-2</v>
      </c>
      <c r="Y1181">
        <f t="shared" si="292"/>
        <v>-1.7613651152425164E-2</v>
      </c>
      <c r="Z1181">
        <f t="shared" si="292"/>
        <v>-1.8582401965808557E-2</v>
      </c>
      <c r="AA1181">
        <f t="shared" si="292"/>
        <v>-1.960443407392802E-2</v>
      </c>
      <c r="AB1181">
        <f t="shared" si="292"/>
        <v>-2.0682677947994041E-2</v>
      </c>
      <c r="AC1181">
        <f t="shared" si="292"/>
        <v>-2.1820225235133744E-2</v>
      </c>
      <c r="AD1181">
        <f t="shared" si="292"/>
        <v>-2.3020337623066073E-2</v>
      </c>
      <c r="AE1181">
        <f t="shared" si="292"/>
        <v>-2.4286456192334688E-2</v>
      </c>
    </row>
    <row r="1183" spans="1:31" x14ac:dyDescent="0.45">
      <c r="A1183" t="s">
        <v>1645</v>
      </c>
      <c r="B1183" t="s">
        <v>1464</v>
      </c>
      <c r="C1183" t="s">
        <v>1469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1645</v>
      </c>
      <c r="B1184" t="s">
        <v>1464</v>
      </c>
      <c r="C1184" t="s">
        <v>1469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21.335371186955928</v>
      </c>
      <c r="M1184">
        <f>IF(ISBLANK(Mitigation_Industry!M737),"",Mitigation_Industry!M737)</f>
        <v>22.03059399488933</v>
      </c>
      <c r="N1184">
        <f>IF(ISBLANK(Mitigation_Industry!N737),"",Mitigation_Industry!N737)</f>
        <v>22.749283126999998</v>
      </c>
      <c r="O1184">
        <f>IF(ISBLANK(Mitigation_Industry!O737),"",Mitigation_Industry!O737)</f>
        <v>23.492256381187996</v>
      </c>
      <c r="P1184">
        <f>IF(ISBLANK(Mitigation_Industry!P737),"",Mitigation_Industry!P737)</f>
        <v>24.260360915098467</v>
      </c>
      <c r="Q1184">
        <f>IF(ISBLANK(Mitigation_Industry!Q737),"",Mitigation_Industry!Q737)</f>
        <v>25.054474330356101</v>
      </c>
      <c r="R1184">
        <f>IF(ISBLANK(Mitigation_Industry!R737),"",Mitigation_Industry!R737)</f>
        <v>25.875505797940995</v>
      </c>
      <c r="S1184">
        <f>IF(ISBLANK(Mitigation_Industry!S737),"",Mitigation_Industry!S737)</f>
        <v>26.724397226308188</v>
      </c>
      <c r="T1184">
        <f>IF(ISBLANK(Mitigation_Industry!T737),"",Mitigation_Industry!T737)</f>
        <v>27.60212447391709</v>
      </c>
      <c r="U1184">
        <f>IF(ISBLANK(Mitigation_Industry!U737),"",Mitigation_Industry!U737)</f>
        <v>28.509698607903836</v>
      </c>
      <c r="V1184">
        <f>IF(ISBLANK(Mitigation_Industry!V737),"",Mitigation_Industry!V737)</f>
        <v>29.448167210698362</v>
      </c>
      <c r="W1184">
        <f>IF(ISBLANK(Mitigation_Industry!W737),"",Mitigation_Industry!W737)</f>
        <v>30.418615736460836</v>
      </c>
      <c r="X1184">
        <f>IF(ISBLANK(Mitigation_Industry!X737),"",Mitigation_Industry!X737)</f>
        <v>31.422168919286591</v>
      </c>
      <c r="Y1184">
        <f>IF(ISBLANK(Mitigation_Industry!Y737),"",Mitigation_Industry!Y737)</f>
        <v>32.459992235207118</v>
      </c>
      <c r="Z1184">
        <f>IF(ISBLANK(Mitigation_Industry!Z737),"",Mitigation_Industry!Z737)</f>
        <v>33.533293420096108</v>
      </c>
      <c r="AA1184">
        <f>IF(ISBLANK(Mitigation_Industry!AA737),"",Mitigation_Industry!AA737)</f>
        <v>34.643324045674106</v>
      </c>
      <c r="AB1184">
        <f>IF(ISBLANK(Mitigation_Industry!AB737),"",Mitigation_Industry!AB737)</f>
        <v>35.791381155893689</v>
      </c>
      <c r="AC1184">
        <f>IF(ISBLANK(Mitigation_Industry!AC737),"",Mitigation_Industry!AC737)</f>
        <v>36.978808966078674</v>
      </c>
      <c r="AD1184">
        <f>IF(ISBLANK(Mitigation_Industry!AD737),"",Mitigation_Industry!AD737)</f>
        <v>38.207000627286739</v>
      </c>
      <c r="AE1184">
        <f>IF(ISBLANK(Mitigation_Industry!AE737),"",Mitigation_Industry!AE737)</f>
        <v>39.477400058464283</v>
      </c>
    </row>
    <row r="1185" spans="1:31" x14ac:dyDescent="0.45">
      <c r="A1185" t="s">
        <v>1645</v>
      </c>
      <c r="B1185" t="s">
        <v>1464</v>
      </c>
      <c r="C1185" t="s">
        <v>1469</v>
      </c>
      <c r="D1185">
        <v>2</v>
      </c>
      <c r="E1185" t="s">
        <v>1161</v>
      </c>
      <c r="F1185">
        <f>MAX(MAX(L1185:AE1185),-MIN(L1185:AE1185))</f>
        <v>0.40936552686300232</v>
      </c>
      <c r="I1185" t="s">
        <v>1492</v>
      </c>
      <c r="K1185">
        <f t="shared" ref="K1185:AE1185" si="293">IF(ISNUMBER(K1183),IF(ISNUMBER(K1184),K1184-K1183,999999),0)</f>
        <v>0</v>
      </c>
      <c r="L1185">
        <f t="shared" si="293"/>
        <v>0.40912482921109827</v>
      </c>
      <c r="M1185">
        <f t="shared" si="293"/>
        <v>0.40936552686300232</v>
      </c>
      <c r="N1185">
        <f t="shared" si="293"/>
        <v>0.40907962700000056</v>
      </c>
      <c r="O1185">
        <f t="shared" si="293"/>
        <v>0.408227238188001</v>
      </c>
      <c r="P1185">
        <f t="shared" si="293"/>
        <v>0.40676618024847144</v>
      </c>
      <c r="Q1185">
        <f t="shared" si="293"/>
        <v>0.40465186613743143</v>
      </c>
      <c r="R1185">
        <f t="shared" si="293"/>
        <v>0.40183717804488595</v>
      </c>
      <c r="S1185">
        <f t="shared" si="293"/>
        <v>0.39827233744036405</v>
      </c>
      <c r="T1185">
        <f t="shared" si="293"/>
        <v>0.39390476877751723</v>
      </c>
      <c r="U1185">
        <f t="shared" si="293"/>
        <v>0.38867895655728546</v>
      </c>
      <c r="V1185">
        <f t="shared" si="293"/>
        <v>0.38253629543505596</v>
      </c>
      <c r="W1185">
        <f t="shared" si="293"/>
        <v>0.37541493304291862</v>
      </c>
      <c r="X1185">
        <f t="shared" si="293"/>
        <v>0.3672496051824119</v>
      </c>
      <c r="Y1185">
        <f t="shared" si="293"/>
        <v>0.35797146302746086</v>
      </c>
      <c r="Z1185">
        <f t="shared" si="293"/>
        <v>0.34750789196033338</v>
      </c>
      <c r="AA1185">
        <f t="shared" si="293"/>
        <v>0.33578232164580157</v>
      </c>
      <c r="AB1185">
        <f t="shared" si="293"/>
        <v>0.32271402693076112</v>
      </c>
      <c r="AC1185">
        <f t="shared" si="293"/>
        <v>0.30821791913685104</v>
      </c>
      <c r="AD1185">
        <f t="shared" si="293"/>
        <v>0.29220432729383106</v>
      </c>
      <c r="AE1185">
        <f t="shared" si="293"/>
        <v>0.27457876884102461</v>
      </c>
    </row>
    <row r="1187" spans="1:31" x14ac:dyDescent="0.45">
      <c r="A1187" t="s">
        <v>1646</v>
      </c>
      <c r="B1187" t="s">
        <v>1470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1646</v>
      </c>
      <c r="B1188" t="s">
        <v>1470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0.17734546065090059</v>
      </c>
      <c r="M1188">
        <f>IF(ISBLANK(Mitigation_Industry!M740),"",Mitigation_Industry!M740)</f>
        <v>0.18514866091954021</v>
      </c>
      <c r="N1188">
        <f>IF(ISBLANK(Mitigation_Industry!N740),"",Mitigation_Industry!N740)</f>
        <v>0.193295202</v>
      </c>
      <c r="O1188">
        <f>IF(ISBLANK(Mitigation_Industry!O740),"",Mitigation_Industry!O740)</f>
        <v>0.20180019088800003</v>
      </c>
      <c r="P1188">
        <f>IF(ISBLANK(Mitigation_Industry!P740),"",Mitigation_Industry!P740)</f>
        <v>0.21067939928707202</v>
      </c>
      <c r="Q1188">
        <f>IF(ISBLANK(Mitigation_Industry!Q740),"",Mitigation_Industry!Q740)</f>
        <v>0.21994929285570322</v>
      </c>
      <c r="R1188">
        <f>IF(ISBLANK(Mitigation_Industry!R740),"",Mitigation_Industry!R740)</f>
        <v>0.22962706174135414</v>
      </c>
      <c r="S1188">
        <f>IF(ISBLANK(Mitigation_Industry!S740),"",Mitigation_Industry!S740)</f>
        <v>0.2397306524579737</v>
      </c>
      <c r="T1188">
        <f>IF(ISBLANK(Mitigation_Industry!T740),"",Mitigation_Industry!T740)</f>
        <v>0.25027880116612461</v>
      </c>
      <c r="U1188">
        <f>IF(ISBLANK(Mitigation_Industry!U740),"",Mitigation_Industry!U740)</f>
        <v>0.2612910684174341</v>
      </c>
      <c r="V1188">
        <f>IF(ISBLANK(Mitigation_Industry!V740),"",Mitigation_Industry!V740)</f>
        <v>0.27278787542780114</v>
      </c>
      <c r="W1188">
        <f>IF(ISBLANK(Mitigation_Industry!W740),"",Mitigation_Industry!W740)</f>
        <v>0.28479054194662445</v>
      </c>
      <c r="X1188">
        <f>IF(ISBLANK(Mitigation_Industry!X740),"",Mitigation_Industry!X740)</f>
        <v>0.29732132579227588</v>
      </c>
      <c r="Y1188">
        <f>IF(ISBLANK(Mitigation_Industry!Y740),"",Mitigation_Industry!Y740)</f>
        <v>0.3104034641271361</v>
      </c>
      <c r="Z1188">
        <f>IF(ISBLANK(Mitigation_Industry!Z740),"",Mitigation_Industry!Z740)</f>
        <v>0.32406121654872999</v>
      </c>
      <c r="AA1188">
        <f>IF(ISBLANK(Mitigation_Industry!AA740),"",Mitigation_Industry!AA740)</f>
        <v>0.33831991007687412</v>
      </c>
      <c r="AB1188">
        <f>IF(ISBLANK(Mitigation_Industry!AB740),"",Mitigation_Industry!AB740)</f>
        <v>0.35320598612025667</v>
      </c>
      <c r="AC1188">
        <f>IF(ISBLANK(Mitigation_Industry!AC740),"",Mitigation_Industry!AC740)</f>
        <v>0.36874704950954795</v>
      </c>
      <c r="AD1188">
        <f>IF(ISBLANK(Mitigation_Industry!AD740),"",Mitigation_Industry!AD740)</f>
        <v>0.38497191968796801</v>
      </c>
      <c r="AE1188">
        <f>IF(ISBLANK(Mitigation_Industry!AE740),"",Mitigation_Industry!AE740)</f>
        <v>0.40191068415423858</v>
      </c>
    </row>
    <row r="1189" spans="1:31" x14ac:dyDescent="0.45">
      <c r="A1189" t="s">
        <v>1646</v>
      </c>
      <c r="B1189" t="s">
        <v>1470</v>
      </c>
      <c r="C1189" t="s">
        <v>1350</v>
      </c>
      <c r="D1189">
        <v>2</v>
      </c>
      <c r="E1189" t="s">
        <v>1161</v>
      </c>
      <c r="F1189">
        <f>MAX(MAX(L1189:AE1189),-MIN(L1189:AE1189))</f>
        <v>2.2258041810644391E-2</v>
      </c>
      <c r="I1189" t="s">
        <v>1492</v>
      </c>
      <c r="K1189">
        <f t="shared" ref="K1189:AE1189" si="294">IF(ISNUMBER(K1187),IF(ISNUMBER(K1188),K1188-K1187,999999),0)</f>
        <v>0</v>
      </c>
      <c r="L1189">
        <f t="shared" si="294"/>
        <v>-9.8214922711058472E-3</v>
      </c>
      <c r="M1189">
        <f t="shared" si="294"/>
        <v>-1.0253637931034482E-2</v>
      </c>
      <c r="N1189">
        <f t="shared" si="294"/>
        <v>-1.0704797999999988E-2</v>
      </c>
      <c r="O1189">
        <f t="shared" si="294"/>
        <v>-1.1175809112000001E-2</v>
      </c>
      <c r="P1189">
        <f t="shared" si="294"/>
        <v>-1.1667544712928024E-2</v>
      </c>
      <c r="Q1189">
        <f t="shared" si="294"/>
        <v>-1.2180916680296833E-2</v>
      </c>
      <c r="R1189">
        <f t="shared" si="294"/>
        <v>-1.2716877014229938E-2</v>
      </c>
      <c r="S1189">
        <f t="shared" si="294"/>
        <v>-1.3276419602856082E-2</v>
      </c>
      <c r="T1189">
        <f t="shared" si="294"/>
        <v>-1.386058206538171E-2</v>
      </c>
      <c r="U1189">
        <f t="shared" si="294"/>
        <v>-1.4470447676258491E-2</v>
      </c>
      <c r="V1189">
        <f t="shared" si="294"/>
        <v>-1.5107147374013918E-2</v>
      </c>
      <c r="W1189">
        <f t="shared" si="294"/>
        <v>-1.5771861858470515E-2</v>
      </c>
      <c r="X1189">
        <f t="shared" si="294"/>
        <v>-1.6465823780243249E-2</v>
      </c>
      <c r="Y1189">
        <f t="shared" si="294"/>
        <v>-1.7190320026573891E-2</v>
      </c>
      <c r="Z1189">
        <f t="shared" si="294"/>
        <v>-1.7946694107743244E-2</v>
      </c>
      <c r="AA1189">
        <f t="shared" si="294"/>
        <v>-1.8736348648483947E-2</v>
      </c>
      <c r="AB1189">
        <f t="shared" si="294"/>
        <v>-1.9560747989017191E-2</v>
      </c>
      <c r="AC1189">
        <f t="shared" si="294"/>
        <v>-2.0421420900533893E-2</v>
      </c>
      <c r="AD1189">
        <f t="shared" si="294"/>
        <v>-2.1319963420157462E-2</v>
      </c>
      <c r="AE1189">
        <f t="shared" si="294"/>
        <v>-2.2258041810644391E-2</v>
      </c>
    </row>
    <row r="1191" spans="1:31" x14ac:dyDescent="0.45">
      <c r="A1191" t="s">
        <v>1647</v>
      </c>
      <c r="B1191" t="s">
        <v>1470</v>
      </c>
      <c r="C1191" t="s">
        <v>1355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1647</v>
      </c>
      <c r="B1192" t="s">
        <v>1470</v>
      </c>
      <c r="C1192" t="s">
        <v>1355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0.19368983132954593</v>
      </c>
      <c r="M1192">
        <f>IF(ISBLANK(Mitigation_Industry!M741),"",Mitigation_Industry!M741)</f>
        <v>0.20221218390804596</v>
      </c>
      <c r="N1192">
        <f>IF(ISBLANK(Mitigation_Industry!N741),"",Mitigation_Industry!N741)</f>
        <v>0.21110951999999997</v>
      </c>
      <c r="O1192">
        <f>IF(ISBLANK(Mitigation_Industry!O741),"",Mitigation_Industry!O741)</f>
        <v>0.22039833887999999</v>
      </c>
      <c r="P1192">
        <f>IF(ISBLANK(Mitigation_Industry!P741),"",Mitigation_Industry!P741)</f>
        <v>0.23009586579071997</v>
      </c>
      <c r="Q1192">
        <f>IF(ISBLANK(Mitigation_Industry!Q741),"",Mitigation_Industry!Q741)</f>
        <v>0.24022008388551169</v>
      </c>
      <c r="R1192">
        <f>IF(ISBLANK(Mitigation_Industry!R741),"",Mitigation_Industry!R741)</f>
        <v>0.25078976757647414</v>
      </c>
      <c r="S1192">
        <f>IF(ISBLANK(Mitigation_Industry!S741),"",Mitigation_Industry!S741)</f>
        <v>0.26182451734983908</v>
      </c>
      <c r="T1192">
        <f>IF(ISBLANK(Mitigation_Industry!T741),"",Mitigation_Industry!T741)</f>
        <v>0.27334479611323198</v>
      </c>
      <c r="U1192">
        <f>IF(ISBLANK(Mitigation_Industry!U741),"",Mitigation_Industry!U741)</f>
        <v>0.28537196714221424</v>
      </c>
      <c r="V1192">
        <f>IF(ISBLANK(Mitigation_Industry!V741),"",Mitigation_Industry!V741)</f>
        <v>0.29792833369647159</v>
      </c>
      <c r="W1192">
        <f>IF(ISBLANK(Mitigation_Industry!W741),"",Mitigation_Industry!W741)</f>
        <v>0.31103718037911643</v>
      </c>
      <c r="X1192">
        <f>IF(ISBLANK(Mitigation_Industry!X741),"",Mitigation_Industry!X741)</f>
        <v>0.32472281631579752</v>
      </c>
      <c r="Y1192">
        <f>IF(ISBLANK(Mitigation_Industry!Y741),"",Mitigation_Industry!Y741)</f>
        <v>0.33901062023369266</v>
      </c>
      <c r="Z1192">
        <f>IF(ISBLANK(Mitigation_Industry!Z741),"",Mitigation_Industry!Z741)</f>
        <v>0.35392708752397511</v>
      </c>
      <c r="AA1192">
        <f>IF(ISBLANK(Mitigation_Industry!AA741),"",Mitigation_Industry!AA741)</f>
        <v>0.36949987937502998</v>
      </c>
      <c r="AB1192">
        <f>IF(ISBLANK(Mitigation_Industry!AB741),"",Mitigation_Industry!AB741)</f>
        <v>0.38575787406753137</v>
      </c>
      <c r="AC1192">
        <f>IF(ISBLANK(Mitigation_Industry!AC741),"",Mitigation_Industry!AC741)</f>
        <v>0.40273122052650273</v>
      </c>
      <c r="AD1192">
        <f>IF(ISBLANK(Mitigation_Industry!AD741),"",Mitigation_Industry!AD741)</f>
        <v>0.42045139422966882</v>
      </c>
      <c r="AE1192">
        <f>IF(ISBLANK(Mitigation_Industry!AE741),"",Mitigation_Industry!AE741)</f>
        <v>0.43895125557577425</v>
      </c>
    </row>
    <row r="1193" spans="1:31" x14ac:dyDescent="0.45">
      <c r="A1193" t="s">
        <v>1647</v>
      </c>
      <c r="B1193" t="s">
        <v>1470</v>
      </c>
      <c r="C1193" t="s">
        <v>1355</v>
      </c>
      <c r="D1193">
        <v>2</v>
      </c>
      <c r="E1193" t="s">
        <v>1161</v>
      </c>
      <c r="F1193">
        <f>MAX(MAX(L1193:AE1193),-MIN(L1193:AE1193))</f>
        <v>0.28924464641169795</v>
      </c>
      <c r="I1193" t="s">
        <v>1492</v>
      </c>
      <c r="K1193">
        <f t="shared" ref="K1193:AE1193" si="295">IF(ISNUMBER(K1191),IF(ISNUMBER(K1192),K1192-K1191,999999),0)</f>
        <v>0</v>
      </c>
      <c r="L1193">
        <f t="shared" si="295"/>
        <v>0.12763090676883776</v>
      </c>
      <c r="M1193">
        <f t="shared" si="295"/>
        <v>0.13324666666666665</v>
      </c>
      <c r="N1193">
        <f t="shared" si="295"/>
        <v>0.13910951999999999</v>
      </c>
      <c r="O1193">
        <f t="shared" si="295"/>
        <v>0.14523033887999998</v>
      </c>
      <c r="P1193">
        <f t="shared" si="295"/>
        <v>0.15162047379071997</v>
      </c>
      <c r="Q1193">
        <f t="shared" si="295"/>
        <v>0.15829177463751171</v>
      </c>
      <c r="R1193">
        <f t="shared" si="295"/>
        <v>0.16525661272156214</v>
      </c>
      <c r="S1193">
        <f t="shared" si="295"/>
        <v>0.17252790368131096</v>
      </c>
      <c r="T1193">
        <f t="shared" si="295"/>
        <v>0.18011913144328862</v>
      </c>
      <c r="U1193">
        <f t="shared" si="295"/>
        <v>0.18804437322679335</v>
      </c>
      <c r="V1193">
        <f t="shared" si="295"/>
        <v>0.19631832564877216</v>
      </c>
      <c r="W1193">
        <f t="shared" si="295"/>
        <v>0.20495633197731825</v>
      </c>
      <c r="X1193">
        <f t="shared" si="295"/>
        <v>0.21397441058432021</v>
      </c>
      <c r="Y1193">
        <f t="shared" si="295"/>
        <v>0.22338928465003036</v>
      </c>
      <c r="Z1193">
        <f t="shared" si="295"/>
        <v>0.23321841317463166</v>
      </c>
      <c r="AA1193">
        <f t="shared" si="295"/>
        <v>0.24348002335431543</v>
      </c>
      <c r="AB1193">
        <f t="shared" si="295"/>
        <v>0.25419314438190538</v>
      </c>
      <c r="AC1193">
        <f t="shared" si="295"/>
        <v>0.26537764273470921</v>
      </c>
      <c r="AD1193">
        <f t="shared" si="295"/>
        <v>0.27705425901503639</v>
      </c>
      <c r="AE1193">
        <f t="shared" si="295"/>
        <v>0.28924464641169795</v>
      </c>
    </row>
    <row r="1195" spans="1:31" x14ac:dyDescent="0.45">
      <c r="A1195" t="s">
        <v>1648</v>
      </c>
      <c r="B1195" t="s">
        <v>1470</v>
      </c>
      <c r="C1195" t="s">
        <v>1359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1648</v>
      </c>
      <c r="B1196" t="s">
        <v>1470</v>
      </c>
      <c r="C1196" t="s">
        <v>1359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1648</v>
      </c>
      <c r="B1197" t="s">
        <v>1470</v>
      </c>
      <c r="C1197" t="s">
        <v>1359</v>
      </c>
      <c r="D1197">
        <v>2</v>
      </c>
      <c r="E1197" t="s">
        <v>1161</v>
      </c>
      <c r="F1197">
        <f>MAX(MAX(L1197:AE1197),-MIN(L1197:AE1197))</f>
        <v>0</v>
      </c>
      <c r="I1197" t="s">
        <v>1492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1649</v>
      </c>
      <c r="B1199" t="s">
        <v>1470</v>
      </c>
      <c r="C1199" t="s">
        <v>1363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1649</v>
      </c>
      <c r="B1200" t="s">
        <v>1470</v>
      </c>
      <c r="C1200" t="s">
        <v>1363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25.163138219961041</v>
      </c>
      <c r="M1200">
        <f>IF(ISBLANK(Mitigation_Industry!M743),"",Mitigation_Industry!M743)</f>
        <v>25.993521781219755</v>
      </c>
      <c r="N1200">
        <f>IF(ISBLANK(Mitigation_Industry!N743),"",Mitigation_Industry!N743)</f>
        <v>26.851308</v>
      </c>
      <c r="O1200">
        <f>IF(ISBLANK(Mitigation_Industry!O743),"",Mitigation_Industry!O743)</f>
        <v>27.737401163999998</v>
      </c>
      <c r="P1200">
        <f>IF(ISBLANK(Mitigation_Industry!P743),"",Mitigation_Industry!P743)</f>
        <v>28.652735402411995</v>
      </c>
      <c r="Q1200">
        <f>IF(ISBLANK(Mitigation_Industry!Q743),"",Mitigation_Industry!Q743)</f>
        <v>29.598275670691589</v>
      </c>
      <c r="R1200">
        <f>IF(ISBLANK(Mitigation_Industry!R743),"",Mitigation_Industry!R743)</f>
        <v>30.575018767824407</v>
      </c>
      <c r="S1200">
        <f>IF(ISBLANK(Mitigation_Industry!S743),"",Mitigation_Industry!S743)</f>
        <v>31.583994387162612</v>
      </c>
      <c r="T1200">
        <f>IF(ISBLANK(Mitigation_Industry!T743),"",Mitigation_Industry!T743)</f>
        <v>32.626266201938975</v>
      </c>
      <c r="U1200">
        <f>IF(ISBLANK(Mitigation_Industry!U743),"",Mitigation_Industry!U743)</f>
        <v>33.70293298660296</v>
      </c>
      <c r="V1200">
        <f>IF(ISBLANK(Mitigation_Industry!V743),"",Mitigation_Industry!V743)</f>
        <v>34.815129775160841</v>
      </c>
      <c r="W1200">
        <f>IF(ISBLANK(Mitigation_Industry!W743),"",Mitigation_Industry!W743)</f>
        <v>35.964029057741151</v>
      </c>
      <c r="X1200">
        <f>IF(ISBLANK(Mitigation_Industry!X743),"",Mitigation_Industry!X743)</f>
        <v>37.150842016646592</v>
      </c>
      <c r="Y1200">
        <f>IF(ISBLANK(Mitigation_Industry!Y743),"",Mitigation_Industry!Y743)</f>
        <v>38.376819803195943</v>
      </c>
      <c r="Z1200">
        <f>IF(ISBLANK(Mitigation_Industry!Z743),"",Mitigation_Industry!Z743)</f>
        <v>39.643254856701404</v>
      </c>
      <c r="AA1200">
        <f>IF(ISBLANK(Mitigation_Industry!AA743),"",Mitigation_Industry!AA743)</f>
        <v>40.951482266972548</v>
      </c>
      <c r="AB1200">
        <f>IF(ISBLANK(Mitigation_Industry!AB743),"",Mitigation_Industry!AB743)</f>
        <v>42.302881181782631</v>
      </c>
      <c r="AC1200">
        <f>IF(ISBLANK(Mitigation_Industry!AC743),"",Mitigation_Industry!AC743)</f>
        <v>43.698876260781446</v>
      </c>
      <c r="AD1200">
        <f>IF(ISBLANK(Mitigation_Industry!AD743),"",Mitigation_Industry!AD743)</f>
        <v>45.140939177387231</v>
      </c>
      <c r="AE1200">
        <f>IF(ISBLANK(Mitigation_Industry!AE743),"",Mitigation_Industry!AE743)</f>
        <v>46.630590170241007</v>
      </c>
    </row>
    <row r="1201" spans="1:31" x14ac:dyDescent="0.45">
      <c r="A1201" t="s">
        <v>1649</v>
      </c>
      <c r="B1201" t="s">
        <v>1470</v>
      </c>
      <c r="C1201" t="s">
        <v>1363</v>
      </c>
      <c r="D1201">
        <v>2</v>
      </c>
      <c r="E1201" t="s">
        <v>1161</v>
      </c>
      <c r="F1201">
        <f>MAX(MAX(L1201:AE1201),-MIN(L1201:AE1201))</f>
        <v>0.95741397050655763</v>
      </c>
      <c r="I1201" t="s">
        <v>1492</v>
      </c>
      <c r="K1201">
        <f t="shared" ref="K1201:AE1201" si="297">IF(ISNUMBER(K1199),IF(ISNUMBER(K1200),K1200-K1199,999999),0)</f>
        <v>0</v>
      </c>
      <c r="L1201">
        <f t="shared" si="297"/>
        <v>0.51664669020109599</v>
      </c>
      <c r="M1201">
        <f t="shared" si="297"/>
        <v>0.53369603097773322</v>
      </c>
      <c r="N1201">
        <f t="shared" si="297"/>
        <v>0.5513079999999988</v>
      </c>
      <c r="O1201">
        <f t="shared" si="297"/>
        <v>0.56950116399999828</v>
      </c>
      <c r="P1201">
        <f t="shared" si="297"/>
        <v>0.58829470241199999</v>
      </c>
      <c r="Q1201">
        <f t="shared" si="297"/>
        <v>0.60770842759159649</v>
      </c>
      <c r="R1201">
        <f t="shared" si="297"/>
        <v>0.6277628057021154</v>
      </c>
      <c r="S1201">
        <f t="shared" si="297"/>
        <v>0.64847897829028867</v>
      </c>
      <c r="T1201">
        <f t="shared" si="297"/>
        <v>0.66987878457386429</v>
      </c>
      <c r="U1201">
        <f t="shared" si="297"/>
        <v>0.69198478446480749</v>
      </c>
      <c r="V1201">
        <f t="shared" si="297"/>
        <v>0.71482028235213591</v>
      </c>
      <c r="W1201">
        <f t="shared" si="297"/>
        <v>0.73840935166975186</v>
      </c>
      <c r="X1201">
        <f t="shared" si="297"/>
        <v>0.76277686027484748</v>
      </c>
      <c r="Y1201">
        <f t="shared" si="297"/>
        <v>0.78794849666392963</v>
      </c>
      <c r="Z1201">
        <f t="shared" si="297"/>
        <v>0.81395079705383466</v>
      </c>
      <c r="AA1201">
        <f t="shared" si="297"/>
        <v>0.84081117335661304</v>
      </c>
      <c r="AB1201">
        <f t="shared" si="297"/>
        <v>0.86855794207737347</v>
      </c>
      <c r="AC1201">
        <f t="shared" si="297"/>
        <v>0.89722035416592405</v>
      </c>
      <c r="AD1201">
        <f t="shared" si="297"/>
        <v>0.9268286258533962</v>
      </c>
      <c r="AE1201">
        <f t="shared" si="297"/>
        <v>0.95741397050655763</v>
      </c>
    </row>
    <row r="1203" spans="1:31" x14ac:dyDescent="0.45">
      <c r="A1203" t="s">
        <v>1650</v>
      </c>
      <c r="B1203" t="s">
        <v>1470</v>
      </c>
      <c r="C1203" t="s">
        <v>1425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1650</v>
      </c>
      <c r="B1204" t="s">
        <v>1470</v>
      </c>
      <c r="C1204" t="s">
        <v>1425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1650</v>
      </c>
      <c r="B1205" t="s">
        <v>1470</v>
      </c>
      <c r="C1205" t="s">
        <v>1425</v>
      </c>
      <c r="D1205">
        <v>2</v>
      </c>
      <c r="E1205" t="s">
        <v>1161</v>
      </c>
      <c r="F1205">
        <f>MAX(MAX(L1205:AE1205),-MIN(L1205:AE1205))</f>
        <v>0</v>
      </c>
      <c r="I1205" t="s">
        <v>1492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1651</v>
      </c>
      <c r="B1207" t="s">
        <v>1470</v>
      </c>
      <c r="C1207" t="s">
        <v>1373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1651</v>
      </c>
      <c r="B1208" t="s">
        <v>1470</v>
      </c>
      <c r="C1208" t="s">
        <v>1373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1651</v>
      </c>
      <c r="B1209" t="s">
        <v>1470</v>
      </c>
      <c r="C1209" t="s">
        <v>1373</v>
      </c>
      <c r="D1209">
        <v>2</v>
      </c>
      <c r="E1209" t="s">
        <v>1161</v>
      </c>
      <c r="F1209">
        <f>MAX(MAX(L1209:AE1209),-MIN(L1209:AE1209))</f>
        <v>0</v>
      </c>
      <c r="I1209" t="s">
        <v>1492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1652</v>
      </c>
      <c r="B1211" t="s">
        <v>1470</v>
      </c>
      <c r="C1211" t="s">
        <v>1378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1652</v>
      </c>
      <c r="B1212" t="s">
        <v>1470</v>
      </c>
      <c r="C1212" t="s">
        <v>1378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0.57123661061347031</v>
      </c>
      <c r="M1212">
        <f>IF(ISBLANK(Mitigation_Industry!M746),"",Mitigation_Industry!M746)</f>
        <v>0.58380381604696674</v>
      </c>
      <c r="N1212">
        <f>IF(ISBLANK(Mitigation_Industry!N746),"",Mitigation_Industry!N746)</f>
        <v>0.5966475</v>
      </c>
      <c r="O1212">
        <f>IF(ISBLANK(Mitigation_Industry!O746),"",Mitigation_Industry!O746)</f>
        <v>0.60977374500000003</v>
      </c>
      <c r="P1212">
        <f>IF(ISBLANK(Mitigation_Industry!P746),"",Mitigation_Industry!P746)</f>
        <v>0.62318876738999995</v>
      </c>
      <c r="Q1212">
        <f>IF(ISBLANK(Mitigation_Industry!Q746),"",Mitigation_Industry!Q746)</f>
        <v>0.6368989202725801</v>
      </c>
      <c r="R1212">
        <f>IF(ISBLANK(Mitigation_Industry!R746),"",Mitigation_Industry!R746)</f>
        <v>0.65091069651857669</v>
      </c>
      <c r="S1212">
        <f>IF(ISBLANK(Mitigation_Industry!S746),"",Mitigation_Industry!S746)</f>
        <v>0.66523073184198556</v>
      </c>
      <c r="T1212">
        <f>IF(ISBLANK(Mitigation_Industry!T746),"",Mitigation_Industry!T746)</f>
        <v>0.67986580794250906</v>
      </c>
      <c r="U1212">
        <f>IF(ISBLANK(Mitigation_Industry!U746),"",Mitigation_Industry!U746)</f>
        <v>0.69482285571724434</v>
      </c>
      <c r="V1212">
        <f>IF(ISBLANK(Mitigation_Industry!V746),"",Mitigation_Industry!V746)</f>
        <v>0.7101089585430238</v>
      </c>
      <c r="W1212">
        <f>IF(ISBLANK(Mitigation_Industry!W746),"",Mitigation_Industry!W746)</f>
        <v>0.72573135563097024</v>
      </c>
      <c r="X1212">
        <f>IF(ISBLANK(Mitigation_Industry!X746),"",Mitigation_Industry!X746)</f>
        <v>0.74169744545485172</v>
      </c>
      <c r="Y1212">
        <f>IF(ISBLANK(Mitigation_Industry!Y746),"",Mitigation_Industry!Y746)</f>
        <v>0.75801478925485843</v>
      </c>
      <c r="Z1212">
        <f>IF(ISBLANK(Mitigation_Industry!Z746),"",Mitigation_Industry!Z746)</f>
        <v>0.7746911146184654</v>
      </c>
      <c r="AA1212">
        <f>IF(ISBLANK(Mitigation_Industry!AA746),"",Mitigation_Industry!AA746)</f>
        <v>0.79173431914007153</v>
      </c>
      <c r="AB1212">
        <f>IF(ISBLANK(Mitigation_Industry!AB746),"",Mitigation_Industry!AB746)</f>
        <v>0.8091524741611531</v>
      </c>
      <c r="AC1212">
        <f>IF(ISBLANK(Mitigation_Industry!AC746),"",Mitigation_Industry!AC746)</f>
        <v>0.8269538285926985</v>
      </c>
      <c r="AD1212">
        <f>IF(ISBLANK(Mitigation_Industry!AD746),"",Mitigation_Industry!AD746)</f>
        <v>0.84514681282173787</v>
      </c>
      <c r="AE1212">
        <f>IF(ISBLANK(Mitigation_Industry!AE746),"",Mitigation_Industry!AE746)</f>
        <v>0.8637400427038161</v>
      </c>
    </row>
    <row r="1213" spans="1:31" x14ac:dyDescent="0.45">
      <c r="A1213" t="s">
        <v>1652</v>
      </c>
      <c r="B1213" t="s">
        <v>1470</v>
      </c>
      <c r="C1213" t="s">
        <v>1378</v>
      </c>
      <c r="D1213">
        <v>2</v>
      </c>
      <c r="E1213" t="s">
        <v>1161</v>
      </c>
      <c r="F1213">
        <f>MAX(MAX(L1213:AE1213),-MIN(L1213:AE1213))</f>
        <v>2.1204534126941121E-2</v>
      </c>
      <c r="I1213" t="s">
        <v>1492</v>
      </c>
      <c r="K1213">
        <f t="shared" ref="K1213:AE1213" si="300">IF(ISNUMBER(K1211),IF(ISNUMBER(K1212),K1212-K1211,999999),0)</f>
        <v>0</v>
      </c>
      <c r="L1213">
        <f t="shared" si="300"/>
        <v>1.4023671018416728E-2</v>
      </c>
      <c r="M1213">
        <f t="shared" si="300"/>
        <v>1.4332191780822012E-2</v>
      </c>
      <c r="N1213">
        <f t="shared" si="300"/>
        <v>1.4647500000000035E-2</v>
      </c>
      <c r="O1213">
        <f t="shared" si="300"/>
        <v>1.4969745000000034E-2</v>
      </c>
      <c r="P1213">
        <f t="shared" si="300"/>
        <v>1.5299079389999859E-2</v>
      </c>
      <c r="Q1213">
        <f t="shared" si="300"/>
        <v>1.563565913658016E-2</v>
      </c>
      <c r="R1213">
        <f t="shared" si="300"/>
        <v>1.5979643637584751E-2</v>
      </c>
      <c r="S1213">
        <f t="shared" si="300"/>
        <v>1.6331195797611775E-2</v>
      </c>
      <c r="T1213">
        <f t="shared" si="300"/>
        <v>1.6690482105158999E-2</v>
      </c>
      <c r="U1213">
        <f t="shared" si="300"/>
        <v>1.7057672711472516E-2</v>
      </c>
      <c r="V1213">
        <f t="shared" si="300"/>
        <v>1.7432941511124955E-2</v>
      </c>
      <c r="W1213">
        <f t="shared" si="300"/>
        <v>1.781646622436972E-2</v>
      </c>
      <c r="X1213">
        <f t="shared" si="300"/>
        <v>1.8208428481305994E-2</v>
      </c>
      <c r="Y1213">
        <f t="shared" si="300"/>
        <v>1.8609013907894711E-2</v>
      </c>
      <c r="Z1213">
        <f t="shared" si="300"/>
        <v>1.9018412213868352E-2</v>
      </c>
      <c r="AA1213">
        <f t="shared" si="300"/>
        <v>1.9436817282573293E-2</v>
      </c>
      <c r="AB1213">
        <f t="shared" si="300"/>
        <v>1.9864427262789919E-2</v>
      </c>
      <c r="AC1213">
        <f t="shared" si="300"/>
        <v>2.0301444662571333E-2</v>
      </c>
      <c r="AD1213">
        <f t="shared" si="300"/>
        <v>2.0748076445147867E-2</v>
      </c>
      <c r="AE1213">
        <f t="shared" si="300"/>
        <v>2.1204534126941121E-2</v>
      </c>
    </row>
    <row r="1215" spans="1:31" x14ac:dyDescent="0.45">
      <c r="A1215" t="s">
        <v>1653</v>
      </c>
      <c r="B1215" t="s">
        <v>1470</v>
      </c>
      <c r="C1215" t="s">
        <v>1383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1653</v>
      </c>
      <c r="B1216" t="s">
        <v>1470</v>
      </c>
      <c r="C1216" t="s">
        <v>1383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0.64621002403360217</v>
      </c>
      <c r="M1216">
        <f>IF(ISBLANK(Mitigation_Industry!M747),"",Mitigation_Industry!M747)</f>
        <v>0.68175157535545017</v>
      </c>
      <c r="N1216">
        <f>IF(ISBLANK(Mitigation_Industry!N747),"",Mitigation_Industry!N747)</f>
        <v>0.71924791200000004</v>
      </c>
      <c r="O1216">
        <f>IF(ISBLANK(Mitigation_Industry!O747),"",Mitigation_Industry!O747)</f>
        <v>0.75880654716000007</v>
      </c>
      <c r="P1216">
        <f>IF(ISBLANK(Mitigation_Industry!P747),"",Mitigation_Industry!P747)</f>
        <v>0.80054090725379989</v>
      </c>
      <c r="Q1216">
        <f>IF(ISBLANK(Mitigation_Industry!Q747),"",Mitigation_Industry!Q747)</f>
        <v>0.84457065715275881</v>
      </c>
      <c r="R1216">
        <f>IF(ISBLANK(Mitigation_Industry!R747),"",Mitigation_Industry!R747)</f>
        <v>0.89102204329616075</v>
      </c>
      <c r="S1216">
        <f>IF(ISBLANK(Mitigation_Industry!S747),"",Mitigation_Industry!S747)</f>
        <v>0.9400282556774493</v>
      </c>
      <c r="T1216">
        <f>IF(ISBLANK(Mitigation_Industry!T747),"",Mitigation_Industry!T747)</f>
        <v>0.99172980973970914</v>
      </c>
      <c r="U1216">
        <f>IF(ISBLANK(Mitigation_Industry!U747),"",Mitigation_Industry!U747)</f>
        <v>1.0462749492753931</v>
      </c>
      <c r="V1216">
        <f>IF(ISBLANK(Mitigation_Industry!V747),"",Mitigation_Industry!V747)</f>
        <v>1.1038200714855397</v>
      </c>
      <c r="W1216">
        <f>IF(ISBLANK(Mitigation_Industry!W747),"",Mitigation_Industry!W747)</f>
        <v>1.1645301754172441</v>
      </c>
      <c r="X1216">
        <f>IF(ISBLANK(Mitigation_Industry!X747),"",Mitigation_Industry!X747)</f>
        <v>1.2285793350651928</v>
      </c>
      <c r="Y1216">
        <f>IF(ISBLANK(Mitigation_Industry!Y747),"",Mitigation_Industry!Y747)</f>
        <v>1.2961511984937784</v>
      </c>
      <c r="Z1216">
        <f>IF(ISBLANK(Mitigation_Industry!Z747),"",Mitigation_Industry!Z747)</f>
        <v>1.3674395144109359</v>
      </c>
      <c r="AA1216">
        <f>IF(ISBLANK(Mitigation_Industry!AA747),"",Mitigation_Industry!AA747)</f>
        <v>1.4426486877035372</v>
      </c>
      <c r="AB1216">
        <f>IF(ISBLANK(Mitigation_Industry!AB747),"",Mitigation_Industry!AB747)</f>
        <v>1.5219943655272321</v>
      </c>
      <c r="AC1216">
        <f>IF(ISBLANK(Mitigation_Industry!AC747),"",Mitigation_Industry!AC747)</f>
        <v>1.6057040556312294</v>
      </c>
      <c r="AD1216">
        <f>IF(ISBLANK(Mitigation_Industry!AD747),"",Mitigation_Industry!AD747)</f>
        <v>1.6940177786909472</v>
      </c>
      <c r="AE1216">
        <f>IF(ISBLANK(Mitigation_Industry!AE747),"",Mitigation_Industry!AE747)</f>
        <v>1.787188756518949</v>
      </c>
    </row>
    <row r="1217" spans="1:31" x14ac:dyDescent="0.45">
      <c r="A1217" t="s">
        <v>1653</v>
      </c>
      <c r="B1217" t="s">
        <v>1470</v>
      </c>
      <c r="C1217" t="s">
        <v>1383</v>
      </c>
      <c r="D1217">
        <v>2</v>
      </c>
      <c r="E1217" t="s">
        <v>1161</v>
      </c>
      <c r="F1217">
        <f>MAX(MAX(L1217:AE1217),-MIN(L1217:AE1217))</f>
        <v>3.5403242338882812E-2</v>
      </c>
      <c r="I1217" t="s">
        <v>1492</v>
      </c>
      <c r="K1217">
        <f t="shared" ref="K1217:AE1217" si="301">IF(ISNUMBER(K1215),IF(ISNUMBER(K1216),K1216-K1215,999999),0)</f>
        <v>0</v>
      </c>
      <c r="L1217">
        <f t="shared" si="301"/>
        <v>1.2801070955279603E-2</v>
      </c>
      <c r="M1217">
        <f t="shared" si="301"/>
        <v>1.350512985781982E-2</v>
      </c>
      <c r="N1217">
        <f t="shared" si="301"/>
        <v>1.4247912000000085E-2</v>
      </c>
      <c r="O1217">
        <f t="shared" si="301"/>
        <v>1.5031547160000103E-2</v>
      </c>
      <c r="P1217">
        <f t="shared" si="301"/>
        <v>1.5858282253799927E-2</v>
      </c>
      <c r="Q1217">
        <f t="shared" si="301"/>
        <v>1.6730487777758873E-2</v>
      </c>
      <c r="R1217">
        <f t="shared" si="301"/>
        <v>1.7650664605535771E-2</v>
      </c>
      <c r="S1217">
        <f t="shared" si="301"/>
        <v>1.8621451158839952E-2</v>
      </c>
      <c r="T1217">
        <f t="shared" si="301"/>
        <v>1.9645630972576322E-2</v>
      </c>
      <c r="U1217">
        <f t="shared" si="301"/>
        <v>2.072614067606815E-2</v>
      </c>
      <c r="V1217">
        <f t="shared" si="301"/>
        <v>2.1866078413251833E-2</v>
      </c>
      <c r="W1217">
        <f t="shared" si="301"/>
        <v>2.3068712725980323E-2</v>
      </c>
      <c r="X1217">
        <f t="shared" si="301"/>
        <v>2.4337491925909616E-2</v>
      </c>
      <c r="Y1217">
        <f t="shared" si="301"/>
        <v>2.5676053981834812E-2</v>
      </c>
      <c r="Z1217">
        <f t="shared" si="301"/>
        <v>2.708823695083562E-2</v>
      </c>
      <c r="AA1217">
        <f t="shared" si="301"/>
        <v>2.8578089983130939E-2</v>
      </c>
      <c r="AB1217">
        <f t="shared" si="301"/>
        <v>3.0149884932203941E-2</v>
      </c>
      <c r="AC1217">
        <f t="shared" si="301"/>
        <v>3.1808128603474817E-2</v>
      </c>
      <c r="AD1217">
        <f t="shared" si="301"/>
        <v>3.3557575676666174E-2</v>
      </c>
      <c r="AE1217">
        <f t="shared" si="301"/>
        <v>3.5403242338882812E-2</v>
      </c>
    </row>
    <row r="1219" spans="1:31" x14ac:dyDescent="0.45">
      <c r="A1219" t="s">
        <v>1654</v>
      </c>
      <c r="B1219" t="s">
        <v>1470</v>
      </c>
      <c r="C1219" t="s">
        <v>1469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1654</v>
      </c>
      <c r="B1220" t="s">
        <v>1470</v>
      </c>
      <c r="C1220" t="s">
        <v>1469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26.751620146588564</v>
      </c>
      <c r="M1220">
        <f>IF(ISBLANK(Mitigation_Industry!M748),"",Mitigation_Industry!M748)</f>
        <v>27.646438017449757</v>
      </c>
      <c r="N1220">
        <f>IF(ISBLANK(Mitigation_Industry!N748),"",Mitigation_Industry!N748)</f>
        <v>28.571608133999998</v>
      </c>
      <c r="O1220">
        <f>IF(ISBLANK(Mitigation_Industry!O748),"",Mitigation_Industry!O748)</f>
        <v>29.528179985927999</v>
      </c>
      <c r="P1220">
        <f>IF(ISBLANK(Mitigation_Industry!P748),"",Mitigation_Industry!P748)</f>
        <v>30.51724034213359</v>
      </c>
      <c r="Q1220">
        <f>IF(ISBLANK(Mitigation_Industry!Q748),"",Mitigation_Industry!Q748)</f>
        <v>31.539914624858142</v>
      </c>
      <c r="R1220">
        <f>IF(ISBLANK(Mitigation_Industry!R748),"",Mitigation_Industry!R748)</f>
        <v>32.597368336956968</v>
      </c>
      <c r="S1220">
        <f>IF(ISBLANK(Mitigation_Industry!S748),"",Mitigation_Industry!S748)</f>
        <v>33.690808544489862</v>
      </c>
      <c r="T1220">
        <f>IF(ISBLANK(Mitigation_Industry!T748),"",Mitigation_Industry!T748)</f>
        <v>34.821485416900551</v>
      </c>
      <c r="U1220">
        <f>IF(ISBLANK(Mitigation_Industry!U748),"",Mitigation_Industry!U748)</f>
        <v>35.990693827155241</v>
      </c>
      <c r="V1220">
        <f>IF(ISBLANK(Mitigation_Industry!V748),"",Mitigation_Industry!V748)</f>
        <v>37.199775014313673</v>
      </c>
      <c r="W1220">
        <f>IF(ISBLANK(Mitigation_Industry!W748),"",Mitigation_Industry!W748)</f>
        <v>38.450118311115105</v>
      </c>
      <c r="X1220">
        <f>IF(ISBLANK(Mitigation_Industry!X748),"",Mitigation_Industry!X748)</f>
        <v>39.743162939274711</v>
      </c>
      <c r="Y1220">
        <f>IF(ISBLANK(Mitigation_Industry!Y748),"",Mitigation_Industry!Y748)</f>
        <v>41.08039987530541</v>
      </c>
      <c r="Z1220">
        <f>IF(ISBLANK(Mitigation_Industry!Z748),"",Mitigation_Industry!Z748)</f>
        <v>42.463373789803505</v>
      </c>
      <c r="AA1220">
        <f>IF(ISBLANK(Mitigation_Industry!AA748),"",Mitigation_Industry!AA748)</f>
        <v>43.893685063268059</v>
      </c>
      <c r="AB1220">
        <f>IF(ISBLANK(Mitigation_Industry!AB748),"",Mitigation_Industry!AB748)</f>
        <v>45.372991881658805</v>
      </c>
      <c r="AC1220">
        <f>IF(ISBLANK(Mitigation_Industry!AC748),"",Mitigation_Industry!AC748)</f>
        <v>46.903012415041424</v>
      </c>
      <c r="AD1220">
        <f>IF(ISBLANK(Mitigation_Industry!AD748),"",Mitigation_Industry!AD748)</f>
        <v>48.485527082817555</v>
      </c>
      <c r="AE1220">
        <f>IF(ISBLANK(Mitigation_Industry!AE748),"",Mitigation_Industry!AE748)</f>
        <v>50.122380909193787</v>
      </c>
    </row>
    <row r="1221" spans="1:31" x14ac:dyDescent="0.45">
      <c r="A1221" t="s">
        <v>1654</v>
      </c>
      <c r="B1221" t="s">
        <v>1470</v>
      </c>
      <c r="C1221" t="s">
        <v>1469</v>
      </c>
      <c r="D1221">
        <v>2</v>
      </c>
      <c r="E1221" t="s">
        <v>1161</v>
      </c>
      <c r="F1221">
        <f>MAX(MAX(L1221:AE1221),-MIN(L1221:AE1221))</f>
        <v>1.2810083515734405</v>
      </c>
      <c r="I1221" t="s">
        <v>1492</v>
      </c>
      <c r="K1221">
        <f t="shared" ref="K1221:AE1221" si="302">IF(ISNUMBER(K1219),IF(ISNUMBER(K1220),K1220-K1219,999999),0)</f>
        <v>0</v>
      </c>
      <c r="L1221">
        <f t="shared" si="302"/>
        <v>0.66128084667252551</v>
      </c>
      <c r="M1221">
        <f t="shared" si="302"/>
        <v>0.68452638135200417</v>
      </c>
      <c r="N1221">
        <f t="shared" si="302"/>
        <v>0.70860813399999856</v>
      </c>
      <c r="O1221">
        <f t="shared" si="302"/>
        <v>0.73355698592800067</v>
      </c>
      <c r="P1221">
        <f t="shared" si="302"/>
        <v>0.75940499313359666</v>
      </c>
      <c r="Q1221">
        <f t="shared" si="302"/>
        <v>0.78618543246314587</v>
      </c>
      <c r="R1221">
        <f t="shared" si="302"/>
        <v>0.81393284965256285</v>
      </c>
      <c r="S1221">
        <f t="shared" si="302"/>
        <v>0.84268310932519341</v>
      </c>
      <c r="T1221">
        <f t="shared" si="302"/>
        <v>0.87247344702950613</v>
      </c>
      <c r="U1221">
        <f t="shared" si="302"/>
        <v>0.90334252340287691</v>
      </c>
      <c r="V1221">
        <f t="shared" si="302"/>
        <v>0.935330480551265</v>
      </c>
      <c r="W1221">
        <f t="shared" si="302"/>
        <v>0.96847900073895232</v>
      </c>
      <c r="X1221">
        <f t="shared" si="302"/>
        <v>1.002831367486138</v>
      </c>
      <c r="Y1221">
        <f t="shared" si="302"/>
        <v>1.0384325291771148</v>
      </c>
      <c r="Z1221">
        <f t="shared" si="302"/>
        <v>1.0753291652854244</v>
      </c>
      <c r="AA1221">
        <f t="shared" si="302"/>
        <v>1.1135697553281503</v>
      </c>
      <c r="AB1221">
        <f t="shared" si="302"/>
        <v>1.1532046506652591</v>
      </c>
      <c r="AC1221">
        <f t="shared" si="302"/>
        <v>1.1942861492661407</v>
      </c>
      <c r="AD1221">
        <f t="shared" si="302"/>
        <v>1.2368685735700922</v>
      </c>
      <c r="AE1221">
        <f t="shared" si="302"/>
        <v>1.2810083515734405</v>
      </c>
    </row>
    <row r="1223" spans="1:31" x14ac:dyDescent="0.45">
      <c r="A1223" t="s">
        <v>1655</v>
      </c>
      <c r="B1223" t="s">
        <v>1471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1655</v>
      </c>
      <c r="B1224" t="s">
        <v>1471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1655</v>
      </c>
      <c r="B1225" t="s">
        <v>1471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1492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1656</v>
      </c>
      <c r="B1227" t="s">
        <v>1471</v>
      </c>
      <c r="C1227" t="s">
        <v>1355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1656</v>
      </c>
      <c r="B1228" t="s">
        <v>1471</v>
      </c>
      <c r="C1228" t="s">
        <v>1355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1656</v>
      </c>
      <c r="B1229" t="s">
        <v>1471</v>
      </c>
      <c r="C1229" t="s">
        <v>1355</v>
      </c>
      <c r="D1229">
        <v>2</v>
      </c>
      <c r="E1229" t="s">
        <v>1161</v>
      </c>
      <c r="F1229">
        <f>MAX(MAX(L1229:AE1229),-MIN(L1229:AE1229))</f>
        <v>0</v>
      </c>
      <c r="I1229" t="s">
        <v>1492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1657</v>
      </c>
      <c r="B1231" t="s">
        <v>1471</v>
      </c>
      <c r="C1231" t="s">
        <v>1391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1657</v>
      </c>
      <c r="B1232" t="s">
        <v>1471</v>
      </c>
      <c r="C1232" t="s">
        <v>1391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1657</v>
      </c>
      <c r="B1233" t="s">
        <v>1471</v>
      </c>
      <c r="C1233" t="s">
        <v>1391</v>
      </c>
      <c r="D1233">
        <v>2</v>
      </c>
      <c r="E1233" t="s">
        <v>1161</v>
      </c>
      <c r="F1233">
        <f>MAX(MAX(L1233:AE1233),-MIN(L1233:AE1233))</f>
        <v>0</v>
      </c>
      <c r="I1233" t="s">
        <v>1492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1658</v>
      </c>
      <c r="B1235" t="s">
        <v>1471</v>
      </c>
      <c r="C1235" t="s">
        <v>1392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1658</v>
      </c>
      <c r="B1236" t="s">
        <v>1471</v>
      </c>
      <c r="C1236" t="s">
        <v>1392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1658</v>
      </c>
      <c r="B1237" t="s">
        <v>1471</v>
      </c>
      <c r="C1237" t="s">
        <v>1392</v>
      </c>
      <c r="D1237">
        <v>2</v>
      </c>
      <c r="E1237" t="s">
        <v>1161</v>
      </c>
      <c r="F1237">
        <f>MAX(MAX(L1237:AE1237),-MIN(L1237:AE1237))</f>
        <v>0</v>
      </c>
      <c r="I1237" t="s">
        <v>1492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1659</v>
      </c>
      <c r="B1239" t="s">
        <v>1471</v>
      </c>
      <c r="C1239" t="s">
        <v>1393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1659</v>
      </c>
      <c r="B1240" t="s">
        <v>1471</v>
      </c>
      <c r="C1240" t="s">
        <v>1393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1659</v>
      </c>
      <c r="B1241" t="s">
        <v>1471</v>
      </c>
      <c r="C1241" t="s">
        <v>1393</v>
      </c>
      <c r="D1241">
        <v>2</v>
      </c>
      <c r="E1241" t="s">
        <v>1161</v>
      </c>
      <c r="F1241">
        <f>MAX(MAX(L1241:AE1241),-MIN(L1241:AE1241))</f>
        <v>0</v>
      </c>
      <c r="I1241" t="s">
        <v>1492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1660</v>
      </c>
      <c r="B1243" t="s">
        <v>1471</v>
      </c>
      <c r="C1243" t="s">
        <v>1373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1660</v>
      </c>
      <c r="B1244" t="s">
        <v>1471</v>
      </c>
      <c r="C1244" t="s">
        <v>1373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1660</v>
      </c>
      <c r="B1245" t="s">
        <v>1471</v>
      </c>
      <c r="C1245" t="s">
        <v>1373</v>
      </c>
      <c r="D1245">
        <v>2</v>
      </c>
      <c r="E1245" t="s">
        <v>1161</v>
      </c>
      <c r="F1245">
        <f>MAX(MAX(L1245:AE1245),-MIN(L1245:AE1245))</f>
        <v>0</v>
      </c>
      <c r="I1245" t="s">
        <v>1492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1661</v>
      </c>
      <c r="B1247" t="s">
        <v>1471</v>
      </c>
      <c r="C1247" t="s">
        <v>1394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1661</v>
      </c>
      <c r="B1248" t="s">
        <v>1471</v>
      </c>
      <c r="C1248" t="s">
        <v>1394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1661</v>
      </c>
      <c r="B1249" t="s">
        <v>1471</v>
      </c>
      <c r="C1249" t="s">
        <v>1394</v>
      </c>
      <c r="D1249">
        <v>2</v>
      </c>
      <c r="E1249" t="s">
        <v>1161</v>
      </c>
      <c r="F1249">
        <f>MAX(MAX(L1249:AE1249),-MIN(L1249:AE1249))</f>
        <v>0</v>
      </c>
      <c r="I1249" t="s">
        <v>1492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1662</v>
      </c>
      <c r="B1251" t="s">
        <v>1471</v>
      </c>
      <c r="C1251" t="s">
        <v>1383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1662</v>
      </c>
      <c r="B1252" t="s">
        <v>1471</v>
      </c>
      <c r="C1252" t="s">
        <v>1383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1662</v>
      </c>
      <c r="B1253" t="s">
        <v>1471</v>
      </c>
      <c r="C1253" t="s">
        <v>1383</v>
      </c>
      <c r="D1253">
        <v>2</v>
      </c>
      <c r="E1253" t="s">
        <v>1161</v>
      </c>
      <c r="F1253">
        <f>MAX(MAX(L1253:AE1253),-MIN(L1253:AE1253))</f>
        <v>0</v>
      </c>
      <c r="I1253" t="s">
        <v>1492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1663</v>
      </c>
      <c r="B1255" t="s">
        <v>1471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1663</v>
      </c>
      <c r="B1256" t="s">
        <v>1471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1663</v>
      </c>
      <c r="B1257" t="s">
        <v>1471</v>
      </c>
      <c r="D1257">
        <v>2</v>
      </c>
      <c r="E1257" t="s">
        <v>1161</v>
      </c>
      <c r="F1257">
        <f>MAX(MAX(L1257:AE1257),-MIN(L1257:AE1257))</f>
        <v>0</v>
      </c>
      <c r="I1257" t="s">
        <v>1492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1664</v>
      </c>
      <c r="B1259" t="s">
        <v>1474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1664</v>
      </c>
      <c r="B1260" t="s">
        <v>1474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1664</v>
      </c>
      <c r="B1261" t="s">
        <v>1474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1492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1665</v>
      </c>
      <c r="B1263" t="s">
        <v>1474</v>
      </c>
      <c r="C1263" t="s">
        <v>1355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1665</v>
      </c>
      <c r="B1264" t="s">
        <v>1474</v>
      </c>
      <c r="C1264" t="s">
        <v>1355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1665</v>
      </c>
      <c r="B1265" t="s">
        <v>1474</v>
      </c>
      <c r="C1265" t="s">
        <v>1355</v>
      </c>
      <c r="D1265">
        <v>2</v>
      </c>
      <c r="E1265" t="s">
        <v>1161</v>
      </c>
      <c r="F1265">
        <f>MAX(MAX(L1265:AE1265),-MIN(L1265:AE1265))</f>
        <v>0</v>
      </c>
      <c r="I1265" t="s">
        <v>1492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1666</v>
      </c>
      <c r="B1267" t="s">
        <v>1474</v>
      </c>
      <c r="C1267" t="s">
        <v>1391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1666</v>
      </c>
      <c r="B1268" t="s">
        <v>1474</v>
      </c>
      <c r="C1268" t="s">
        <v>1391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1666</v>
      </c>
      <c r="B1269" t="s">
        <v>1474</v>
      </c>
      <c r="C1269" t="s">
        <v>1391</v>
      </c>
      <c r="D1269">
        <v>2</v>
      </c>
      <c r="E1269" t="s">
        <v>1161</v>
      </c>
      <c r="F1269">
        <f>MAX(MAX(L1269:AE1269),-MIN(L1269:AE1269))</f>
        <v>0</v>
      </c>
      <c r="I1269" t="s">
        <v>1492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1667</v>
      </c>
      <c r="B1271" t="s">
        <v>1474</v>
      </c>
      <c r="C1271" t="s">
        <v>1392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1667</v>
      </c>
      <c r="B1272" t="s">
        <v>1474</v>
      </c>
      <c r="C1272" t="s">
        <v>1392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1667</v>
      </c>
      <c r="B1273" t="s">
        <v>1474</v>
      </c>
      <c r="C1273" t="s">
        <v>1392</v>
      </c>
      <c r="D1273">
        <v>2</v>
      </c>
      <c r="E1273" t="s">
        <v>1161</v>
      </c>
      <c r="F1273">
        <f>MAX(MAX(L1273:AE1273),-MIN(L1273:AE1273))</f>
        <v>0</v>
      </c>
      <c r="I1273" t="s">
        <v>1492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1668</v>
      </c>
      <c r="B1275" t="s">
        <v>1474</v>
      </c>
      <c r="C1275" t="s">
        <v>1393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1668</v>
      </c>
      <c r="B1276" t="s">
        <v>1474</v>
      </c>
      <c r="C1276" t="s">
        <v>1393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1668</v>
      </c>
      <c r="B1277" t="s">
        <v>1474</v>
      </c>
      <c r="C1277" t="s">
        <v>1393</v>
      </c>
      <c r="D1277">
        <v>2</v>
      </c>
      <c r="E1277" t="s">
        <v>1161</v>
      </c>
      <c r="F1277">
        <f>MAX(MAX(L1277:AE1277),-MIN(L1277:AE1277))</f>
        <v>0</v>
      </c>
      <c r="I1277" t="s">
        <v>1492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1669</v>
      </c>
      <c r="B1279" t="s">
        <v>1474</v>
      </c>
      <c r="C1279" t="s">
        <v>1373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1669</v>
      </c>
      <c r="B1280" t="s">
        <v>1474</v>
      </c>
      <c r="C1280" t="s">
        <v>1373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1669</v>
      </c>
      <c r="B1281" t="s">
        <v>1474</v>
      </c>
      <c r="C1281" t="s">
        <v>1373</v>
      </c>
      <c r="D1281">
        <v>2</v>
      </c>
      <c r="E1281" t="s">
        <v>1161</v>
      </c>
      <c r="F1281">
        <f>MAX(MAX(L1281:AE1281),-MIN(L1281:AE1281))</f>
        <v>0</v>
      </c>
      <c r="I1281" t="s">
        <v>1492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1670</v>
      </c>
      <c r="B1283" t="s">
        <v>1474</v>
      </c>
      <c r="C1283" t="s">
        <v>1394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1670</v>
      </c>
      <c r="B1284" t="s">
        <v>1474</v>
      </c>
      <c r="C1284" t="s">
        <v>1394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1670</v>
      </c>
      <c r="B1285" t="s">
        <v>1474</v>
      </c>
      <c r="C1285" t="s">
        <v>1394</v>
      </c>
      <c r="D1285">
        <v>2</v>
      </c>
      <c r="E1285" t="s">
        <v>1161</v>
      </c>
      <c r="F1285">
        <f>MAX(MAX(L1285:AE1285),-MIN(L1285:AE1285))</f>
        <v>0</v>
      </c>
      <c r="I1285" t="s">
        <v>1492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1671</v>
      </c>
      <c r="B1287" t="s">
        <v>1474</v>
      </c>
      <c r="C1287" t="s">
        <v>1383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1671</v>
      </c>
      <c r="B1288" t="s">
        <v>1474</v>
      </c>
      <c r="C1288" t="s">
        <v>1383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1671</v>
      </c>
      <c r="B1289" t="s">
        <v>1474</v>
      </c>
      <c r="C1289" t="s">
        <v>1383</v>
      </c>
      <c r="D1289">
        <v>2</v>
      </c>
      <c r="E1289" t="s">
        <v>1161</v>
      </c>
      <c r="F1289">
        <f>MAX(MAX(L1289:AE1289),-MIN(L1289:AE1289))</f>
        <v>0</v>
      </c>
      <c r="I1289" t="s">
        <v>1492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1672</v>
      </c>
      <c r="B1291" t="s">
        <v>1474</v>
      </c>
      <c r="C1291" t="s">
        <v>1475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1672</v>
      </c>
      <c r="B1292" t="s">
        <v>1474</v>
      </c>
      <c r="C1292" t="s">
        <v>1475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1672</v>
      </c>
      <c r="B1293" t="s">
        <v>1474</v>
      </c>
      <c r="C1293" t="s">
        <v>1475</v>
      </c>
      <c r="D1293">
        <v>2</v>
      </c>
      <c r="E1293" t="s">
        <v>1161</v>
      </c>
      <c r="F1293">
        <f>MAX(MAX(L1293:AE1293),-MIN(L1293:AE1293))</f>
        <v>0</v>
      </c>
      <c r="I1293" t="s">
        <v>1492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1673</v>
      </c>
      <c r="B1295" t="s">
        <v>1476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1673</v>
      </c>
      <c r="B1296" t="s">
        <v>1476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3.7399856771381845</v>
      </c>
      <c r="M1296">
        <f>IF(ISBLANK(Mitigation_Industry!M773),"",Mitigation_Industry!M773)</f>
        <v>3.8222653620352247</v>
      </c>
      <c r="N1296">
        <f>IF(ISBLANK(Mitigation_Industry!N773),"",Mitigation_Industry!N773)</f>
        <v>3.9063551999999997</v>
      </c>
      <c r="O1296">
        <f>IF(ISBLANK(Mitigation_Industry!O773),"",Mitigation_Industry!O773)</f>
        <v>3.9922950143999998</v>
      </c>
      <c r="P1296">
        <f>IF(ISBLANK(Mitigation_Industry!P773),"",Mitigation_Industry!P773)</f>
        <v>4.0801255047168006</v>
      </c>
      <c r="Q1296">
        <f>IF(ISBLANK(Mitigation_Industry!Q773),"",Mitigation_Industry!Q773)</f>
        <v>4.1698882658205694</v>
      </c>
      <c r="R1296">
        <f>IF(ISBLANK(Mitigation_Industry!R773),"",Mitigation_Industry!R773)</f>
        <v>4.2616258076686222</v>
      </c>
      <c r="S1296">
        <f>IF(ISBLANK(Mitigation_Industry!S773),"",Mitigation_Industry!S773)</f>
        <v>4.3553815754373311</v>
      </c>
      <c r="T1296">
        <f>IF(ISBLANK(Mitigation_Industry!T773),"",Mitigation_Industry!T773)</f>
        <v>4.4511999700969529</v>
      </c>
      <c r="U1296">
        <f>IF(ISBLANK(Mitigation_Industry!U773),"",Mitigation_Industry!U773)</f>
        <v>4.5491263694390858</v>
      </c>
      <c r="V1296">
        <f>IF(ISBLANK(Mitigation_Industry!V773),"",Mitigation_Industry!V773)</f>
        <v>4.6492071495667471</v>
      </c>
      <c r="W1296">
        <f>IF(ISBLANK(Mitigation_Industry!W773),"",Mitigation_Industry!W773)</f>
        <v>4.7514897068572139</v>
      </c>
      <c r="X1296">
        <f>IF(ISBLANK(Mitigation_Industry!X773),"",Mitigation_Industry!X773)</f>
        <v>4.8560224804080736</v>
      </c>
      <c r="Y1296">
        <f>IF(ISBLANK(Mitigation_Industry!Y773),"",Mitigation_Industry!Y773)</f>
        <v>4.9628549749770512</v>
      </c>
      <c r="Z1296">
        <f>IF(ISBLANK(Mitigation_Industry!Z773),"",Mitigation_Industry!Z773)</f>
        <v>5.0720377844265467</v>
      </c>
      <c r="AA1296">
        <f>IF(ISBLANK(Mitigation_Industry!AA773),"",Mitigation_Industry!AA773)</f>
        <v>5.1836226156839302</v>
      </c>
      <c r="AB1296">
        <f>IF(ISBLANK(Mitigation_Industry!AB773),"",Mitigation_Industry!AB773)</f>
        <v>5.297662313228976</v>
      </c>
      <c r="AC1296">
        <f>IF(ISBLANK(Mitigation_Industry!AC773),"",Mitigation_Industry!AC773)</f>
        <v>5.4142108841200143</v>
      </c>
      <c r="AD1296">
        <f>IF(ISBLANK(Mitigation_Industry!AD773),"",Mitigation_Industry!AD773)</f>
        <v>5.5333235235706555</v>
      </c>
      <c r="AE1296">
        <f>IF(ISBLANK(Mitigation_Industry!AE773),"",Mitigation_Industry!AE773)</f>
        <v>5.6550566410892094</v>
      </c>
    </row>
    <row r="1297" spans="1:31" x14ac:dyDescent="0.45">
      <c r="A1297" t="s">
        <v>1673</v>
      </c>
      <c r="B1297" t="s">
        <v>1476</v>
      </c>
      <c r="C1297" t="s">
        <v>283</v>
      </c>
      <c r="D1297">
        <v>2</v>
      </c>
      <c r="E1297" t="s">
        <v>1161</v>
      </c>
      <c r="F1297">
        <f>MAX(MAX(L1297:AE1297),-MIN(L1297:AE1297))</f>
        <v>4.8125211325123347</v>
      </c>
      <c r="I1297" t="s">
        <v>1571</v>
      </c>
      <c r="J1297" t="s">
        <v>1572</v>
      </c>
      <c r="K1297">
        <f t="shared" ref="K1297:AE1297" si="321">IF(ISNUMBER(K1295),IF(ISNUMBER(K1296),K1296-K1295,999999),0)</f>
        <v>0</v>
      </c>
      <c r="L1297">
        <f t="shared" si="321"/>
        <v>0.21092204380344715</v>
      </c>
      <c r="M1297">
        <f t="shared" si="321"/>
        <v>3.2527937377690801</v>
      </c>
      <c r="N1297">
        <f t="shared" si="321"/>
        <v>3.3243551999999998</v>
      </c>
      <c r="O1297">
        <f t="shared" si="321"/>
        <v>3.3974910143999999</v>
      </c>
      <c r="P1297">
        <f t="shared" si="321"/>
        <v>3.4722358167168004</v>
      </c>
      <c r="Q1297">
        <f t="shared" si="321"/>
        <v>3.5486250046845695</v>
      </c>
      <c r="R1297">
        <f t="shared" si="321"/>
        <v>3.6266947547876303</v>
      </c>
      <c r="S1297">
        <f t="shared" si="321"/>
        <v>3.7064820393929572</v>
      </c>
      <c r="T1297">
        <f t="shared" si="321"/>
        <v>3.7880246442596031</v>
      </c>
      <c r="U1297">
        <f t="shared" si="321"/>
        <v>3.871361186433314</v>
      </c>
      <c r="V1297">
        <f t="shared" si="321"/>
        <v>3.956531132534848</v>
      </c>
      <c r="W1297">
        <f t="shared" si="321"/>
        <v>4.0435748174506134</v>
      </c>
      <c r="X1297">
        <f t="shared" si="321"/>
        <v>4.1325334634345277</v>
      </c>
      <c r="Y1297">
        <f t="shared" si="321"/>
        <v>4.2234491996300871</v>
      </c>
      <c r="Z1297">
        <f t="shared" si="321"/>
        <v>4.3163650820219495</v>
      </c>
      <c r="AA1297">
        <f t="shared" si="321"/>
        <v>4.4113251138264324</v>
      </c>
      <c r="AB1297">
        <f t="shared" si="321"/>
        <v>4.5083742663306126</v>
      </c>
      <c r="AC1297">
        <f t="shared" si="321"/>
        <v>4.6075585001898869</v>
      </c>
      <c r="AD1297">
        <f t="shared" si="321"/>
        <v>4.7089247871940652</v>
      </c>
      <c r="AE1297">
        <f t="shared" si="321"/>
        <v>4.8125211325123347</v>
      </c>
    </row>
    <row r="1299" spans="1:31" x14ac:dyDescent="0.45">
      <c r="A1299" t="s">
        <v>1674</v>
      </c>
      <c r="B1299" t="s">
        <v>1476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1674</v>
      </c>
      <c r="B1300" t="s">
        <v>1476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2.8694133664728936</v>
      </c>
      <c r="M1300">
        <f>IF(ISBLANK(Mitigation_Industry!M774),"",Mitigation_Industry!M774)</f>
        <v>2.9956675545977007</v>
      </c>
      <c r="N1300">
        <f>IF(ISBLANK(Mitigation_Industry!N774),"",Mitigation_Industry!N774)</f>
        <v>3.1274769269999996</v>
      </c>
      <c r="O1300">
        <f>IF(ISBLANK(Mitigation_Industry!O774),"",Mitigation_Industry!O774)</f>
        <v>3.2650859117880002</v>
      </c>
      <c r="P1300">
        <f>IF(ISBLANK(Mitigation_Industry!P774),"",Mitigation_Industry!P774)</f>
        <v>3.4087496919066722</v>
      </c>
      <c r="Q1300">
        <f>IF(ISBLANK(Mitigation_Industry!Q774),"",Mitigation_Industry!Q774)</f>
        <v>3.5587346783505662</v>
      </c>
      <c r="R1300">
        <f>IF(ISBLANK(Mitigation_Industry!R774),"",Mitigation_Industry!R774)</f>
        <v>3.7153190041979904</v>
      </c>
      <c r="S1300">
        <f>IF(ISBLANK(Mitigation_Industry!S774),"",Mitigation_Industry!S774)</f>
        <v>3.8787930403827025</v>
      </c>
      <c r="T1300">
        <f>IF(ISBLANK(Mitigation_Industry!T774),"",Mitigation_Industry!T774)</f>
        <v>4.0494599341595423</v>
      </c>
      <c r="U1300">
        <f>IF(ISBLANK(Mitigation_Industry!U774),"",Mitigation_Industry!U774)</f>
        <v>4.2276361712625619</v>
      </c>
      <c r="V1300">
        <f>IF(ISBLANK(Mitigation_Industry!V774),"",Mitigation_Industry!V774)</f>
        <v>4.4136521627981145</v>
      </c>
      <c r="W1300">
        <f>IF(ISBLANK(Mitigation_Industry!W774),"",Mitigation_Industry!W774)</f>
        <v>4.6078528579612303</v>
      </c>
      <c r="X1300">
        <f>IF(ISBLANK(Mitigation_Industry!X774),"",Mitigation_Industry!X774)</f>
        <v>4.8105983837115254</v>
      </c>
      <c r="Y1300">
        <f>IF(ISBLANK(Mitigation_Industry!Y774),"",Mitigation_Industry!Y774)</f>
        <v>5.0222647125948336</v>
      </c>
      <c r="Z1300">
        <f>IF(ISBLANK(Mitigation_Industry!Z774),"",Mitigation_Industry!Z774)</f>
        <v>5.2432443599490046</v>
      </c>
      <c r="AA1300">
        <f>IF(ISBLANK(Mitigation_Industry!AA774),"",Mitigation_Industry!AA774)</f>
        <v>5.4739471117867611</v>
      </c>
      <c r="AB1300">
        <f>IF(ISBLANK(Mitigation_Industry!AB774),"",Mitigation_Industry!AB774)</f>
        <v>5.714800784705381</v>
      </c>
      <c r="AC1300">
        <f>IF(ISBLANK(Mitigation_Industry!AC774),"",Mitigation_Industry!AC774)</f>
        <v>5.9662520192324164</v>
      </c>
      <c r="AD1300">
        <f>IF(ISBLANK(Mitigation_Industry!AD774),"",Mitigation_Industry!AD774)</f>
        <v>6.2287671080786424</v>
      </c>
      <c r="AE1300">
        <f>IF(ISBLANK(Mitigation_Industry!AE774),"",Mitigation_Industry!AE774)</f>
        <v>6.5028328608341015</v>
      </c>
    </row>
    <row r="1301" spans="1:31" x14ac:dyDescent="0.45">
      <c r="A1301" t="s">
        <v>1674</v>
      </c>
      <c r="B1301" t="s">
        <v>1476</v>
      </c>
      <c r="C1301" t="s">
        <v>284</v>
      </c>
      <c r="D1301">
        <v>2</v>
      </c>
      <c r="E1301" t="s">
        <v>1161</v>
      </c>
      <c r="F1301">
        <f>MAX(MAX(L1301:AE1301),-MIN(L1301:AE1301))</f>
        <v>5.9289575257051421</v>
      </c>
      <c r="I1301" t="s">
        <v>1571</v>
      </c>
      <c r="J1301" t="s">
        <v>1572</v>
      </c>
      <c r="K1301">
        <f t="shared" ref="K1301:AE1301" si="322">IF(ISNUMBER(K1299),IF(ISNUMBER(K1300),K1300-K1299,999999),0)</f>
        <v>0</v>
      </c>
      <c r="L1301">
        <f t="shared" si="322"/>
        <v>-0.97700789128903009</v>
      </c>
      <c r="M1301">
        <f t="shared" si="322"/>
        <v>2.7312997385057467</v>
      </c>
      <c r="N1301">
        <f t="shared" si="322"/>
        <v>2.8514769269999998</v>
      </c>
      <c r="O1301">
        <f t="shared" si="322"/>
        <v>2.9769419117880003</v>
      </c>
      <c r="P1301">
        <f t="shared" si="322"/>
        <v>3.1079273559066722</v>
      </c>
      <c r="Q1301">
        <f t="shared" si="322"/>
        <v>3.2446761595665663</v>
      </c>
      <c r="R1301">
        <f t="shared" si="322"/>
        <v>3.3874419105874942</v>
      </c>
      <c r="S1301">
        <f t="shared" si="322"/>
        <v>3.5364893546533445</v>
      </c>
      <c r="T1301">
        <f t="shared" si="322"/>
        <v>3.6920948862580927</v>
      </c>
      <c r="U1301">
        <f t="shared" si="322"/>
        <v>3.8545470612534483</v>
      </c>
      <c r="V1301">
        <f t="shared" si="322"/>
        <v>4.0241471319485997</v>
      </c>
      <c r="W1301">
        <f t="shared" si="322"/>
        <v>4.2012096057543369</v>
      </c>
      <c r="X1301">
        <f t="shared" si="322"/>
        <v>4.3860628284075291</v>
      </c>
      <c r="Y1301">
        <f t="shared" si="322"/>
        <v>4.5790495928574613</v>
      </c>
      <c r="Z1301">
        <f t="shared" si="322"/>
        <v>4.780527774943188</v>
      </c>
      <c r="AA1301">
        <f t="shared" si="322"/>
        <v>4.9908709970406884</v>
      </c>
      <c r="AB1301">
        <f t="shared" si="322"/>
        <v>5.2104693209104811</v>
      </c>
      <c r="AC1301">
        <f t="shared" si="322"/>
        <v>5.4397299710305411</v>
      </c>
      <c r="AD1301">
        <f t="shared" si="322"/>
        <v>5.679078089755885</v>
      </c>
      <c r="AE1301">
        <f t="shared" si="322"/>
        <v>5.9289575257051421</v>
      </c>
    </row>
    <row r="1303" spans="1:31" x14ac:dyDescent="0.45">
      <c r="A1303" t="s">
        <v>1675</v>
      </c>
      <c r="B1303" t="s">
        <v>1476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1675</v>
      </c>
      <c r="B1304" t="s">
        <v>1476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3.3266099144224071E-2</v>
      </c>
      <c r="M1304">
        <f>IF(ISBLANK(Mitigation_Industry!M775),"",Mitigation_Industry!M775)</f>
        <v>3.5095734597156404E-2</v>
      </c>
      <c r="N1304">
        <f>IF(ISBLANK(Mitigation_Industry!N775),"",Mitigation_Industry!N775)</f>
        <v>3.7026000000000003E-2</v>
      </c>
      <c r="O1304">
        <f>IF(ISBLANK(Mitigation_Industry!O775),"",Mitigation_Industry!O775)</f>
        <v>3.9062430000000002E-2</v>
      </c>
      <c r="P1304">
        <f>IF(ISBLANK(Mitigation_Industry!P775),"",Mitigation_Industry!P775)</f>
        <v>4.1210863649999999E-2</v>
      </c>
      <c r="Q1304">
        <f>IF(ISBLANK(Mitigation_Industry!Q775),"",Mitigation_Industry!Q775)</f>
        <v>4.3477461150749991E-2</v>
      </c>
      <c r="R1304">
        <f>IF(ISBLANK(Mitigation_Industry!R775),"",Mitigation_Industry!R775)</f>
        <v>4.5868721514041248E-2</v>
      </c>
      <c r="S1304">
        <f>IF(ISBLANK(Mitigation_Industry!S775),"",Mitigation_Industry!S775)</f>
        <v>4.8391501197313509E-2</v>
      </c>
      <c r="T1304">
        <f>IF(ISBLANK(Mitigation_Industry!T775),"",Mitigation_Industry!T775)</f>
        <v>5.105303376316575E-2</v>
      </c>
      <c r="U1304">
        <f>IF(ISBLANK(Mitigation_Industry!U775),"",Mitigation_Industry!U775)</f>
        <v>5.3860950620139861E-2</v>
      </c>
      <c r="V1304">
        <f>IF(ISBLANK(Mitigation_Industry!V775),"",Mitigation_Industry!V775)</f>
        <v>5.6823302904247558E-2</v>
      </c>
      <c r="W1304">
        <f>IF(ISBLANK(Mitigation_Industry!W775),"",Mitigation_Industry!W775)</f>
        <v>5.9948584563981173E-2</v>
      </c>
      <c r="X1304">
        <f>IF(ISBLANK(Mitigation_Industry!X775),"",Mitigation_Industry!X775)</f>
        <v>6.3245756715000129E-2</v>
      </c>
      <c r="Y1304">
        <f>IF(ISBLANK(Mitigation_Industry!Y775),"",Mitigation_Industry!Y775)</f>
        <v>6.6724273334325138E-2</v>
      </c>
      <c r="Z1304">
        <f>IF(ISBLANK(Mitigation_Industry!Z775),"",Mitigation_Industry!Z775)</f>
        <v>7.039410836771301E-2</v>
      </c>
      <c r="AA1304">
        <f>IF(ISBLANK(Mitigation_Industry!AA775),"",Mitigation_Industry!AA775)</f>
        <v>7.426578432793722E-2</v>
      </c>
      <c r="AB1304">
        <f>IF(ISBLANK(Mitigation_Industry!AB775),"",Mitigation_Industry!AB775)</f>
        <v>7.8350402465973787E-2</v>
      </c>
      <c r="AC1304">
        <f>IF(ISBLANK(Mitigation_Industry!AC775),"",Mitigation_Industry!AC775)</f>
        <v>8.2659674601602312E-2</v>
      </c>
      <c r="AD1304">
        <f>IF(ISBLANK(Mitigation_Industry!AD775),"",Mitigation_Industry!AD775)</f>
        <v>8.7205956704690446E-2</v>
      </c>
      <c r="AE1304">
        <f>IF(ISBLANK(Mitigation_Industry!AE775),"",Mitigation_Industry!AE775)</f>
        <v>9.2002284323448424E-2</v>
      </c>
    </row>
    <row r="1305" spans="1:31" x14ac:dyDescent="0.45">
      <c r="A1305" t="s">
        <v>1675</v>
      </c>
      <c r="B1305" t="s">
        <v>1476</v>
      </c>
      <c r="C1305" t="s">
        <v>285</v>
      </c>
      <c r="D1305">
        <v>2</v>
      </c>
      <c r="E1305" t="s">
        <v>1161</v>
      </c>
      <c r="F1305">
        <f>MAX(MAX(L1305:AE1305),-MIN(L1305:AE1305))</f>
        <v>1.6597832298566177</v>
      </c>
      <c r="I1305" t="s">
        <v>1571</v>
      </c>
      <c r="J1305" t="s">
        <v>1572</v>
      </c>
      <c r="K1305">
        <f t="shared" ref="K1305:AE1305" si="323">IF(ISNUMBER(K1303),IF(ISNUMBER(K1304),K1304-K1303,999999),0)</f>
        <v>0</v>
      </c>
      <c r="L1305">
        <f t="shared" si="323"/>
        <v>-8.7814739111879841E-3</v>
      </c>
      <c r="M1305">
        <f t="shared" si="323"/>
        <v>-0.63315071090047392</v>
      </c>
      <c r="N1305">
        <f t="shared" si="323"/>
        <v>-0.66797399999999996</v>
      </c>
      <c r="O1305">
        <f t="shared" si="323"/>
        <v>-0.70471256999999998</v>
      </c>
      <c r="P1305">
        <f t="shared" si="323"/>
        <v>-0.74347176134999993</v>
      </c>
      <c r="Q1305">
        <f t="shared" si="323"/>
        <v>-0.78436270822424992</v>
      </c>
      <c r="R1305">
        <f t="shared" si="323"/>
        <v>-0.82750265717658378</v>
      </c>
      <c r="S1305">
        <f t="shared" si="323"/>
        <v>-0.87301530332129584</v>
      </c>
      <c r="T1305">
        <f t="shared" si="323"/>
        <v>-0.9210311450039671</v>
      </c>
      <c r="U1305">
        <f t="shared" si="323"/>
        <v>-0.97168785797918511</v>
      </c>
      <c r="V1305">
        <f t="shared" si="323"/>
        <v>-1.0251306901680404</v>
      </c>
      <c r="W1305">
        <f t="shared" si="323"/>
        <v>-1.0815128781272827</v>
      </c>
      <c r="X1305">
        <f t="shared" si="323"/>
        <v>-1.140996086424283</v>
      </c>
      <c r="Y1305">
        <f t="shared" si="323"/>
        <v>-1.2037508711776184</v>
      </c>
      <c r="Z1305">
        <f t="shared" si="323"/>
        <v>-1.2699571690923872</v>
      </c>
      <c r="AA1305">
        <f t="shared" si="323"/>
        <v>-1.3398048133924689</v>
      </c>
      <c r="AB1305">
        <f t="shared" si="323"/>
        <v>-1.4134940781290544</v>
      </c>
      <c r="AC1305">
        <f t="shared" si="323"/>
        <v>-1.4912362524261522</v>
      </c>
      <c r="AD1305">
        <f t="shared" si="323"/>
        <v>-1.5732542463095904</v>
      </c>
      <c r="AE1305">
        <f t="shared" si="323"/>
        <v>-1.6597832298566177</v>
      </c>
    </row>
    <row r="1307" spans="1:31" x14ac:dyDescent="0.45">
      <c r="A1307" t="s">
        <v>1676</v>
      </c>
      <c r="B1307" t="s">
        <v>1476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1676</v>
      </c>
      <c r="B1308" t="s">
        <v>1476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1676</v>
      </c>
      <c r="B1309" t="s">
        <v>1476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1571</v>
      </c>
      <c r="J1309" t="s">
        <v>1572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1677</v>
      </c>
      <c r="B1311" t="s">
        <v>1476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1677</v>
      </c>
      <c r="B1312" t="s">
        <v>1476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14.692706044200628</v>
      </c>
      <c r="M1312">
        <f>IF(ISBLANK(Mitigation_Industry!M777),"",Mitigation_Industry!M777)</f>
        <v>15.177565343659246</v>
      </c>
      <c r="N1312">
        <f>IF(ISBLANK(Mitigation_Industry!N777),"",Mitigation_Industry!N777)</f>
        <v>15.678424999999999</v>
      </c>
      <c r="O1312">
        <f>IF(ISBLANK(Mitigation_Industry!O777),"",Mitigation_Industry!O777)</f>
        <v>16.195813024999996</v>
      </c>
      <c r="P1312">
        <f>IF(ISBLANK(Mitigation_Industry!P777),"",Mitigation_Industry!P777)</f>
        <v>16.730274854824994</v>
      </c>
      <c r="Q1312">
        <f>IF(ISBLANK(Mitigation_Industry!Q777),"",Mitigation_Industry!Q777)</f>
        <v>17.282373925034218</v>
      </c>
      <c r="R1312">
        <f>IF(ISBLANK(Mitigation_Industry!R777),"",Mitigation_Industry!R777)</f>
        <v>17.852692264560343</v>
      </c>
      <c r="S1312">
        <f>IF(ISBLANK(Mitigation_Industry!S777),"",Mitigation_Industry!S777)</f>
        <v>18.441831109290838</v>
      </c>
      <c r="T1312">
        <f>IF(ISBLANK(Mitigation_Industry!T777),"",Mitigation_Industry!T777)</f>
        <v>19.050411535897432</v>
      </c>
      <c r="U1312">
        <f>IF(ISBLANK(Mitigation_Industry!U777),"",Mitigation_Industry!U777)</f>
        <v>19.679075116582045</v>
      </c>
      <c r="V1312">
        <f>IF(ISBLANK(Mitigation_Industry!V777),"",Mitigation_Industry!V777)</f>
        <v>20.328484595429249</v>
      </c>
      <c r="W1312">
        <f>IF(ISBLANK(Mitigation_Industry!W777),"",Mitigation_Industry!W777)</f>
        <v>20.999324587078412</v>
      </c>
      <c r="X1312">
        <f>IF(ISBLANK(Mitigation_Industry!X777),"",Mitigation_Industry!X777)</f>
        <v>21.692302298451992</v>
      </c>
      <c r="Y1312">
        <f>IF(ISBLANK(Mitigation_Industry!Y777),"",Mitigation_Industry!Y777)</f>
        <v>22.40814827430091</v>
      </c>
      <c r="Z1312">
        <f>IF(ISBLANK(Mitigation_Industry!Z777),"",Mitigation_Industry!Z777)</f>
        <v>23.147617167352838</v>
      </c>
      <c r="AA1312">
        <f>IF(ISBLANK(Mitigation_Industry!AA777),"",Mitigation_Industry!AA777)</f>
        <v>23.911488533875481</v>
      </c>
      <c r="AB1312">
        <f>IF(ISBLANK(Mitigation_Industry!AB777),"",Mitigation_Industry!AB777)</f>
        <v>24.700567655493362</v>
      </c>
      <c r="AC1312">
        <f>IF(ISBLANK(Mitigation_Industry!AC777),"",Mitigation_Industry!AC777)</f>
        <v>25.515686388124642</v>
      </c>
      <c r="AD1312">
        <f>IF(ISBLANK(Mitigation_Industry!AD777),"",Mitigation_Industry!AD777)</f>
        <v>26.357704038932756</v>
      </c>
      <c r="AE1312">
        <f>IF(ISBLANK(Mitigation_Industry!AE777),"",Mitigation_Industry!AE777)</f>
        <v>27.227508272217527</v>
      </c>
    </row>
    <row r="1313" spans="1:31" x14ac:dyDescent="0.45">
      <c r="A1313" t="s">
        <v>1677</v>
      </c>
      <c r="B1313" t="s">
        <v>1476</v>
      </c>
      <c r="C1313" t="s">
        <v>287</v>
      </c>
      <c r="D1313">
        <v>2</v>
      </c>
      <c r="E1313" t="s">
        <v>1161</v>
      </c>
      <c r="F1313">
        <f>MAX(MAX(L1313:AE1313),-MIN(L1313:AE1313))</f>
        <v>18.445667927516922</v>
      </c>
      <c r="I1313" t="s">
        <v>1571</v>
      </c>
      <c r="J1313" t="s">
        <v>1572</v>
      </c>
      <c r="K1313">
        <f t="shared" ref="K1313:AE1313" si="325">IF(ISNUMBER(K1311),IF(ISNUMBER(K1312),K1312-K1311,999999),0)</f>
        <v>0</v>
      </c>
      <c r="L1313">
        <f t="shared" si="325"/>
        <v>1.183992150607871</v>
      </c>
      <c r="M1313">
        <f t="shared" si="325"/>
        <v>-10.282260406582775</v>
      </c>
      <c r="N1313">
        <f t="shared" si="325"/>
        <v>-10.621575000000002</v>
      </c>
      <c r="O1313">
        <f t="shared" si="325"/>
        <v>-10.972086975000003</v>
      </c>
      <c r="P1313">
        <f t="shared" si="325"/>
        <v>-11.334165845175001</v>
      </c>
      <c r="Q1313">
        <f t="shared" si="325"/>
        <v>-11.708193318065774</v>
      </c>
      <c r="R1313">
        <f t="shared" si="325"/>
        <v>-12.094563697561949</v>
      </c>
      <c r="S1313">
        <f t="shared" si="325"/>
        <v>-12.493684299581485</v>
      </c>
      <c r="T1313">
        <f t="shared" si="325"/>
        <v>-12.905975881467679</v>
      </c>
      <c r="U1313">
        <f t="shared" si="325"/>
        <v>-13.331873085556108</v>
      </c>
      <c r="V1313">
        <f t="shared" si="325"/>
        <v>-13.771824897379457</v>
      </c>
      <c r="W1313">
        <f t="shared" si="325"/>
        <v>-14.226295118992986</v>
      </c>
      <c r="X1313">
        <f t="shared" si="325"/>
        <v>-14.695762857919753</v>
      </c>
      <c r="Y1313">
        <f t="shared" si="325"/>
        <v>-15.180723032231104</v>
      </c>
      <c r="Z1313">
        <f t="shared" si="325"/>
        <v>-15.681686892294731</v>
      </c>
      <c r="AA1313">
        <f t="shared" si="325"/>
        <v>-16.199182559740454</v>
      </c>
      <c r="AB1313">
        <f t="shared" si="325"/>
        <v>-16.733755584211895</v>
      </c>
      <c r="AC1313">
        <f t="shared" si="325"/>
        <v>-17.28596951849088</v>
      </c>
      <c r="AD1313">
        <f t="shared" si="325"/>
        <v>-17.85640651260108</v>
      </c>
      <c r="AE1313">
        <f t="shared" si="325"/>
        <v>-18.445667927516922</v>
      </c>
    </row>
    <row r="1315" spans="1:31" x14ac:dyDescent="0.45">
      <c r="A1315" t="s">
        <v>1678</v>
      </c>
      <c r="B1315" t="s">
        <v>1476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1678</v>
      </c>
      <c r="B1316" t="s">
        <v>1476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21.335371186955932</v>
      </c>
      <c r="M1316">
        <f>IF(ISBLANK(Mitigation_Industry!M778),"",Mitigation_Industry!M778)</f>
        <v>22.03059399488933</v>
      </c>
      <c r="N1316">
        <f>IF(ISBLANK(Mitigation_Industry!N778),"",Mitigation_Industry!N778)</f>
        <v>22.749283126999998</v>
      </c>
      <c r="O1316">
        <f>IF(ISBLANK(Mitigation_Industry!O778),"",Mitigation_Industry!O778)</f>
        <v>23.492256381187996</v>
      </c>
      <c r="P1316">
        <f>IF(ISBLANK(Mitigation_Industry!P778),"",Mitigation_Industry!P778)</f>
        <v>24.260360915098467</v>
      </c>
      <c r="Q1316">
        <f>IF(ISBLANK(Mitigation_Industry!Q778),"",Mitigation_Industry!Q778)</f>
        <v>25.054474330356104</v>
      </c>
      <c r="R1316">
        <f>IF(ISBLANK(Mitigation_Industry!R778),"",Mitigation_Industry!R778)</f>
        <v>25.875505797940995</v>
      </c>
      <c r="S1316">
        <f>IF(ISBLANK(Mitigation_Industry!S778),"",Mitigation_Industry!S778)</f>
        <v>26.724397226308184</v>
      </c>
      <c r="T1316">
        <f>IF(ISBLANK(Mitigation_Industry!T778),"",Mitigation_Industry!T778)</f>
        <v>27.602124473917094</v>
      </c>
      <c r="U1316">
        <f>IF(ISBLANK(Mitigation_Industry!U778),"",Mitigation_Industry!U778)</f>
        <v>28.509698607903829</v>
      </c>
      <c r="V1316">
        <f>IF(ISBLANK(Mitigation_Industry!V778),"",Mitigation_Industry!V778)</f>
        <v>29.448167210698358</v>
      </c>
      <c r="W1316">
        <f>IF(ISBLANK(Mitigation_Industry!W778),"",Mitigation_Industry!W778)</f>
        <v>30.418615736460836</v>
      </c>
      <c r="X1316">
        <f>IF(ISBLANK(Mitigation_Industry!X778),"",Mitigation_Industry!X778)</f>
        <v>31.422168919286591</v>
      </c>
      <c r="Y1316">
        <f>IF(ISBLANK(Mitigation_Industry!Y778),"",Mitigation_Industry!Y778)</f>
        <v>32.459992235207118</v>
      </c>
      <c r="Z1316">
        <f>IF(ISBLANK(Mitigation_Industry!Z778),"",Mitigation_Industry!Z778)</f>
        <v>33.533293420096101</v>
      </c>
      <c r="AA1316">
        <f>IF(ISBLANK(Mitigation_Industry!AA778),"",Mitigation_Industry!AA778)</f>
        <v>34.643324045674106</v>
      </c>
      <c r="AB1316">
        <f>IF(ISBLANK(Mitigation_Industry!AB778),"",Mitigation_Industry!AB778)</f>
        <v>35.791381155893696</v>
      </c>
      <c r="AC1316">
        <f>IF(ISBLANK(Mitigation_Industry!AC778),"",Mitigation_Industry!AC778)</f>
        <v>36.978808966078674</v>
      </c>
      <c r="AD1316">
        <f>IF(ISBLANK(Mitigation_Industry!AD778),"",Mitigation_Industry!AD778)</f>
        <v>38.207000627286746</v>
      </c>
      <c r="AE1316">
        <f>IF(ISBLANK(Mitigation_Industry!AE778),"",Mitigation_Industry!AE778)</f>
        <v>39.477400058464283</v>
      </c>
    </row>
    <row r="1317" spans="1:31" x14ac:dyDescent="0.45">
      <c r="A1317" t="s">
        <v>1678</v>
      </c>
      <c r="B1317" t="s">
        <v>1476</v>
      </c>
      <c r="C1317" t="s">
        <v>111</v>
      </c>
      <c r="D1317">
        <v>2</v>
      </c>
      <c r="E1317" t="s">
        <v>1161</v>
      </c>
      <c r="F1317">
        <f>MAX(MAX(L1317:AE1317),-MIN(L1317:AE1317))</f>
        <v>9.3639724991560627</v>
      </c>
      <c r="I1317" t="s">
        <v>1571</v>
      </c>
      <c r="J1317" t="s">
        <v>1572</v>
      </c>
      <c r="K1317">
        <f t="shared" ref="K1317:AE1317" si="326">IF(ISNUMBER(K1315),IF(ISNUMBER(K1316),K1316-K1315,999999),0)</f>
        <v>0</v>
      </c>
      <c r="L1317">
        <f t="shared" si="326"/>
        <v>0.40912482921110183</v>
      </c>
      <c r="M1317">
        <f t="shared" si="326"/>
        <v>-4.9313176412084196</v>
      </c>
      <c r="N1317">
        <f t="shared" si="326"/>
        <v>-5.1137168730000013</v>
      </c>
      <c r="O1317">
        <f t="shared" si="326"/>
        <v>-5.3023666188120053</v>
      </c>
      <c r="P1317">
        <f t="shared" si="326"/>
        <v>-5.4974744339015302</v>
      </c>
      <c r="Q1317">
        <f t="shared" si="326"/>
        <v>-5.6992548620388881</v>
      </c>
      <c r="R1317">
        <f t="shared" si="326"/>
        <v>-5.9079296893634101</v>
      </c>
      <c r="S1317">
        <f t="shared" si="326"/>
        <v>-6.1237282088564768</v>
      </c>
      <c r="T1317">
        <f t="shared" si="326"/>
        <v>-6.3468874959539505</v>
      </c>
      <c r="U1317">
        <f t="shared" si="326"/>
        <v>-6.5776526958485348</v>
      </c>
      <c r="V1317">
        <f t="shared" si="326"/>
        <v>-6.8162773230640497</v>
      </c>
      <c r="W1317">
        <f t="shared" si="326"/>
        <v>-7.0630235739153164</v>
      </c>
      <c r="X1317">
        <f t="shared" si="326"/>
        <v>-7.3181626525019823</v>
      </c>
      <c r="Y1317">
        <f t="shared" si="326"/>
        <v>-7.5819751109211779</v>
      </c>
      <c r="Z1317">
        <f t="shared" si="326"/>
        <v>-7.85475120442198</v>
      </c>
      <c r="AA1317">
        <f t="shared" si="326"/>
        <v>-8.1367912622658025</v>
      </c>
      <c r="AB1317">
        <f t="shared" si="326"/>
        <v>-8.4284060750998506</v>
      </c>
      <c r="AC1317">
        <f t="shared" si="326"/>
        <v>-8.7299172996966092</v>
      </c>
      <c r="AD1317">
        <f t="shared" si="326"/>
        <v>-9.0416578819607167</v>
      </c>
      <c r="AE1317">
        <f t="shared" si="326"/>
        <v>-9.3639724991560627</v>
      </c>
    </row>
    <row r="1319" spans="1:31" x14ac:dyDescent="0.45">
      <c r="A1319" t="s">
        <v>1679</v>
      </c>
      <c r="B1319" t="s">
        <v>1482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1679</v>
      </c>
      <c r="B1320" t="s">
        <v>1482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0.57123661061347031</v>
      </c>
      <c r="M1320">
        <f>IF(ISBLANK(Mitigation_Industry!M784),"",Mitigation_Industry!M784)</f>
        <v>0.58380381604696674</v>
      </c>
      <c r="N1320">
        <f>IF(ISBLANK(Mitigation_Industry!N784),"",Mitigation_Industry!N784)</f>
        <v>0.5966475</v>
      </c>
      <c r="O1320">
        <f>IF(ISBLANK(Mitigation_Industry!O784),"",Mitigation_Industry!O784)</f>
        <v>0.60977374500000003</v>
      </c>
      <c r="P1320">
        <f>IF(ISBLANK(Mitigation_Industry!P784),"",Mitigation_Industry!P784)</f>
        <v>0.62318876738999995</v>
      </c>
      <c r="Q1320">
        <f>IF(ISBLANK(Mitigation_Industry!Q784),"",Mitigation_Industry!Q784)</f>
        <v>0.6368989202725801</v>
      </c>
      <c r="R1320">
        <f>IF(ISBLANK(Mitigation_Industry!R784),"",Mitigation_Industry!R784)</f>
        <v>0.65091069651857669</v>
      </c>
      <c r="S1320">
        <f>IF(ISBLANK(Mitigation_Industry!S784),"",Mitigation_Industry!S784)</f>
        <v>0.66523073184198556</v>
      </c>
      <c r="T1320">
        <f>IF(ISBLANK(Mitigation_Industry!T784),"",Mitigation_Industry!T784)</f>
        <v>0.67986580794250906</v>
      </c>
      <c r="U1320">
        <f>IF(ISBLANK(Mitigation_Industry!U784),"",Mitigation_Industry!U784)</f>
        <v>0.69482285571724434</v>
      </c>
      <c r="V1320">
        <f>IF(ISBLANK(Mitigation_Industry!V784),"",Mitigation_Industry!V784)</f>
        <v>0.7101089585430238</v>
      </c>
      <c r="W1320">
        <f>IF(ISBLANK(Mitigation_Industry!W784),"",Mitigation_Industry!W784)</f>
        <v>0.72573135563097024</v>
      </c>
      <c r="X1320">
        <f>IF(ISBLANK(Mitigation_Industry!X784),"",Mitigation_Industry!X784)</f>
        <v>0.74169744545485172</v>
      </c>
      <c r="Y1320">
        <f>IF(ISBLANK(Mitigation_Industry!Y784),"",Mitigation_Industry!Y784)</f>
        <v>0.75801478925485843</v>
      </c>
      <c r="Z1320">
        <f>IF(ISBLANK(Mitigation_Industry!Z784),"",Mitigation_Industry!Z784)</f>
        <v>0.7746911146184654</v>
      </c>
      <c r="AA1320">
        <f>IF(ISBLANK(Mitigation_Industry!AA784),"",Mitigation_Industry!AA784)</f>
        <v>0.79173431914007153</v>
      </c>
      <c r="AB1320">
        <f>IF(ISBLANK(Mitigation_Industry!AB784),"",Mitigation_Industry!AB784)</f>
        <v>0.8091524741611531</v>
      </c>
      <c r="AC1320">
        <f>IF(ISBLANK(Mitigation_Industry!AC784),"",Mitigation_Industry!AC784)</f>
        <v>0.8269538285926985</v>
      </c>
      <c r="AD1320">
        <f>IF(ISBLANK(Mitigation_Industry!AD784),"",Mitigation_Industry!AD784)</f>
        <v>0.84514681282173787</v>
      </c>
      <c r="AE1320">
        <f>IF(ISBLANK(Mitigation_Industry!AE784),"",Mitigation_Industry!AE784)</f>
        <v>0.8637400427038161</v>
      </c>
    </row>
    <row r="1321" spans="1:31" x14ac:dyDescent="0.45">
      <c r="A1321" t="s">
        <v>1679</v>
      </c>
      <c r="B1321" t="s">
        <v>1482</v>
      </c>
      <c r="C1321" t="s">
        <v>283</v>
      </c>
      <c r="D1321">
        <v>2</v>
      </c>
      <c r="E1321" t="s">
        <v>1161</v>
      </c>
      <c r="F1321">
        <f>MAX(MAX(L1321:AE1321),-MIN(L1321:AE1321))</f>
        <v>2.1204534126941121E-2</v>
      </c>
      <c r="I1321" t="s">
        <v>1492</v>
      </c>
      <c r="K1321">
        <f t="shared" ref="K1321:AE1321" si="327">IF(ISNUMBER(K1319),IF(ISNUMBER(K1320),K1320-K1319,999999),0)</f>
        <v>0</v>
      </c>
      <c r="L1321">
        <f t="shared" si="327"/>
        <v>1.4023671018416728E-2</v>
      </c>
      <c r="M1321">
        <f t="shared" si="327"/>
        <v>1.4332191780822012E-2</v>
      </c>
      <c r="N1321">
        <f t="shared" si="327"/>
        <v>1.4647500000000035E-2</v>
      </c>
      <c r="O1321">
        <f t="shared" si="327"/>
        <v>1.4969745000000034E-2</v>
      </c>
      <c r="P1321">
        <f t="shared" si="327"/>
        <v>1.5299079389999859E-2</v>
      </c>
      <c r="Q1321">
        <f t="shared" si="327"/>
        <v>1.563565913658016E-2</v>
      </c>
      <c r="R1321">
        <f t="shared" si="327"/>
        <v>1.5979643637584751E-2</v>
      </c>
      <c r="S1321">
        <f t="shared" si="327"/>
        <v>1.6331195797611775E-2</v>
      </c>
      <c r="T1321">
        <f t="shared" si="327"/>
        <v>1.6690482105158999E-2</v>
      </c>
      <c r="U1321">
        <f t="shared" si="327"/>
        <v>1.7057672711472516E-2</v>
      </c>
      <c r="V1321">
        <f t="shared" si="327"/>
        <v>1.7432941511124955E-2</v>
      </c>
      <c r="W1321">
        <f t="shared" si="327"/>
        <v>1.781646622436972E-2</v>
      </c>
      <c r="X1321">
        <f t="shared" si="327"/>
        <v>1.8208428481305994E-2</v>
      </c>
      <c r="Y1321">
        <f t="shared" si="327"/>
        <v>1.8609013907894711E-2</v>
      </c>
      <c r="Z1321">
        <f t="shared" si="327"/>
        <v>1.9018412213868352E-2</v>
      </c>
      <c r="AA1321">
        <f t="shared" si="327"/>
        <v>1.9436817282573293E-2</v>
      </c>
      <c r="AB1321">
        <f t="shared" si="327"/>
        <v>1.9864427262789919E-2</v>
      </c>
      <c r="AC1321">
        <f t="shared" si="327"/>
        <v>2.0301444662571333E-2</v>
      </c>
      <c r="AD1321">
        <f t="shared" si="327"/>
        <v>2.0748076445147867E-2</v>
      </c>
      <c r="AE1321">
        <f t="shared" si="327"/>
        <v>2.1204534126941121E-2</v>
      </c>
    </row>
    <row r="1323" spans="1:31" x14ac:dyDescent="0.45">
      <c r="A1323" t="s">
        <v>1680</v>
      </c>
      <c r="B1323" t="s">
        <v>1482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1680</v>
      </c>
      <c r="B1324" t="s">
        <v>1482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0.37103529198044649</v>
      </c>
      <c r="M1324">
        <f>IF(ISBLANK(Mitigation_Industry!M785),"",Mitigation_Industry!M785)</f>
        <v>0.38736084482758615</v>
      </c>
      <c r="N1324">
        <f>IF(ISBLANK(Mitigation_Industry!N785),"",Mitigation_Industry!N785)</f>
        <v>0.40440472199999999</v>
      </c>
      <c r="O1324">
        <f>IF(ISBLANK(Mitigation_Industry!O785),"",Mitigation_Industry!O785)</f>
        <v>0.42219852976799999</v>
      </c>
      <c r="P1324">
        <f>IF(ISBLANK(Mitigation_Industry!P785),"",Mitigation_Industry!P785)</f>
        <v>0.44077526507779197</v>
      </c>
      <c r="Q1324">
        <f>IF(ISBLANK(Mitigation_Industry!Q785),"",Mitigation_Industry!Q785)</f>
        <v>0.46016937674121494</v>
      </c>
      <c r="R1324">
        <f>IF(ISBLANK(Mitigation_Industry!R785),"",Mitigation_Industry!R785)</f>
        <v>0.48041682931782825</v>
      </c>
      <c r="S1324">
        <f>IF(ISBLANK(Mitigation_Industry!S785),"",Mitigation_Industry!S785)</f>
        <v>0.50155516980781278</v>
      </c>
      <c r="T1324">
        <f>IF(ISBLANK(Mitigation_Industry!T785),"",Mitigation_Industry!T785)</f>
        <v>0.52362359727935659</v>
      </c>
      <c r="U1324">
        <f>IF(ISBLANK(Mitigation_Industry!U785),"",Mitigation_Industry!U785)</f>
        <v>0.54666303555964835</v>
      </c>
      <c r="V1324">
        <f>IF(ISBLANK(Mitigation_Industry!V785),"",Mitigation_Industry!V785)</f>
        <v>0.57071620912427279</v>
      </c>
      <c r="W1324">
        <f>IF(ISBLANK(Mitigation_Industry!W785),"",Mitigation_Industry!W785)</f>
        <v>0.59582772232574088</v>
      </c>
      <c r="X1324">
        <f>IF(ISBLANK(Mitigation_Industry!X785),"",Mitigation_Industry!X785)</f>
        <v>0.62204414210807335</v>
      </c>
      <c r="Y1324">
        <f>IF(ISBLANK(Mitigation_Industry!Y785),"",Mitigation_Industry!Y785)</f>
        <v>0.6494140843608287</v>
      </c>
      <c r="Z1324">
        <f>IF(ISBLANK(Mitigation_Industry!Z785),"",Mitigation_Industry!Z785)</f>
        <v>0.67798830407270505</v>
      </c>
      <c r="AA1324">
        <f>IF(ISBLANK(Mitigation_Industry!AA785),"",Mitigation_Industry!AA785)</f>
        <v>0.70781978945190405</v>
      </c>
      <c r="AB1324">
        <f>IF(ISBLANK(Mitigation_Industry!AB785),"",Mitigation_Industry!AB785)</f>
        <v>0.73896386018778804</v>
      </c>
      <c r="AC1324">
        <f>IF(ISBLANK(Mitigation_Industry!AC785),"",Mitigation_Industry!AC785)</f>
        <v>0.77147827003605074</v>
      </c>
      <c r="AD1324">
        <f>IF(ISBLANK(Mitigation_Industry!AD785),"",Mitigation_Industry!AD785)</f>
        <v>0.80542331391763677</v>
      </c>
      <c r="AE1324">
        <f>IF(ISBLANK(Mitigation_Industry!AE785),"",Mitigation_Industry!AE785)</f>
        <v>0.84086193973001278</v>
      </c>
    </row>
    <row r="1325" spans="1:31" x14ac:dyDescent="0.45">
      <c r="A1325" t="s">
        <v>1680</v>
      </c>
      <c r="B1325" t="s">
        <v>1482</v>
      </c>
      <c r="C1325" t="s">
        <v>284</v>
      </c>
      <c r="D1325">
        <v>2</v>
      </c>
      <c r="E1325" t="s">
        <v>1161</v>
      </c>
      <c r="F1325">
        <f>MAX(MAX(L1325:AE1325),-MIN(L1325:AE1325))</f>
        <v>0.2669866046010535</v>
      </c>
      <c r="I1325" t="s">
        <v>1492</v>
      </c>
      <c r="K1325">
        <f t="shared" ref="K1325:AE1325" si="328">IF(ISNUMBER(K1323),IF(ISNUMBER(K1324),K1324-K1323,999999),0)</f>
        <v>0</v>
      </c>
      <c r="L1325">
        <f t="shared" si="328"/>
        <v>0.11780941449773191</v>
      </c>
      <c r="M1325">
        <f t="shared" si="328"/>
        <v>0.12299302873563212</v>
      </c>
      <c r="N1325">
        <f t="shared" si="328"/>
        <v>0.12840472200000003</v>
      </c>
      <c r="O1325">
        <f t="shared" si="328"/>
        <v>0.13405452976799997</v>
      </c>
      <c r="P1325">
        <f t="shared" si="328"/>
        <v>0.13995292907779189</v>
      </c>
      <c r="Q1325">
        <f t="shared" si="328"/>
        <v>0.1461108579572149</v>
      </c>
      <c r="R1325">
        <f t="shared" si="328"/>
        <v>0.15253973570733215</v>
      </c>
      <c r="S1325">
        <f t="shared" si="328"/>
        <v>0.15925148407845491</v>
      </c>
      <c r="T1325">
        <f t="shared" si="328"/>
        <v>0.16625854937790691</v>
      </c>
      <c r="U1325">
        <f t="shared" si="328"/>
        <v>0.17357392555053486</v>
      </c>
      <c r="V1325">
        <f t="shared" si="328"/>
        <v>0.1812111782747583</v>
      </c>
      <c r="W1325">
        <f t="shared" si="328"/>
        <v>0.18918447011884776</v>
      </c>
      <c r="X1325">
        <f t="shared" si="328"/>
        <v>0.1975085868040769</v>
      </c>
      <c r="Y1325">
        <f t="shared" si="328"/>
        <v>0.20619896462345644</v>
      </c>
      <c r="Z1325">
        <f t="shared" si="328"/>
        <v>0.21527171906688836</v>
      </c>
      <c r="AA1325">
        <f t="shared" si="328"/>
        <v>0.22474367470583145</v>
      </c>
      <c r="AB1325">
        <f t="shared" si="328"/>
        <v>0.23463239639288813</v>
      </c>
      <c r="AC1325">
        <f t="shared" si="328"/>
        <v>0.24495622183417542</v>
      </c>
      <c r="AD1325">
        <f t="shared" si="328"/>
        <v>0.25573429559487892</v>
      </c>
      <c r="AE1325">
        <f t="shared" si="328"/>
        <v>0.2669866046010535</v>
      </c>
    </row>
    <row r="1327" spans="1:31" x14ac:dyDescent="0.45">
      <c r="A1327" t="s">
        <v>1681</v>
      </c>
      <c r="B1327" t="s">
        <v>1482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1681</v>
      </c>
      <c r="B1328" t="s">
        <v>1482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0.64621002403360217</v>
      </c>
      <c r="M1328">
        <f>IF(ISBLANK(Mitigation_Industry!M786),"",Mitigation_Industry!M786)</f>
        <v>0.68175157535545017</v>
      </c>
      <c r="N1328">
        <f>IF(ISBLANK(Mitigation_Industry!N786),"",Mitigation_Industry!N786)</f>
        <v>0.71924791200000004</v>
      </c>
      <c r="O1328">
        <f>IF(ISBLANK(Mitigation_Industry!O786),"",Mitigation_Industry!O786)</f>
        <v>0.75880654716000007</v>
      </c>
      <c r="P1328">
        <f>IF(ISBLANK(Mitigation_Industry!P786),"",Mitigation_Industry!P786)</f>
        <v>0.80054090725379989</v>
      </c>
      <c r="Q1328">
        <f>IF(ISBLANK(Mitigation_Industry!Q786),"",Mitigation_Industry!Q786)</f>
        <v>0.84457065715275881</v>
      </c>
      <c r="R1328">
        <f>IF(ISBLANK(Mitigation_Industry!R786),"",Mitigation_Industry!R786)</f>
        <v>0.89102204329616075</v>
      </c>
      <c r="S1328">
        <f>IF(ISBLANK(Mitigation_Industry!S786),"",Mitigation_Industry!S786)</f>
        <v>0.9400282556774493</v>
      </c>
      <c r="T1328">
        <f>IF(ISBLANK(Mitigation_Industry!T786),"",Mitigation_Industry!T786)</f>
        <v>0.99172980973970914</v>
      </c>
      <c r="U1328">
        <f>IF(ISBLANK(Mitigation_Industry!U786),"",Mitigation_Industry!U786)</f>
        <v>1.0462749492753931</v>
      </c>
      <c r="V1328">
        <f>IF(ISBLANK(Mitigation_Industry!V786),"",Mitigation_Industry!V786)</f>
        <v>1.1038200714855397</v>
      </c>
      <c r="W1328">
        <f>IF(ISBLANK(Mitigation_Industry!W786),"",Mitigation_Industry!W786)</f>
        <v>1.1645301754172441</v>
      </c>
      <c r="X1328">
        <f>IF(ISBLANK(Mitigation_Industry!X786),"",Mitigation_Industry!X786)</f>
        <v>1.2285793350651928</v>
      </c>
      <c r="Y1328">
        <f>IF(ISBLANK(Mitigation_Industry!Y786),"",Mitigation_Industry!Y786)</f>
        <v>1.2961511984937784</v>
      </c>
      <c r="Z1328">
        <f>IF(ISBLANK(Mitigation_Industry!Z786),"",Mitigation_Industry!Z786)</f>
        <v>1.3674395144109359</v>
      </c>
      <c r="AA1328">
        <f>IF(ISBLANK(Mitigation_Industry!AA786),"",Mitigation_Industry!AA786)</f>
        <v>1.4426486877035372</v>
      </c>
      <c r="AB1328">
        <f>IF(ISBLANK(Mitigation_Industry!AB786),"",Mitigation_Industry!AB786)</f>
        <v>1.5219943655272321</v>
      </c>
      <c r="AC1328">
        <f>IF(ISBLANK(Mitigation_Industry!AC786),"",Mitigation_Industry!AC786)</f>
        <v>1.6057040556312294</v>
      </c>
      <c r="AD1328">
        <f>IF(ISBLANK(Mitigation_Industry!AD786),"",Mitigation_Industry!AD786)</f>
        <v>1.6940177786909472</v>
      </c>
      <c r="AE1328">
        <f>IF(ISBLANK(Mitigation_Industry!AE786),"",Mitigation_Industry!AE786)</f>
        <v>1.787188756518949</v>
      </c>
    </row>
    <row r="1329" spans="1:31" x14ac:dyDescent="0.45">
      <c r="A1329" t="s">
        <v>1681</v>
      </c>
      <c r="B1329" t="s">
        <v>1482</v>
      </c>
      <c r="C1329" t="s">
        <v>285</v>
      </c>
      <c r="D1329">
        <v>2</v>
      </c>
      <c r="E1329" t="s">
        <v>1161</v>
      </c>
      <c r="F1329">
        <f>MAX(MAX(L1329:AE1329),-MIN(L1329:AE1329))</f>
        <v>3.5403242338882812E-2</v>
      </c>
      <c r="I1329" t="s">
        <v>1492</v>
      </c>
      <c r="K1329">
        <f t="shared" ref="K1329:AE1329" si="329">IF(ISNUMBER(K1327),IF(ISNUMBER(K1328),K1328-K1327,999999),0)</f>
        <v>0</v>
      </c>
      <c r="L1329">
        <f t="shared" si="329"/>
        <v>1.2801070955279603E-2</v>
      </c>
      <c r="M1329">
        <f t="shared" si="329"/>
        <v>1.350512985781982E-2</v>
      </c>
      <c r="N1329">
        <f t="shared" si="329"/>
        <v>1.4247912000000085E-2</v>
      </c>
      <c r="O1329">
        <f t="shared" si="329"/>
        <v>1.5031547160000103E-2</v>
      </c>
      <c r="P1329">
        <f t="shared" si="329"/>
        <v>1.5858282253799927E-2</v>
      </c>
      <c r="Q1329">
        <f t="shared" si="329"/>
        <v>1.6730487777758873E-2</v>
      </c>
      <c r="R1329">
        <f t="shared" si="329"/>
        <v>1.7650664605535771E-2</v>
      </c>
      <c r="S1329">
        <f t="shared" si="329"/>
        <v>1.8621451158839952E-2</v>
      </c>
      <c r="T1329">
        <f t="shared" si="329"/>
        <v>1.9645630972576322E-2</v>
      </c>
      <c r="U1329">
        <f t="shared" si="329"/>
        <v>2.072614067606815E-2</v>
      </c>
      <c r="V1329">
        <f t="shared" si="329"/>
        <v>2.1866078413251833E-2</v>
      </c>
      <c r="W1329">
        <f t="shared" si="329"/>
        <v>2.3068712725980323E-2</v>
      </c>
      <c r="X1329">
        <f t="shared" si="329"/>
        <v>2.4337491925909616E-2</v>
      </c>
      <c r="Y1329">
        <f t="shared" si="329"/>
        <v>2.5676053981834812E-2</v>
      </c>
      <c r="Z1329">
        <f t="shared" si="329"/>
        <v>2.708823695083562E-2</v>
      </c>
      <c r="AA1329">
        <f t="shared" si="329"/>
        <v>2.8578089983130939E-2</v>
      </c>
      <c r="AB1329">
        <f t="shared" si="329"/>
        <v>3.0149884932203941E-2</v>
      </c>
      <c r="AC1329">
        <f t="shared" si="329"/>
        <v>3.1808128603474817E-2</v>
      </c>
      <c r="AD1329">
        <f t="shared" si="329"/>
        <v>3.3557575676666174E-2</v>
      </c>
      <c r="AE1329">
        <f t="shared" si="329"/>
        <v>3.5403242338882812E-2</v>
      </c>
    </row>
    <row r="1331" spans="1:31" x14ac:dyDescent="0.45">
      <c r="A1331" t="s">
        <v>1682</v>
      </c>
      <c r="B1331" t="s">
        <v>1482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1682</v>
      </c>
      <c r="B1332" t="s">
        <v>1482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1682</v>
      </c>
      <c r="B1333" t="s">
        <v>1482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1492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1683</v>
      </c>
      <c r="B1335" t="s">
        <v>1482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1683</v>
      </c>
      <c r="B1336" t="s">
        <v>1482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25.163138219961041</v>
      </c>
      <c r="M1336">
        <f>IF(ISBLANK(Mitigation_Industry!M788),"",Mitigation_Industry!M788)</f>
        <v>25.993521781219755</v>
      </c>
      <c r="N1336">
        <f>IF(ISBLANK(Mitigation_Industry!N788),"",Mitigation_Industry!N788)</f>
        <v>26.851308</v>
      </c>
      <c r="O1336">
        <f>IF(ISBLANK(Mitigation_Industry!O788),"",Mitigation_Industry!O788)</f>
        <v>27.737401163999998</v>
      </c>
      <c r="P1336">
        <f>IF(ISBLANK(Mitigation_Industry!P788),"",Mitigation_Industry!P788)</f>
        <v>28.652735402411995</v>
      </c>
      <c r="Q1336">
        <f>IF(ISBLANK(Mitigation_Industry!Q788),"",Mitigation_Industry!Q788)</f>
        <v>29.598275670691589</v>
      </c>
      <c r="R1336">
        <f>IF(ISBLANK(Mitigation_Industry!R788),"",Mitigation_Industry!R788)</f>
        <v>30.575018767824407</v>
      </c>
      <c r="S1336">
        <f>IF(ISBLANK(Mitigation_Industry!S788),"",Mitigation_Industry!S788)</f>
        <v>31.583994387162612</v>
      </c>
      <c r="T1336">
        <f>IF(ISBLANK(Mitigation_Industry!T788),"",Mitigation_Industry!T788)</f>
        <v>32.626266201938975</v>
      </c>
      <c r="U1336">
        <f>IF(ISBLANK(Mitigation_Industry!U788),"",Mitigation_Industry!U788)</f>
        <v>33.70293298660296</v>
      </c>
      <c r="V1336">
        <f>IF(ISBLANK(Mitigation_Industry!V788),"",Mitigation_Industry!V788)</f>
        <v>34.815129775160841</v>
      </c>
      <c r="W1336">
        <f>IF(ISBLANK(Mitigation_Industry!W788),"",Mitigation_Industry!W788)</f>
        <v>35.964029057741151</v>
      </c>
      <c r="X1336">
        <f>IF(ISBLANK(Mitigation_Industry!X788),"",Mitigation_Industry!X788)</f>
        <v>37.150842016646592</v>
      </c>
      <c r="Y1336">
        <f>IF(ISBLANK(Mitigation_Industry!Y788),"",Mitigation_Industry!Y788)</f>
        <v>38.376819803195943</v>
      </c>
      <c r="Z1336">
        <f>IF(ISBLANK(Mitigation_Industry!Z788),"",Mitigation_Industry!Z788)</f>
        <v>39.643254856701404</v>
      </c>
      <c r="AA1336">
        <f>IF(ISBLANK(Mitigation_Industry!AA788),"",Mitigation_Industry!AA788)</f>
        <v>40.951482266972548</v>
      </c>
      <c r="AB1336">
        <f>IF(ISBLANK(Mitigation_Industry!AB788),"",Mitigation_Industry!AB788)</f>
        <v>42.302881181782631</v>
      </c>
      <c r="AC1336">
        <f>IF(ISBLANK(Mitigation_Industry!AC788),"",Mitigation_Industry!AC788)</f>
        <v>43.698876260781446</v>
      </c>
      <c r="AD1336">
        <f>IF(ISBLANK(Mitigation_Industry!AD788),"",Mitigation_Industry!AD788)</f>
        <v>45.140939177387231</v>
      </c>
      <c r="AE1336">
        <f>IF(ISBLANK(Mitigation_Industry!AE788),"",Mitigation_Industry!AE788)</f>
        <v>46.630590170241007</v>
      </c>
    </row>
    <row r="1337" spans="1:31" x14ac:dyDescent="0.45">
      <c r="A1337" t="s">
        <v>1683</v>
      </c>
      <c r="B1337" t="s">
        <v>1482</v>
      </c>
      <c r="C1337" t="s">
        <v>287</v>
      </c>
      <c r="D1337">
        <v>2</v>
      </c>
      <c r="E1337" t="s">
        <v>1161</v>
      </c>
      <c r="F1337">
        <f>MAX(MAX(L1337:AE1337),-MIN(L1337:AE1337))</f>
        <v>0.95741397050655763</v>
      </c>
      <c r="I1337" t="s">
        <v>1492</v>
      </c>
      <c r="K1337">
        <f t="shared" ref="K1337:AE1337" si="331">IF(ISNUMBER(K1335),IF(ISNUMBER(K1336),K1336-K1335,999999),0)</f>
        <v>0</v>
      </c>
      <c r="L1337">
        <f t="shared" si="331"/>
        <v>0.51664669020109599</v>
      </c>
      <c r="M1337">
        <f t="shared" si="331"/>
        <v>0.53369603097773322</v>
      </c>
      <c r="N1337">
        <f t="shared" si="331"/>
        <v>0.5513079999999988</v>
      </c>
      <c r="O1337">
        <f t="shared" si="331"/>
        <v>0.56950116399999828</v>
      </c>
      <c r="P1337">
        <f t="shared" si="331"/>
        <v>0.58829470241199999</v>
      </c>
      <c r="Q1337">
        <f t="shared" si="331"/>
        <v>0.60770842759159649</v>
      </c>
      <c r="R1337">
        <f t="shared" si="331"/>
        <v>0.6277628057021154</v>
      </c>
      <c r="S1337">
        <f t="shared" si="331"/>
        <v>0.64847897829028867</v>
      </c>
      <c r="T1337">
        <f t="shared" si="331"/>
        <v>0.66987878457386429</v>
      </c>
      <c r="U1337">
        <f t="shared" si="331"/>
        <v>0.69198478446480749</v>
      </c>
      <c r="V1337">
        <f t="shared" si="331"/>
        <v>0.71482028235213591</v>
      </c>
      <c r="W1337">
        <f t="shared" si="331"/>
        <v>0.73840935166975186</v>
      </c>
      <c r="X1337">
        <f t="shared" si="331"/>
        <v>0.76277686027484748</v>
      </c>
      <c r="Y1337">
        <f t="shared" si="331"/>
        <v>0.78794849666392963</v>
      </c>
      <c r="Z1337">
        <f t="shared" si="331"/>
        <v>0.81395079705383466</v>
      </c>
      <c r="AA1337">
        <f t="shared" si="331"/>
        <v>0.84081117335661304</v>
      </c>
      <c r="AB1337">
        <f t="shared" si="331"/>
        <v>0.86855794207737347</v>
      </c>
      <c r="AC1337">
        <f t="shared" si="331"/>
        <v>0.89722035416592405</v>
      </c>
      <c r="AD1337">
        <f t="shared" si="331"/>
        <v>0.9268286258533962</v>
      </c>
      <c r="AE1337">
        <f t="shared" si="331"/>
        <v>0.95741397050655763</v>
      </c>
    </row>
    <row r="1339" spans="1:31" x14ac:dyDescent="0.45">
      <c r="A1339" t="s">
        <v>1684</v>
      </c>
      <c r="B1339" t="s">
        <v>1482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1684</v>
      </c>
      <c r="B1340" t="s">
        <v>1482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26.751620146588561</v>
      </c>
      <c r="M1340">
        <f>IF(ISBLANK(Mitigation_Industry!M789),"",Mitigation_Industry!M789)</f>
        <v>27.646438017449757</v>
      </c>
      <c r="N1340">
        <f>IF(ISBLANK(Mitigation_Industry!N789),"",Mitigation_Industry!N789)</f>
        <v>28.571608133999998</v>
      </c>
      <c r="O1340">
        <f>IF(ISBLANK(Mitigation_Industry!O789),"",Mitigation_Industry!O789)</f>
        <v>29.528179985927999</v>
      </c>
      <c r="P1340">
        <f>IF(ISBLANK(Mitigation_Industry!P789),"",Mitigation_Industry!P789)</f>
        <v>30.517240342133586</v>
      </c>
      <c r="Q1340">
        <f>IF(ISBLANK(Mitigation_Industry!Q789),"",Mitigation_Industry!Q789)</f>
        <v>31.539914624858142</v>
      </c>
      <c r="R1340">
        <f>IF(ISBLANK(Mitigation_Industry!R789),"",Mitigation_Industry!R789)</f>
        <v>32.597368336956976</v>
      </c>
      <c r="S1340">
        <f>IF(ISBLANK(Mitigation_Industry!S789),"",Mitigation_Industry!S789)</f>
        <v>33.690808544489862</v>
      </c>
      <c r="T1340">
        <f>IF(ISBLANK(Mitigation_Industry!T789),"",Mitigation_Industry!T789)</f>
        <v>34.821485416900551</v>
      </c>
      <c r="U1340">
        <f>IF(ISBLANK(Mitigation_Industry!U789),"",Mitigation_Industry!U789)</f>
        <v>35.990693827155248</v>
      </c>
      <c r="V1340">
        <f>IF(ISBLANK(Mitigation_Industry!V789),"",Mitigation_Industry!V789)</f>
        <v>37.19977501431368</v>
      </c>
      <c r="W1340">
        <f>IF(ISBLANK(Mitigation_Industry!W789),"",Mitigation_Industry!W789)</f>
        <v>38.450118311115105</v>
      </c>
      <c r="X1340">
        <f>IF(ISBLANK(Mitigation_Industry!X789),"",Mitigation_Industry!X789)</f>
        <v>39.743162939274711</v>
      </c>
      <c r="Y1340">
        <f>IF(ISBLANK(Mitigation_Industry!Y789),"",Mitigation_Industry!Y789)</f>
        <v>41.08039987530541</v>
      </c>
      <c r="Z1340">
        <f>IF(ISBLANK(Mitigation_Industry!Z789),"",Mitigation_Industry!Z789)</f>
        <v>42.463373789803512</v>
      </c>
      <c r="AA1340">
        <f>IF(ISBLANK(Mitigation_Industry!AA789),"",Mitigation_Industry!AA789)</f>
        <v>43.893685063268059</v>
      </c>
      <c r="AB1340">
        <f>IF(ISBLANK(Mitigation_Industry!AB789),"",Mitigation_Industry!AB789)</f>
        <v>45.372991881658805</v>
      </c>
      <c r="AC1340">
        <f>IF(ISBLANK(Mitigation_Industry!AC789),"",Mitigation_Industry!AC789)</f>
        <v>46.903012415041424</v>
      </c>
      <c r="AD1340">
        <f>IF(ISBLANK(Mitigation_Industry!AD789),"",Mitigation_Industry!AD789)</f>
        <v>48.485527082817555</v>
      </c>
      <c r="AE1340">
        <f>IF(ISBLANK(Mitigation_Industry!AE789),"",Mitigation_Industry!AE789)</f>
        <v>50.122380909193787</v>
      </c>
    </row>
    <row r="1341" spans="1:31" x14ac:dyDescent="0.45">
      <c r="A1341" t="s">
        <v>1684</v>
      </c>
      <c r="B1341" t="s">
        <v>1482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1492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1685</v>
      </c>
      <c r="B1343" t="s">
        <v>1483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1685</v>
      </c>
      <c r="B1344" t="s">
        <v>1483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41.420064713506875</v>
      </c>
      <c r="R1344">
        <f>IF(ISBLANK(Mitigation_Industry!R791),"",Mitigation_Industry!R791)</f>
        <v>86.485095121802345</v>
      </c>
      <c r="S1344">
        <f>IF(ISBLANK(Mitigation_Industry!S791),"",Mitigation_Industry!S791)</f>
        <v>135.43565896074247</v>
      </c>
      <c r="T1344">
        <f>IF(ISBLANK(Mitigation_Industry!T791),"",Mitigation_Industry!T791)</f>
        <v>188.52643727335357</v>
      </c>
      <c r="U1344">
        <f>IF(ISBLANK(Mitigation_Industry!U791),"",Mitigation_Industry!U791)</f>
        <v>246.0270006417264</v>
      </c>
      <c r="V1344">
        <f>IF(ISBLANK(Mitigation_Industry!V791),"",Mitigation_Industry!V791)</f>
        <v>308.22262640395479</v>
      </c>
      <c r="W1344">
        <f>IF(ISBLANK(Mitigation_Industry!W791),"",Mitigation_Industry!W791)</f>
        <v>375.41515896001692</v>
      </c>
      <c r="X1344">
        <f>IF(ISBLANK(Mitigation_Industry!X791),"",Mitigation_Industry!X791)</f>
        <v>447.92391537629453</v>
      </c>
      <c r="Y1344">
        <f>IF(ISBLANK(Mitigation_Industry!Y791),"",Mitigation_Industry!Y791)</f>
        <v>526.08663860945808</v>
      </c>
      <c r="Z1344">
        <f>IF(ISBLANK(Mitigation_Industry!Z791),"",Mitigation_Industry!Z791)</f>
        <v>610.26050078697119</v>
      </c>
      <c r="AA1344">
        <f>IF(ISBLANK(Mitigation_Industry!AA791),"",Mitigation_Industry!AA791)</f>
        <v>700.82315910375769</v>
      </c>
      <c r="AB1344">
        <f>IF(ISBLANK(Mitigation_Industry!AB791),"",Mitigation_Industry!AB791)</f>
        <v>798.17386702289809</v>
      </c>
      <c r="AC1344">
        <f>IF(ISBLANK(Mitigation_Industry!AC791),"",Mitigation_Industry!AC791)</f>
        <v>902.73464360289768</v>
      </c>
      <c r="AD1344">
        <f>IF(ISBLANK(Mitigation_Industry!AD791),"",Mitigation_Industry!AD791)</f>
        <v>1014.951503915381</v>
      </c>
      <c r="AE1344">
        <f>IF(ISBLANK(Mitigation_Industry!AE791),"",Mitigation_Industry!AE791)</f>
        <v>1135.2957536653473</v>
      </c>
    </row>
    <row r="1345" spans="1:31" x14ac:dyDescent="0.45">
      <c r="A1345" t="s">
        <v>1685</v>
      </c>
      <c r="B1345" t="s">
        <v>1483</v>
      </c>
      <c r="C1345" t="s">
        <v>1350</v>
      </c>
      <c r="D1345">
        <v>2</v>
      </c>
      <c r="E1345" t="s">
        <v>1161</v>
      </c>
      <c r="F1345">
        <f>MAX(MAX(L1345:AE1345),-MIN(L1345:AE1345))</f>
        <v>1135.2957536653473</v>
      </c>
      <c r="I1345" t="s">
        <v>1571</v>
      </c>
      <c r="J1345" t="s">
        <v>1858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41.420064713506875</v>
      </c>
      <c r="R1345">
        <f t="shared" si="333"/>
        <v>86.485095121802345</v>
      </c>
      <c r="S1345">
        <f t="shared" si="333"/>
        <v>135.43565896074247</v>
      </c>
      <c r="T1345">
        <f t="shared" si="333"/>
        <v>188.52643727335357</v>
      </c>
      <c r="U1345">
        <f t="shared" si="333"/>
        <v>246.0270006417264</v>
      </c>
      <c r="V1345">
        <f t="shared" si="333"/>
        <v>308.22262640395479</v>
      </c>
      <c r="W1345">
        <f t="shared" si="333"/>
        <v>375.41515896001692</v>
      </c>
      <c r="X1345">
        <f t="shared" si="333"/>
        <v>447.92391537629453</v>
      </c>
      <c r="Y1345">
        <f t="shared" si="333"/>
        <v>526.08663860945808</v>
      </c>
      <c r="Z1345">
        <f t="shared" si="333"/>
        <v>610.26050078697119</v>
      </c>
      <c r="AA1345">
        <f t="shared" si="333"/>
        <v>700.82315910375769</v>
      </c>
      <c r="AB1345">
        <f t="shared" si="333"/>
        <v>798.17386702289809</v>
      </c>
      <c r="AC1345">
        <f t="shared" si="333"/>
        <v>902.73464360289768</v>
      </c>
      <c r="AD1345">
        <f t="shared" si="333"/>
        <v>1014.951503915381</v>
      </c>
      <c r="AE1345">
        <f t="shared" si="333"/>
        <v>1135.2957536653473</v>
      </c>
    </row>
    <row r="1347" spans="1:31" x14ac:dyDescent="0.45">
      <c r="A1347" t="s">
        <v>1686</v>
      </c>
      <c r="B1347" t="s">
        <v>1483</v>
      </c>
      <c r="C1347" t="s">
        <v>1355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1686</v>
      </c>
      <c r="B1348" t="s">
        <v>1483</v>
      </c>
      <c r="C1348" t="s">
        <v>1355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3.0641187658752003</v>
      </c>
      <c r="R1348">
        <f>IF(ISBLANK(Mitigation_Industry!R792),"",Mitigation_Industry!R792)</f>
        <v>6.3978799831474173</v>
      </c>
      <c r="S1348">
        <f>IF(ISBLANK(Mitigation_Industry!S792),"",Mitigation_Industry!S792)</f>
        <v>10.019080053608858</v>
      </c>
      <c r="T1348">
        <f>IF(ISBLANK(Mitigation_Industry!T792),"",Mitigation_Industry!T792)</f>
        <v>13.946559434623532</v>
      </c>
      <c r="U1348">
        <f>IF(ISBLANK(Mitigation_Industry!U792),"",Mitigation_Industry!U792)</f>
        <v>18.200260062183709</v>
      </c>
      <c r="V1348">
        <f>IF(ISBLANK(Mitigation_Industry!V792),"",Mitigation_Industry!V792)</f>
        <v>22.801285805903746</v>
      </c>
      <c r="W1348">
        <f>IF(ISBLANK(Mitigation_Industry!W792),"",Mitigation_Industry!W792)</f>
        <v>27.771966111590768</v>
      </c>
      <c r="X1348">
        <f>IF(ISBLANK(Mitigation_Industry!X792),"",Mitigation_Industry!X792)</f>
        <v>33.135922994858014</v>
      </c>
      <c r="Y1348">
        <f>IF(ISBLANK(Mitigation_Industry!Y792),"",Mitigation_Industry!Y792)</f>
        <v>38.918141557460743</v>
      </c>
      <c r="Z1348">
        <f>IF(ISBLANK(Mitigation_Industry!Z792),"",Mitigation_Industry!Z792)</f>
        <v>45.145044206654454</v>
      </c>
      <c r="AA1348">
        <f>IF(ISBLANK(Mitigation_Industry!AA792),"",Mitigation_Industry!AA792)</f>
        <v>51.844568766921974</v>
      </c>
      <c r="AB1348">
        <f>IF(ISBLANK(Mitigation_Industry!AB792),"",Mitigation_Industry!AB792)</f>
        <v>59.046250682908969</v>
      </c>
      <c r="AC1348">
        <f>IF(ISBLANK(Mitigation_Industry!AC792),"",Mitigation_Industry!AC792)</f>
        <v>66.781309522370037</v>
      </c>
      <c r="AD1348">
        <f>IF(ISBLANK(Mitigation_Industry!AD792),"",Mitigation_Industry!AD792)</f>
        <v>75.082739998381584</v>
      </c>
      <c r="AE1348">
        <f>IF(ISBLANK(Mitigation_Industry!AE792),"",Mitigation_Industry!AE792)</f>
        <v>83.985407741046814</v>
      </c>
    </row>
    <row r="1349" spans="1:31" x14ac:dyDescent="0.45">
      <c r="A1349" t="s">
        <v>1686</v>
      </c>
      <c r="B1349" t="s">
        <v>1483</v>
      </c>
      <c r="C1349" t="s">
        <v>1355</v>
      </c>
      <c r="D1349">
        <v>2</v>
      </c>
      <c r="E1349" t="s">
        <v>1161</v>
      </c>
      <c r="F1349">
        <f>MAX(MAX(L1349:AE1349),-MIN(L1349:AE1349))</f>
        <v>83.985407741046814</v>
      </c>
      <c r="I1349" t="s">
        <v>1571</v>
      </c>
      <c r="J1349" t="s">
        <v>1858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3.0641187658752003</v>
      </c>
      <c r="R1349">
        <f t="shared" si="334"/>
        <v>6.3978799831474173</v>
      </c>
      <c r="S1349">
        <f t="shared" si="334"/>
        <v>10.019080053608858</v>
      </c>
      <c r="T1349">
        <f t="shared" si="334"/>
        <v>13.946559434623532</v>
      </c>
      <c r="U1349">
        <f t="shared" si="334"/>
        <v>18.200260062183709</v>
      </c>
      <c r="V1349">
        <f t="shared" si="334"/>
        <v>22.801285805903746</v>
      </c>
      <c r="W1349">
        <f t="shared" si="334"/>
        <v>27.771966111590768</v>
      </c>
      <c r="X1349">
        <f t="shared" si="334"/>
        <v>33.135922994858014</v>
      </c>
      <c r="Y1349">
        <f t="shared" si="334"/>
        <v>38.918141557460743</v>
      </c>
      <c r="Z1349">
        <f t="shared" si="334"/>
        <v>45.145044206654454</v>
      </c>
      <c r="AA1349">
        <f t="shared" si="334"/>
        <v>51.844568766921974</v>
      </c>
      <c r="AB1349">
        <f t="shared" si="334"/>
        <v>59.046250682908969</v>
      </c>
      <c r="AC1349">
        <f t="shared" si="334"/>
        <v>66.781309522370037</v>
      </c>
      <c r="AD1349">
        <f t="shared" si="334"/>
        <v>75.082739998381584</v>
      </c>
      <c r="AE1349">
        <f t="shared" si="334"/>
        <v>83.985407741046814</v>
      </c>
    </row>
    <row r="1351" spans="1:31" x14ac:dyDescent="0.45">
      <c r="A1351" t="s">
        <v>1687</v>
      </c>
      <c r="B1351" t="s">
        <v>1483</v>
      </c>
      <c r="C1351" t="s">
        <v>1359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1687</v>
      </c>
      <c r="B1352" t="s">
        <v>1483</v>
      </c>
      <c r="C1352" t="s">
        <v>1359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1687</v>
      </c>
      <c r="B1353" t="s">
        <v>1483</v>
      </c>
      <c r="C1353" t="s">
        <v>1359</v>
      </c>
      <c r="D1353">
        <v>2</v>
      </c>
      <c r="E1353" t="s">
        <v>1161</v>
      </c>
      <c r="F1353">
        <f>MAX(MAX(L1353:AE1353),-MIN(L1353:AE1353))</f>
        <v>0</v>
      </c>
      <c r="I1353" t="s">
        <v>1571</v>
      </c>
      <c r="J1353" t="s">
        <v>1858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1688</v>
      </c>
      <c r="B1355" t="s">
        <v>1483</v>
      </c>
      <c r="C1355" t="s">
        <v>1363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1688</v>
      </c>
      <c r="B1356" t="s">
        <v>1483</v>
      </c>
      <c r="C1356" t="s">
        <v>1363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216.02967406292771</v>
      </c>
      <c r="R1356">
        <f>IF(ISBLANK(Mitigation_Industry!R794),"",Mitigation_Industry!R794)</f>
        <v>446.31730661400854</v>
      </c>
      <c r="S1356">
        <f>IF(ISBLANK(Mitigation_Industry!S794),"",Mitigation_Industry!S794)</f>
        <v>691.56866659840648</v>
      </c>
      <c r="T1356">
        <f>IF(ISBLANK(Mitigation_Industry!T794),"",Mitigation_Industry!T794)</f>
        <v>952.52057679487154</v>
      </c>
      <c r="U1356">
        <f>IF(ISBLANK(Mitigation_Industry!U794),"",Mitigation_Industry!U794)</f>
        <v>1229.9421947863777</v>
      </c>
      <c r="V1356">
        <f>IF(ISBLANK(Mitigation_Industry!V794),"",Mitigation_Industry!V794)</f>
        <v>1524.6363446571936</v>
      </c>
      <c r="W1356">
        <f>IF(ISBLANK(Mitigation_Industry!W794),"",Mitigation_Industry!W794)</f>
        <v>1837.440901369361</v>
      </c>
      <c r="X1356">
        <f>IF(ISBLANK(Mitigation_Industry!X794),"",Mitigation_Industry!X794)</f>
        <v>2169.2302298451991</v>
      </c>
      <c r="Y1356">
        <f>IF(ISBLANK(Mitigation_Industry!Y794),"",Mitigation_Industry!Y794)</f>
        <v>2520.9166808588525</v>
      </c>
      <c r="Z1356">
        <f>IF(ISBLANK(Mitigation_Industry!Z794),"",Mitigation_Industry!Z794)</f>
        <v>2893.4521459191046</v>
      </c>
      <c r="AA1356">
        <f>IF(ISBLANK(Mitigation_Industry!AA794),"",Mitigation_Industry!AA794)</f>
        <v>3287.8296734078785</v>
      </c>
      <c r="AB1356">
        <f>IF(ISBLANK(Mitigation_Industry!AB794),"",Mitigation_Industry!AB794)</f>
        <v>3705.0851483240044</v>
      </c>
      <c r="AC1356">
        <f>IF(ISBLANK(Mitigation_Industry!AC794),"",Mitigation_Industry!AC794)</f>
        <v>4146.299038070254</v>
      </c>
      <c r="AD1356">
        <f>IF(ISBLANK(Mitigation_Industry!AD794),"",Mitigation_Industry!AD794)</f>
        <v>4612.5982068132325</v>
      </c>
      <c r="AE1356">
        <f>IF(ISBLANK(Mitigation_Industry!AE794),"",Mitigation_Industry!AE794)</f>
        <v>5105.1578010407866</v>
      </c>
    </row>
    <row r="1357" spans="1:31" x14ac:dyDescent="0.45">
      <c r="A1357" t="s">
        <v>1688</v>
      </c>
      <c r="B1357" t="s">
        <v>1483</v>
      </c>
      <c r="C1357" t="s">
        <v>1363</v>
      </c>
      <c r="D1357">
        <v>2</v>
      </c>
      <c r="E1357" t="s">
        <v>1161</v>
      </c>
      <c r="F1357">
        <f>MAX(MAX(L1357:AE1357),-MIN(L1357:AE1357))</f>
        <v>5105.1578010407866</v>
      </c>
      <c r="I1357" t="s">
        <v>1571</v>
      </c>
      <c r="J1357" t="s">
        <v>1858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216.02967406292771</v>
      </c>
      <c r="R1357">
        <f t="shared" si="336"/>
        <v>446.31730661400854</v>
      </c>
      <c r="S1357">
        <f t="shared" si="336"/>
        <v>691.56866659840648</v>
      </c>
      <c r="T1357">
        <f t="shared" si="336"/>
        <v>952.52057679487154</v>
      </c>
      <c r="U1357">
        <f t="shared" si="336"/>
        <v>1229.9421947863777</v>
      </c>
      <c r="V1357">
        <f t="shared" si="336"/>
        <v>1524.6363446571936</v>
      </c>
      <c r="W1357">
        <f t="shared" si="336"/>
        <v>1837.440901369361</v>
      </c>
      <c r="X1357">
        <f t="shared" si="336"/>
        <v>2169.2302298451991</v>
      </c>
      <c r="Y1357">
        <f t="shared" si="336"/>
        <v>2520.9166808588525</v>
      </c>
      <c r="Z1357">
        <f t="shared" si="336"/>
        <v>2893.4521459191046</v>
      </c>
      <c r="AA1357">
        <f t="shared" si="336"/>
        <v>3287.8296734078785</v>
      </c>
      <c r="AB1357">
        <f t="shared" si="336"/>
        <v>3705.0851483240044</v>
      </c>
      <c r="AC1357">
        <f t="shared" si="336"/>
        <v>4146.299038070254</v>
      </c>
      <c r="AD1357">
        <f t="shared" si="336"/>
        <v>4612.5982068132325</v>
      </c>
      <c r="AE1357">
        <f t="shared" si="336"/>
        <v>5105.1578010407866</v>
      </c>
    </row>
    <row r="1359" spans="1:31" x14ac:dyDescent="0.45">
      <c r="A1359" t="s">
        <v>1689</v>
      </c>
      <c r="B1359" t="s">
        <v>1483</v>
      </c>
      <c r="C1359" t="s">
        <v>1425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1689</v>
      </c>
      <c r="B1360" t="s">
        <v>1483</v>
      </c>
      <c r="C1360" t="s">
        <v>1425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47.033407685769127</v>
      </c>
      <c r="R1360">
        <f>IF(ISBLANK(Mitigation_Industry!R795),"",Mitigation_Industry!R795)</f>
        <v>96.136285309712079</v>
      </c>
      <c r="S1360">
        <f>IF(ISBLANK(Mitigation_Industry!S795),"",Mitigation_Industry!S795)</f>
        <v>147.37692537978862</v>
      </c>
      <c r="T1360">
        <f>IF(ISBLANK(Mitigation_Industry!T795),"",Mitigation_Industry!T795)</f>
        <v>200.82562365085863</v>
      </c>
      <c r="U1360">
        <f>IF(ISBLANK(Mitigation_Industry!U795),"",Mitigation_Industry!U795)</f>
        <v>256.55473421397193</v>
      </c>
      <c r="V1360">
        <f>IF(ISBLANK(Mitigation_Industry!V795),"",Mitigation_Industry!V795)</f>
        <v>314.63872604001523</v>
      </c>
      <c r="W1360">
        <f>IF(ISBLANK(Mitigation_Industry!W795),"",Mitigation_Industry!W795)</f>
        <v>375.1542410150447</v>
      </c>
      <c r="X1360">
        <f>IF(ISBLANK(Mitigation_Industry!X795),"",Mitigation_Industry!X795)</f>
        <v>438.18015350557226</v>
      </c>
      <c r="Y1360">
        <f>IF(ISBLANK(Mitigation_Industry!Y795),"",Mitigation_Industry!Y795)</f>
        <v>503.7976314930317</v>
      </c>
      <c r="Z1360">
        <f>IF(ISBLANK(Mitigation_Industry!Z795),"",Mitigation_Industry!Z795)</f>
        <v>572.09019931764271</v>
      </c>
      <c r="AA1360">
        <f>IF(ISBLANK(Mitigation_Industry!AA795),"",Mitigation_Industry!AA795)</f>
        <v>643.14380207289389</v>
      </c>
      <c r="AB1360">
        <f>IF(ISBLANK(Mitigation_Industry!AB795),"",Mitigation_Industry!AB795)</f>
        <v>717.04687169290628</v>
      </c>
      <c r="AC1360">
        <f>IF(ISBLANK(Mitigation_Industry!AC795),"",Mitigation_Industry!AC795)</f>
        <v>793.89039477599624</v>
      </c>
      <c r="AD1360">
        <f>IF(ISBLANK(Mitigation_Industry!AD795),"",Mitigation_Industry!AD795)</f>
        <v>873.76798218884267</v>
      </c>
      <c r="AE1360">
        <f>IF(ISBLANK(Mitigation_Industry!AE795),"",Mitigation_Industry!AE795)</f>
        <v>956.77594049678271</v>
      </c>
    </row>
    <row r="1361" spans="1:31" x14ac:dyDescent="0.45">
      <c r="A1361" t="s">
        <v>1689</v>
      </c>
      <c r="B1361" t="s">
        <v>1483</v>
      </c>
      <c r="C1361" t="s">
        <v>1425</v>
      </c>
      <c r="D1361">
        <v>2</v>
      </c>
      <c r="E1361" t="s">
        <v>1161</v>
      </c>
      <c r="F1361">
        <f>MAX(MAX(L1361:AE1361),-MIN(L1361:AE1361))</f>
        <v>956.77594049678271</v>
      </c>
      <c r="I1361" t="s">
        <v>1571</v>
      </c>
      <c r="J1361" t="s">
        <v>1858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47.033407685769127</v>
      </c>
      <c r="R1361">
        <f t="shared" si="337"/>
        <v>96.136285309712079</v>
      </c>
      <c r="S1361">
        <f t="shared" si="337"/>
        <v>147.37692537978862</v>
      </c>
      <c r="T1361">
        <f t="shared" si="337"/>
        <v>200.82562365085863</v>
      </c>
      <c r="U1361">
        <f t="shared" si="337"/>
        <v>256.55473421397193</v>
      </c>
      <c r="V1361">
        <f t="shared" si="337"/>
        <v>314.63872604001523</v>
      </c>
      <c r="W1361">
        <f t="shared" si="337"/>
        <v>375.1542410150447</v>
      </c>
      <c r="X1361">
        <f t="shared" si="337"/>
        <v>438.18015350557226</v>
      </c>
      <c r="Y1361">
        <f t="shared" si="337"/>
        <v>503.7976314930317</v>
      </c>
      <c r="Z1361">
        <f t="shared" si="337"/>
        <v>572.09019931764271</v>
      </c>
      <c r="AA1361">
        <f t="shared" si="337"/>
        <v>643.14380207289389</v>
      </c>
      <c r="AB1361">
        <f t="shared" si="337"/>
        <v>717.04687169290628</v>
      </c>
      <c r="AC1361">
        <f t="shared" si="337"/>
        <v>793.89039477599624</v>
      </c>
      <c r="AD1361">
        <f t="shared" si="337"/>
        <v>873.76798218884267</v>
      </c>
      <c r="AE1361">
        <f t="shared" si="337"/>
        <v>956.77594049678271</v>
      </c>
    </row>
    <row r="1363" spans="1:31" x14ac:dyDescent="0.45">
      <c r="A1363" t="s">
        <v>1690</v>
      </c>
      <c r="B1363" t="s">
        <v>1483</v>
      </c>
      <c r="C1363" t="s">
        <v>1373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1690</v>
      </c>
      <c r="B1364" t="s">
        <v>1483</v>
      </c>
      <c r="C1364" t="s">
        <v>1373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17.898896938579195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33.436206864085982</v>
      </c>
      <c r="X1364">
        <f>IF(ISBLANK(Mitigation_Industry!X796),"",Mitigation_Industry!X796)</f>
        <v>39.053489617252431</v>
      </c>
      <c r="Y1364">
        <f>IF(ISBLANK(Mitigation_Industry!Y796),"",Mitigation_Industry!Y796)</f>
        <v>44.901749687435981</v>
      </c>
      <c r="Z1364">
        <f>IF(ISBLANK(Mitigation_Industry!Z796),"",Mitigation_Industry!Z796)</f>
        <v>50.98843131173286</v>
      </c>
      <c r="AA1364">
        <f>IF(ISBLANK(Mitigation_Industry!AA796),"",Mitigation_Industry!AA796)</f>
        <v>57.321194480650085</v>
      </c>
      <c r="AB1364">
        <f>IF(ISBLANK(Mitigation_Industry!AB796),"",Mitigation_Industry!AB796)</f>
        <v>63.907920828244777</v>
      </c>
      <c r="AC1364">
        <f>IF(ISBLANK(Mitigation_Industry!AC796),"",Mitigation_Industry!AC796)</f>
        <v>70.756719677005009</v>
      </c>
      <c r="AD1364">
        <f>IF(ISBLANK(Mitigation_Industry!AD796),"",Mitigation_Industry!AD796)</f>
        <v>77.875934241429832</v>
      </c>
      <c r="AE1364">
        <f>IF(ISBLANK(Mitigation_Industry!AE796),"",Mitigation_Industry!AE796)</f>
        <v>85.274147994365663</v>
      </c>
    </row>
    <row r="1365" spans="1:31" x14ac:dyDescent="0.45">
      <c r="A1365" t="s">
        <v>1690</v>
      </c>
      <c r="B1365" t="s">
        <v>1483</v>
      </c>
      <c r="C1365" t="s">
        <v>1373</v>
      </c>
      <c r="D1365">
        <v>2</v>
      </c>
      <c r="E1365" t="s">
        <v>1161</v>
      </c>
      <c r="F1365">
        <f>MAX(MAX(L1365:AE1365),-MIN(L1365:AE1365))</f>
        <v>85.274147994365663</v>
      </c>
      <c r="I1365" t="s">
        <v>1571</v>
      </c>
      <c r="J1365" t="s">
        <v>1858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17.898896938579195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33.436206864085982</v>
      </c>
      <c r="X1365">
        <f t="shared" si="338"/>
        <v>39.053489617252431</v>
      </c>
      <c r="Y1365">
        <f t="shared" si="338"/>
        <v>44.901749687435981</v>
      </c>
      <c r="Z1365">
        <f t="shared" si="338"/>
        <v>50.98843131173286</v>
      </c>
      <c r="AA1365">
        <f t="shared" si="338"/>
        <v>57.321194480650085</v>
      </c>
      <c r="AB1365">
        <f t="shared" si="338"/>
        <v>63.907920828244777</v>
      </c>
      <c r="AC1365">
        <f t="shared" si="338"/>
        <v>70.756719677005009</v>
      </c>
      <c r="AD1365">
        <f t="shared" si="338"/>
        <v>77.875934241429832</v>
      </c>
      <c r="AE1365">
        <f t="shared" si="338"/>
        <v>85.274147994365663</v>
      </c>
    </row>
    <row r="1367" spans="1:31" x14ac:dyDescent="0.45">
      <c r="A1367" t="s">
        <v>1691</v>
      </c>
      <c r="B1367" t="s">
        <v>1483</v>
      </c>
      <c r="C1367" t="s">
        <v>1378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1691</v>
      </c>
      <c r="B1368" t="s">
        <v>1483</v>
      </c>
      <c r="C1368" t="s">
        <v>1378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</v>
      </c>
      <c r="U1368">
        <f>IF(ISBLANK(Mitigation_Industry!U797),"",Mitigation_Industry!U797)</f>
        <v>4.8998230369360556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7.1649014708755665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13.694554463195308</v>
      </c>
      <c r="AC1368">
        <f>IF(ISBLANK(Mitigation_Industry!AC797),"",Mitigation_Industry!AC797)</f>
        <v>15.162154216501074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18.273031713078357</v>
      </c>
    </row>
    <row r="1369" spans="1:31" x14ac:dyDescent="0.45">
      <c r="A1369" t="s">
        <v>1691</v>
      </c>
      <c r="B1369" t="s">
        <v>1483</v>
      </c>
      <c r="C1369" t="s">
        <v>1378</v>
      </c>
      <c r="D1369">
        <v>2</v>
      </c>
      <c r="E1369" t="s">
        <v>1161</v>
      </c>
      <c r="F1369">
        <f>MAX(MAX(L1369:AE1369),-MIN(L1369:AE1369))</f>
        <v>18.273031713078357</v>
      </c>
      <c r="I1369" t="s">
        <v>1571</v>
      </c>
      <c r="J1369" t="s">
        <v>1858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</v>
      </c>
      <c r="U1369">
        <f t="shared" si="339"/>
        <v>4.8998230369360556</v>
      </c>
      <c r="V1369">
        <f t="shared" si="339"/>
        <v>6.0091429724983811</v>
      </c>
      <c r="W1369">
        <f t="shared" si="339"/>
        <v>7.1649014708755665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13.694554463195308</v>
      </c>
      <c r="AC1369">
        <f t="shared" si="339"/>
        <v>15.162154216501074</v>
      </c>
      <c r="AD1369">
        <f t="shared" si="339"/>
        <v>16.687700194592107</v>
      </c>
      <c r="AE1369">
        <f t="shared" si="339"/>
        <v>18.273031713078357</v>
      </c>
    </row>
    <row r="1371" spans="1:31" x14ac:dyDescent="0.45">
      <c r="A1371" t="s">
        <v>1692</v>
      </c>
      <c r="B1371" t="s">
        <v>1483</v>
      </c>
      <c r="C1371" t="s">
        <v>1383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1692</v>
      </c>
      <c r="B1372" t="s">
        <v>1483</v>
      </c>
      <c r="C1372" t="s">
        <v>1383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0.5434682643843749</v>
      </c>
      <c r="R1372">
        <f>IF(ISBLANK(Mitigation_Industry!R798),"",Mitigation_Industry!R798)</f>
        <v>1.1467180378510311</v>
      </c>
      <c r="S1372">
        <f>IF(ISBLANK(Mitigation_Industry!S798),"",Mitigation_Industry!S798)</f>
        <v>1.8146812948992566</v>
      </c>
      <c r="T1372">
        <f>IF(ISBLANK(Mitigation_Industry!T798),"",Mitigation_Industry!T798)</f>
        <v>2.5526516881582877</v>
      </c>
      <c r="U1372">
        <f>IF(ISBLANK(Mitigation_Industry!U798),"",Mitigation_Industry!U798)</f>
        <v>3.3663094137587413</v>
      </c>
      <c r="V1372">
        <f>IF(ISBLANK(Mitigation_Industry!V798),"",Mitigation_Industry!V798)</f>
        <v>4.261747717818567</v>
      </c>
      <c r="W1372">
        <f>IF(ISBLANK(Mitigation_Industry!W798),"",Mitigation_Industry!W798)</f>
        <v>5.2455011493483523</v>
      </c>
      <c r="X1372">
        <f>IF(ISBLANK(Mitigation_Industry!X798),"",Mitigation_Industry!X798)</f>
        <v>6.3245756715000132</v>
      </c>
      <c r="Y1372">
        <f>IF(ISBLANK(Mitigation_Industry!Y798),"",Mitigation_Industry!Y798)</f>
        <v>7.506480750111578</v>
      </c>
      <c r="Z1372">
        <f>IF(ISBLANK(Mitigation_Industry!Z798),"",Mitigation_Industry!Z798)</f>
        <v>8.7992635459641271</v>
      </c>
      <c r="AA1372">
        <f>IF(ISBLANK(Mitigation_Industry!AA798),"",Mitigation_Industry!AA798)</f>
        <v>10.211545345091368</v>
      </c>
      <c r="AB1372">
        <f>IF(ISBLANK(Mitigation_Industry!AB798),"",Mitigation_Industry!AB798)</f>
        <v>11.752560369896068</v>
      </c>
      <c r="AC1372">
        <f>IF(ISBLANK(Mitigation_Industry!AC798),"",Mitigation_Industry!AC798)</f>
        <v>13.432197122760376</v>
      </c>
      <c r="AD1372">
        <f>IF(ISBLANK(Mitigation_Industry!AD798),"",Mitigation_Industry!AD798)</f>
        <v>15.261042423320829</v>
      </c>
      <c r="AE1372">
        <f>IF(ISBLANK(Mitigation_Industry!AE798),"",Mitigation_Industry!AE798)</f>
        <v>17.25042831064658</v>
      </c>
    </row>
    <row r="1373" spans="1:31" x14ac:dyDescent="0.45">
      <c r="A1373" t="s">
        <v>1692</v>
      </c>
      <c r="B1373" t="s">
        <v>1483</v>
      </c>
      <c r="C1373" t="s">
        <v>1383</v>
      </c>
      <c r="D1373">
        <v>2</v>
      </c>
      <c r="E1373" t="s">
        <v>1161</v>
      </c>
      <c r="F1373">
        <f>MAX(MAX(L1373:AE1373),-MIN(L1373:AE1373))</f>
        <v>17.25042831064658</v>
      </c>
      <c r="I1373" t="s">
        <v>1571</v>
      </c>
      <c r="J1373" t="s">
        <v>1858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0.5434682643843749</v>
      </c>
      <c r="R1373">
        <f t="shared" si="340"/>
        <v>1.1467180378510311</v>
      </c>
      <c r="S1373">
        <f t="shared" si="340"/>
        <v>1.8146812948992566</v>
      </c>
      <c r="T1373">
        <f t="shared" si="340"/>
        <v>2.5526516881582877</v>
      </c>
      <c r="U1373">
        <f t="shared" si="340"/>
        <v>3.3663094137587413</v>
      </c>
      <c r="V1373">
        <f t="shared" si="340"/>
        <v>4.261747717818567</v>
      </c>
      <c r="W1373">
        <f t="shared" si="340"/>
        <v>5.2455011493483523</v>
      </c>
      <c r="X1373">
        <f t="shared" si="340"/>
        <v>6.3245756715000132</v>
      </c>
      <c r="Y1373">
        <f t="shared" si="340"/>
        <v>7.506480750111578</v>
      </c>
      <c r="Z1373">
        <f t="shared" si="340"/>
        <v>8.7992635459641271</v>
      </c>
      <c r="AA1373">
        <f t="shared" si="340"/>
        <v>10.211545345091368</v>
      </c>
      <c r="AB1373">
        <f t="shared" si="340"/>
        <v>11.752560369896068</v>
      </c>
      <c r="AC1373">
        <f t="shared" si="340"/>
        <v>13.432197122760376</v>
      </c>
      <c r="AD1373">
        <f t="shared" si="340"/>
        <v>15.261042423320829</v>
      </c>
      <c r="AE1373">
        <f t="shared" si="340"/>
        <v>17.25042831064658</v>
      </c>
    </row>
    <row r="1375" spans="1:31" x14ac:dyDescent="0.45">
      <c r="A1375" t="s">
        <v>1693</v>
      </c>
      <c r="B1375" t="s">
        <v>1483</v>
      </c>
      <c r="C1375" t="s">
        <v>1484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1693</v>
      </c>
      <c r="B1376" t="s">
        <v>1483</v>
      </c>
      <c r="C1376" t="s">
        <v>1484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313.18092912945133</v>
      </c>
      <c r="R1376">
        <f>IF(ISBLANK(Mitigation_Industry!R799),"",Mitigation_Industry!R799)</f>
        <v>646.88764494852489</v>
      </c>
      <c r="S1376">
        <f>IF(ISBLANK(Mitigation_Industry!S799),"",Mitigation_Industry!S799)</f>
        <v>1002.1648959865571</v>
      </c>
      <c r="T1376">
        <f>IF(ISBLANK(Mitigation_Industry!T799),"",Mitigation_Industry!T799)</f>
        <v>1380.1062236958546</v>
      </c>
      <c r="U1376">
        <f>IF(ISBLANK(Mitigation_Industry!U799),"",Mitigation_Industry!U799)</f>
        <v>1781.8561629939895</v>
      </c>
      <c r="V1376">
        <f>IF(ISBLANK(Mitigation_Industry!V799),"",Mitigation_Industry!V799)</f>
        <v>2208.6125408023772</v>
      </c>
      <c r="W1376">
        <f>IF(ISBLANK(Mitigation_Industry!W799),"",Mitigation_Industry!W799)</f>
        <v>2661.6288769403232</v>
      </c>
      <c r="X1376">
        <f>IF(ISBLANK(Mitigation_Industry!X799),"",Mitigation_Industry!X799)</f>
        <v>3142.2168919286596</v>
      </c>
      <c r="Y1376">
        <f>IF(ISBLANK(Mitigation_Industry!Y799),"",Mitigation_Industry!Y799)</f>
        <v>3651.7491264608011</v>
      </c>
      <c r="Z1376">
        <f>IF(ISBLANK(Mitigation_Industry!Z799),"",Mitigation_Industry!Z799)</f>
        <v>4191.6616775120128</v>
      </c>
      <c r="AA1376">
        <f>IF(ISBLANK(Mitigation_Industry!AA799),"",Mitigation_Industry!AA799)</f>
        <v>4763.45705628019</v>
      </c>
      <c r="AB1376">
        <f>IF(ISBLANK(Mitigation_Industry!AB799),"",Mitigation_Industry!AB799)</f>
        <v>5368.7071733840539</v>
      </c>
      <c r="AC1376">
        <f>IF(ISBLANK(Mitigation_Industry!AC799),"",Mitigation_Industry!AC799)</f>
        <v>6009.0564569877843</v>
      </c>
      <c r="AD1376">
        <f>IF(ISBLANK(Mitigation_Industry!AD799),"",Mitigation_Industry!AD799)</f>
        <v>6686.2251097751796</v>
      </c>
      <c r="AE1376">
        <f>IF(ISBLANK(Mitigation_Industry!AE799),"",Mitigation_Industry!AE799)</f>
        <v>7402.012510962054</v>
      </c>
    </row>
    <row r="1377" spans="1:35" x14ac:dyDescent="0.45">
      <c r="A1377" t="s">
        <v>1693</v>
      </c>
      <c r="B1377" t="s">
        <v>1483</v>
      </c>
      <c r="C1377" t="s">
        <v>1484</v>
      </c>
      <c r="D1377">
        <v>2</v>
      </c>
      <c r="E1377" t="s">
        <v>1161</v>
      </c>
      <c r="F1377">
        <f>MAX(MAX(L1377:AE1377),-MIN(L1377:AE1377))</f>
        <v>7402.012510962054</v>
      </c>
      <c r="I1377" t="s">
        <v>1571</v>
      </c>
      <c r="J1377" t="s">
        <v>1858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313.18092912945133</v>
      </c>
      <c r="R1377">
        <f t="shared" si="341"/>
        <v>646.88764494852489</v>
      </c>
      <c r="S1377">
        <f t="shared" si="341"/>
        <v>1002.1648959865571</v>
      </c>
      <c r="T1377">
        <f t="shared" si="341"/>
        <v>1380.1062236958546</v>
      </c>
      <c r="U1377">
        <f t="shared" si="341"/>
        <v>1781.8561629939895</v>
      </c>
      <c r="V1377">
        <f t="shared" si="341"/>
        <v>2208.6125408023772</v>
      </c>
      <c r="W1377">
        <f t="shared" si="341"/>
        <v>2661.6288769403232</v>
      </c>
      <c r="X1377">
        <f t="shared" si="341"/>
        <v>3142.2168919286596</v>
      </c>
      <c r="Y1377">
        <f t="shared" si="341"/>
        <v>3651.7491264608011</v>
      </c>
      <c r="Z1377">
        <f t="shared" si="341"/>
        <v>4191.6616775120128</v>
      </c>
      <c r="AA1377">
        <f t="shared" si="341"/>
        <v>4763.45705628019</v>
      </c>
      <c r="AB1377">
        <f t="shared" si="341"/>
        <v>5368.7071733840539</v>
      </c>
      <c r="AC1377">
        <f t="shared" si="341"/>
        <v>6009.0564569877843</v>
      </c>
      <c r="AD1377">
        <f t="shared" si="341"/>
        <v>6686.2251097751796</v>
      </c>
      <c r="AE1377">
        <f t="shared" si="341"/>
        <v>7402.012510962054</v>
      </c>
    </row>
    <row r="1380" spans="1:35" x14ac:dyDescent="0.45">
      <c r="A1380" s="52" t="s">
        <v>1848</v>
      </c>
    </row>
    <row r="1381" spans="1:35" x14ac:dyDescent="0.45">
      <c r="A1381" t="s">
        <v>1850</v>
      </c>
      <c r="D1381" s="92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1489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1403</v>
      </c>
      <c r="D1383">
        <v>2</v>
      </c>
      <c r="E1383" t="s">
        <v>1699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1403</v>
      </c>
      <c r="D1384">
        <v>2</v>
      </c>
      <c r="E1384" t="s">
        <v>1820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1403</v>
      </c>
      <c r="D1385">
        <v>2</v>
      </c>
      <c r="E1385" t="s">
        <v>1161</v>
      </c>
      <c r="F1385">
        <f>MAX(MAX(L1385:AE1385),-MIN(L1385:AE1385))</f>
        <v>0</v>
      </c>
      <c r="I1385" t="s">
        <v>1849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1404</v>
      </c>
      <c r="D1387">
        <v>2</v>
      </c>
      <c r="E1387" t="s">
        <v>1699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1404</v>
      </c>
      <c r="D1388">
        <v>2</v>
      </c>
      <c r="E1388" t="s">
        <v>1820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1404</v>
      </c>
      <c r="D1389">
        <v>2</v>
      </c>
      <c r="E1389" t="s">
        <v>1161</v>
      </c>
      <c r="F1389">
        <f>MAX(MAX(L1389:AE1389),-MIN(L1389:AE1389))</f>
        <v>0</v>
      </c>
      <c r="I1389" t="s">
        <v>1849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1699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1820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1849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1699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1820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1849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1699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1820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1849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1699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1820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1849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1699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1820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1849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1699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1820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1849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1699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1820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1849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1699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1820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1849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1699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1820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1849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45">
      <c r="A1428" s="52" t="s">
        <v>1859</v>
      </c>
    </row>
    <row r="1429" spans="1:35" x14ac:dyDescent="0.45">
      <c r="A1429" t="s">
        <v>1865</v>
      </c>
      <c r="D1429" s="98">
        <f>MAX(F1431:F1439)</f>
        <v>0</v>
      </c>
    </row>
    <row r="1430" spans="1:35" x14ac:dyDescent="0.45">
      <c r="A1430" s="50" t="s">
        <v>1488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1489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45">
      <c r="A1431" t="s">
        <v>1860</v>
      </c>
      <c r="D1431">
        <v>1</v>
      </c>
      <c r="E1431" t="s">
        <v>1161</v>
      </c>
      <c r="F1431" s="97">
        <f t="shared" ref="F1431:F1438" si="353">MAX(MAX(L1431:AE1431),-MIN(L1431:AE1431))</f>
        <v>0</v>
      </c>
      <c r="I1431">
        <v>0</v>
      </c>
      <c r="L1431" s="97">
        <f>Mitigation_Industry!L400-Mitigation_Industry!L382-Mitigation_Industry!L383</f>
        <v>0</v>
      </c>
      <c r="M1431" s="97">
        <f>Mitigation_Industry!M400-Mitigation_Industry!M382-Mitigation_Industry!M383</f>
        <v>0</v>
      </c>
      <c r="N1431" s="97">
        <f>Mitigation_Industry!N400-Mitigation_Industry!N382-Mitigation_Industry!N383</f>
        <v>0</v>
      </c>
      <c r="O1431" s="97">
        <f>Mitigation_Industry!O400-Mitigation_Industry!O382-Mitigation_Industry!O383</f>
        <v>0</v>
      </c>
      <c r="P1431" s="97">
        <f>Mitigation_Industry!P400-Mitigation_Industry!P382-Mitigation_Industry!P383</f>
        <v>0</v>
      </c>
      <c r="Q1431" s="97">
        <f>Mitigation_Industry!Q400-Mitigation_Industry!Q382-Mitigation_Industry!Q383</f>
        <v>0</v>
      </c>
      <c r="R1431" s="97">
        <f>Mitigation_Industry!R400-Mitigation_Industry!R382-Mitigation_Industry!R383</f>
        <v>0</v>
      </c>
      <c r="S1431" s="97">
        <f>Mitigation_Industry!S400-Mitigation_Industry!S382-Mitigation_Industry!S383</f>
        <v>0</v>
      </c>
      <c r="T1431" s="97">
        <f>Mitigation_Industry!T400-Mitigation_Industry!T382-Mitigation_Industry!T383</f>
        <v>0</v>
      </c>
      <c r="U1431" s="97">
        <f>Mitigation_Industry!U400-Mitigation_Industry!U382-Mitigation_Industry!U383</f>
        <v>0</v>
      </c>
      <c r="V1431" s="97">
        <f>Mitigation_Industry!V400-Mitigation_Industry!V382-Mitigation_Industry!V383</f>
        <v>0</v>
      </c>
      <c r="W1431" s="97">
        <f>Mitigation_Industry!W400-Mitigation_Industry!W382-Mitigation_Industry!W383</f>
        <v>0</v>
      </c>
      <c r="X1431" s="97">
        <f>Mitigation_Industry!X400-Mitigation_Industry!X382-Mitigation_Industry!X383</f>
        <v>0</v>
      </c>
      <c r="Y1431" s="97">
        <f>Mitigation_Industry!Y400-Mitigation_Industry!Y382-Mitigation_Industry!Y383</f>
        <v>0</v>
      </c>
      <c r="Z1431" s="97">
        <f>Mitigation_Industry!Z400-Mitigation_Industry!Z382-Mitigation_Industry!Z383</f>
        <v>0</v>
      </c>
      <c r="AA1431" s="97">
        <f>Mitigation_Industry!AA400-Mitigation_Industry!AA382-Mitigation_Industry!AA383</f>
        <v>0</v>
      </c>
      <c r="AB1431" s="97">
        <f>Mitigation_Industry!AB400-Mitigation_Industry!AB382-Mitigation_Industry!AB383</f>
        <v>0</v>
      </c>
      <c r="AC1431" s="97">
        <f>Mitigation_Industry!AC400-Mitigation_Industry!AC382-Mitigation_Industry!AC383</f>
        <v>0</v>
      </c>
      <c r="AD1431" s="97">
        <f>Mitigation_Industry!AD400-Mitigation_Industry!AD382-Mitigation_Industry!AD383</f>
        <v>0</v>
      </c>
      <c r="AE1431" s="97">
        <f>Mitigation_Industry!AE400-Mitigation_Industry!AE382-Mitigation_Industry!AE383</f>
        <v>0</v>
      </c>
    </row>
    <row r="1432" spans="1:35" x14ac:dyDescent="0.45">
      <c r="A1432" t="s">
        <v>1861</v>
      </c>
      <c r="D1432">
        <v>1</v>
      </c>
      <c r="E1432" t="s">
        <v>1161</v>
      </c>
      <c r="F1432" s="97">
        <f t="shared" si="353"/>
        <v>0</v>
      </c>
      <c r="I1432">
        <v>0</v>
      </c>
      <c r="L1432" s="97">
        <f>Mitigation_Industry!L400-SUM(Mitigation_Industry!L392:L399)</f>
        <v>0</v>
      </c>
      <c r="M1432" s="97">
        <f>Mitigation_Industry!M400-SUM(Mitigation_Industry!M392:M399)</f>
        <v>0</v>
      </c>
      <c r="N1432" s="97">
        <f>Mitigation_Industry!N400-SUM(Mitigation_Industry!N392:N399)</f>
        <v>0</v>
      </c>
      <c r="O1432" s="97">
        <f>Mitigation_Industry!O400-SUM(Mitigation_Industry!O392:O399)</f>
        <v>0</v>
      </c>
      <c r="P1432" s="97">
        <f>Mitigation_Industry!P400-SUM(Mitigation_Industry!P392:P399)</f>
        <v>0</v>
      </c>
      <c r="Q1432" s="97">
        <f>Mitigation_Industry!Q400-SUM(Mitigation_Industry!Q392:Q399)</f>
        <v>0</v>
      </c>
      <c r="R1432" s="97">
        <f>Mitigation_Industry!R400-SUM(Mitigation_Industry!R392:R399)</f>
        <v>0</v>
      </c>
      <c r="S1432" s="97">
        <f>Mitigation_Industry!S400-SUM(Mitigation_Industry!S392:S399)</f>
        <v>0</v>
      </c>
      <c r="T1432" s="97">
        <f>Mitigation_Industry!T400-SUM(Mitigation_Industry!T392:T399)</f>
        <v>0</v>
      </c>
      <c r="U1432" s="97">
        <f>Mitigation_Industry!U400-SUM(Mitigation_Industry!U392:U399)</f>
        <v>0</v>
      </c>
      <c r="V1432" s="97">
        <f>Mitigation_Industry!V400-SUM(Mitigation_Industry!V392:V399)</f>
        <v>0</v>
      </c>
      <c r="W1432" s="97">
        <f>Mitigation_Industry!W400-SUM(Mitigation_Industry!W392:W399)</f>
        <v>0</v>
      </c>
      <c r="X1432" s="97">
        <f>Mitigation_Industry!X400-SUM(Mitigation_Industry!X392:X399)</f>
        <v>0</v>
      </c>
      <c r="Y1432" s="97">
        <f>Mitigation_Industry!Y400-SUM(Mitigation_Industry!Y392:Y399)</f>
        <v>0</v>
      </c>
      <c r="Z1432" s="97">
        <f>Mitigation_Industry!Z400-SUM(Mitigation_Industry!Z392:Z399)</f>
        <v>0</v>
      </c>
      <c r="AA1432" s="97">
        <f>Mitigation_Industry!AA400-SUM(Mitigation_Industry!AA392:AA399)</f>
        <v>0</v>
      </c>
      <c r="AB1432" s="97">
        <f>Mitigation_Industry!AB400-SUM(Mitigation_Industry!AB392:AB399)</f>
        <v>0</v>
      </c>
      <c r="AC1432" s="97">
        <f>Mitigation_Industry!AC400-SUM(Mitigation_Industry!AC392:AC399)</f>
        <v>0</v>
      </c>
      <c r="AD1432" s="97">
        <f>Mitigation_Industry!AD400-SUM(Mitigation_Industry!AD392:AD399)</f>
        <v>0</v>
      </c>
      <c r="AE1432" s="97">
        <f>Mitigation_Industry!AE400-SUM(Mitigation_Industry!AE392:AE399)</f>
        <v>0</v>
      </c>
    </row>
    <row r="1433" spans="1:35" x14ac:dyDescent="0.45">
      <c r="A1433" t="s">
        <v>1862</v>
      </c>
      <c r="D1433">
        <v>1</v>
      </c>
      <c r="E1433" t="s">
        <v>1161</v>
      </c>
      <c r="F1433" s="97">
        <f t="shared" si="353"/>
        <v>0</v>
      </c>
      <c r="I1433">
        <v>0</v>
      </c>
      <c r="L1433" s="97">
        <f>Mitigation_Industry!L380-SUM(Mitigation_Industry!L374:L378)-SUM(Mitigation_Industry!L385:L389)</f>
        <v>0</v>
      </c>
      <c r="M1433" s="97">
        <f>Mitigation_Industry!M380-SUM(Mitigation_Industry!M374:M378)-SUM(Mitigation_Industry!M385:M389)</f>
        <v>0</v>
      </c>
      <c r="N1433" s="97">
        <f>Mitigation_Industry!N380-SUM(Mitigation_Industry!N374:N378)-SUM(Mitigation_Industry!N385:N389)</f>
        <v>0</v>
      </c>
      <c r="O1433" s="97">
        <f>Mitigation_Industry!O380-SUM(Mitigation_Industry!O374:O378)-SUM(Mitigation_Industry!O385:O389)</f>
        <v>0</v>
      </c>
      <c r="P1433" s="97">
        <f>Mitigation_Industry!P380-SUM(Mitigation_Industry!P374:P378)-SUM(Mitigation_Industry!P385:P389)</f>
        <v>0</v>
      </c>
      <c r="Q1433" s="97">
        <f>Mitigation_Industry!Q380-SUM(Mitigation_Industry!Q374:Q378)-SUM(Mitigation_Industry!Q385:Q389)</f>
        <v>0</v>
      </c>
      <c r="R1433" s="97">
        <f>Mitigation_Industry!R380-SUM(Mitigation_Industry!R374:R378)-SUM(Mitigation_Industry!R385:R389)</f>
        <v>0</v>
      </c>
      <c r="S1433" s="97">
        <f>Mitigation_Industry!S380-SUM(Mitigation_Industry!S374:S378)-SUM(Mitigation_Industry!S385:S389)</f>
        <v>0</v>
      </c>
      <c r="T1433" s="97">
        <f>Mitigation_Industry!T380-SUM(Mitigation_Industry!T374:T378)-SUM(Mitigation_Industry!T385:T389)</f>
        <v>0</v>
      </c>
      <c r="U1433" s="97">
        <f>Mitigation_Industry!U380-SUM(Mitigation_Industry!U374:U378)-SUM(Mitigation_Industry!U385:U389)</f>
        <v>0</v>
      </c>
      <c r="V1433" s="97">
        <f>Mitigation_Industry!V380-SUM(Mitigation_Industry!V374:V378)-SUM(Mitigation_Industry!V385:V389)</f>
        <v>0</v>
      </c>
      <c r="W1433" s="97">
        <f>Mitigation_Industry!W380-SUM(Mitigation_Industry!W374:W378)-SUM(Mitigation_Industry!W385:W389)</f>
        <v>0</v>
      </c>
      <c r="X1433" s="97">
        <f>Mitigation_Industry!X380-SUM(Mitigation_Industry!X374:X378)-SUM(Mitigation_Industry!X385:X389)</f>
        <v>0</v>
      </c>
      <c r="Y1433" s="97">
        <f>Mitigation_Industry!Y380-SUM(Mitigation_Industry!Y374:Y378)-SUM(Mitigation_Industry!Y385:Y389)</f>
        <v>0</v>
      </c>
      <c r="Z1433" s="97">
        <f>Mitigation_Industry!Z380-SUM(Mitigation_Industry!Z374:Z378)-SUM(Mitigation_Industry!Z385:Z389)</f>
        <v>0</v>
      </c>
      <c r="AA1433" s="97">
        <f>Mitigation_Industry!AA380-SUM(Mitigation_Industry!AA374:AA378)-SUM(Mitigation_Industry!AA385:AA389)</f>
        <v>0</v>
      </c>
      <c r="AB1433" s="97">
        <f>Mitigation_Industry!AB380-SUM(Mitigation_Industry!AB374:AB378)-SUM(Mitigation_Industry!AB385:AB389)</f>
        <v>0</v>
      </c>
      <c r="AC1433" s="97">
        <f>Mitigation_Industry!AC380-SUM(Mitigation_Industry!AC374:AC378)-SUM(Mitigation_Industry!AC385:AC389)</f>
        <v>0</v>
      </c>
      <c r="AD1433" s="97">
        <f>Mitigation_Industry!AD380-SUM(Mitigation_Industry!AD374:AD378)-SUM(Mitigation_Industry!AD385:AD389)</f>
        <v>0</v>
      </c>
      <c r="AE1433" s="97">
        <f>Mitigation_Industry!AE380-SUM(Mitigation_Industry!AE374:AE378)-SUM(Mitigation_Industry!AE385:AE389)</f>
        <v>0</v>
      </c>
    </row>
    <row r="1434" spans="1:35" x14ac:dyDescent="0.45">
      <c r="A1434" t="s">
        <v>1863</v>
      </c>
      <c r="D1434">
        <v>1</v>
      </c>
      <c r="E1434" t="s">
        <v>1161</v>
      </c>
      <c r="F1434" s="97">
        <f t="shared" si="353"/>
        <v>0</v>
      </c>
      <c r="I1434">
        <v>0</v>
      </c>
      <c r="L1434" s="97">
        <f>Mitigation_Industry!L381-SUM(Mitigation_Industry!L352:L359)-SUM(Mitigation_Industry!L363:L370)</f>
        <v>0</v>
      </c>
      <c r="M1434" s="97">
        <f>Mitigation_Industry!M381-SUM(Mitigation_Industry!M352:M359)-SUM(Mitigation_Industry!M363:M370)</f>
        <v>0</v>
      </c>
      <c r="N1434" s="97">
        <f>Mitigation_Industry!N381-SUM(Mitigation_Industry!N352:N359)-SUM(Mitigation_Industry!N363:N370)</f>
        <v>0</v>
      </c>
      <c r="O1434" s="97">
        <f>Mitigation_Industry!O381-SUM(Mitigation_Industry!O352:O359)-SUM(Mitigation_Industry!O363:O370)</f>
        <v>0</v>
      </c>
      <c r="P1434" s="97">
        <f>Mitigation_Industry!P381-SUM(Mitigation_Industry!P352:P359)-SUM(Mitigation_Industry!P363:P370)</f>
        <v>0</v>
      </c>
      <c r="Q1434" s="97">
        <f>Mitigation_Industry!Q381-SUM(Mitigation_Industry!Q352:Q359)-SUM(Mitigation_Industry!Q363:Q370)</f>
        <v>0</v>
      </c>
      <c r="R1434" s="97">
        <f>Mitigation_Industry!R381-SUM(Mitigation_Industry!R352:R359)-SUM(Mitigation_Industry!R363:R370)</f>
        <v>0</v>
      </c>
      <c r="S1434" s="97">
        <f>Mitigation_Industry!S381-SUM(Mitigation_Industry!S352:S359)-SUM(Mitigation_Industry!S363:S370)</f>
        <v>0</v>
      </c>
      <c r="T1434" s="97">
        <f>Mitigation_Industry!T381-SUM(Mitigation_Industry!T352:T359)-SUM(Mitigation_Industry!T363:T370)</f>
        <v>0</v>
      </c>
      <c r="U1434" s="97">
        <f>Mitigation_Industry!U381-SUM(Mitigation_Industry!U352:U359)-SUM(Mitigation_Industry!U363:U370)</f>
        <v>0</v>
      </c>
      <c r="V1434" s="97">
        <f>Mitigation_Industry!V381-SUM(Mitigation_Industry!V352:V359)-SUM(Mitigation_Industry!V363:V370)</f>
        <v>0</v>
      </c>
      <c r="W1434" s="97">
        <f>Mitigation_Industry!W381-SUM(Mitigation_Industry!W352:W359)-SUM(Mitigation_Industry!W363:W370)</f>
        <v>0</v>
      </c>
      <c r="X1434" s="97">
        <f>Mitigation_Industry!X381-SUM(Mitigation_Industry!X352:X359)-SUM(Mitigation_Industry!X363:X370)</f>
        <v>0</v>
      </c>
      <c r="Y1434" s="97">
        <f>Mitigation_Industry!Y381-SUM(Mitigation_Industry!Y352:Y359)-SUM(Mitigation_Industry!Y363:Y370)</f>
        <v>0</v>
      </c>
      <c r="Z1434" s="97">
        <f>Mitigation_Industry!Z381-SUM(Mitigation_Industry!Z352:Z359)-SUM(Mitigation_Industry!Z363:Z370)</f>
        <v>0</v>
      </c>
      <c r="AA1434" s="97">
        <f>Mitigation_Industry!AA381-SUM(Mitigation_Industry!AA352:AA359)-SUM(Mitigation_Industry!AA363:AA370)</f>
        <v>0</v>
      </c>
      <c r="AB1434" s="97">
        <f>Mitigation_Industry!AB381-SUM(Mitigation_Industry!AB352:AB359)-SUM(Mitigation_Industry!AB363:AB370)</f>
        <v>0</v>
      </c>
      <c r="AC1434" s="97">
        <f>Mitigation_Industry!AC381-SUM(Mitigation_Industry!AC352:AC359)-SUM(Mitigation_Industry!AC363:AC370)</f>
        <v>0</v>
      </c>
      <c r="AD1434" s="97">
        <f>Mitigation_Industry!AD381-SUM(Mitigation_Industry!AD352:AD359)-SUM(Mitigation_Industry!AD363:AD370)</f>
        <v>0</v>
      </c>
      <c r="AE1434" s="97">
        <f>Mitigation_Industry!AE381-SUM(Mitigation_Industry!AE352:AE359)-SUM(Mitigation_Industry!AE363:AE370)</f>
        <v>0</v>
      </c>
    </row>
    <row r="1435" spans="1:35" x14ac:dyDescent="0.45">
      <c r="A1435" t="s">
        <v>1860</v>
      </c>
      <c r="D1435">
        <v>2</v>
      </c>
      <c r="E1435" t="s">
        <v>1161</v>
      </c>
      <c r="F1435" s="97">
        <f t="shared" si="353"/>
        <v>0</v>
      </c>
      <c r="I1435">
        <v>0</v>
      </c>
      <c r="L1435" s="97">
        <f>Mitigation_Industry!L799-Mitigation_Industry!L781-Mitigation_Industry!L782</f>
        <v>0</v>
      </c>
      <c r="M1435" s="97">
        <f>Mitigation_Industry!M799-Mitigation_Industry!M781-Mitigation_Industry!M782</f>
        <v>0</v>
      </c>
      <c r="N1435" s="97">
        <f>Mitigation_Industry!N799-Mitigation_Industry!N781-Mitigation_Industry!N782</f>
        <v>0</v>
      </c>
      <c r="O1435" s="97">
        <f>Mitigation_Industry!O799-Mitigation_Industry!O781-Mitigation_Industry!O782</f>
        <v>0</v>
      </c>
      <c r="P1435" s="97">
        <f>Mitigation_Industry!P799-Mitigation_Industry!P781-Mitigation_Industry!P782</f>
        <v>0</v>
      </c>
      <c r="Q1435" s="97">
        <f>Mitigation_Industry!Q799-Mitigation_Industry!Q781-Mitigation_Industry!Q782</f>
        <v>0</v>
      </c>
      <c r="R1435" s="97">
        <f>Mitigation_Industry!R799-Mitigation_Industry!R781-Mitigation_Industry!R782</f>
        <v>0</v>
      </c>
      <c r="S1435" s="97">
        <f>Mitigation_Industry!S799-Mitigation_Industry!S781-Mitigation_Industry!S782</f>
        <v>0</v>
      </c>
      <c r="T1435" s="97">
        <f>Mitigation_Industry!T799-Mitigation_Industry!T781-Mitigation_Industry!T782</f>
        <v>0</v>
      </c>
      <c r="U1435" s="97">
        <f>Mitigation_Industry!U799-Mitigation_Industry!U781-Mitigation_Industry!U782</f>
        <v>0</v>
      </c>
      <c r="V1435" s="97">
        <f>Mitigation_Industry!V799-Mitigation_Industry!V781-Mitigation_Industry!V782</f>
        <v>0</v>
      </c>
      <c r="W1435" s="97">
        <f>Mitigation_Industry!W799-Mitigation_Industry!W781-Mitigation_Industry!W782</f>
        <v>0</v>
      </c>
      <c r="X1435" s="97">
        <f>Mitigation_Industry!X799-Mitigation_Industry!X781-Mitigation_Industry!X782</f>
        <v>0</v>
      </c>
      <c r="Y1435" s="97">
        <f>Mitigation_Industry!Y799-Mitigation_Industry!Y781-Mitigation_Industry!Y782</f>
        <v>0</v>
      </c>
      <c r="Z1435" s="97">
        <f>Mitigation_Industry!Z799-Mitigation_Industry!Z781-Mitigation_Industry!Z782</f>
        <v>0</v>
      </c>
      <c r="AA1435" s="97">
        <f>Mitigation_Industry!AA799-Mitigation_Industry!AA781-Mitigation_Industry!AA782</f>
        <v>0</v>
      </c>
      <c r="AB1435" s="97">
        <f>Mitigation_Industry!AB799-Mitigation_Industry!AB781-Mitigation_Industry!AB782</f>
        <v>0</v>
      </c>
      <c r="AC1435" s="97">
        <f>Mitigation_Industry!AC799-Mitigation_Industry!AC781-Mitigation_Industry!AC782</f>
        <v>0</v>
      </c>
      <c r="AD1435" s="97">
        <f>Mitigation_Industry!AD799-Mitigation_Industry!AD781-Mitigation_Industry!AD782</f>
        <v>0</v>
      </c>
      <c r="AE1435" s="97">
        <f>Mitigation_Industry!AE799-Mitigation_Industry!AE781-Mitigation_Industry!AE782</f>
        <v>0</v>
      </c>
    </row>
    <row r="1436" spans="1:35" x14ac:dyDescent="0.45">
      <c r="A1436" t="s">
        <v>1861</v>
      </c>
      <c r="D1436">
        <v>2</v>
      </c>
      <c r="E1436" t="s">
        <v>1161</v>
      </c>
      <c r="F1436" s="97">
        <f t="shared" si="353"/>
        <v>0</v>
      </c>
      <c r="I1436">
        <v>0</v>
      </c>
      <c r="L1436" s="97">
        <f>Mitigation_Industry!L799-SUM(Mitigation_Industry!L791:L798)</f>
        <v>0</v>
      </c>
      <c r="M1436" s="97">
        <f>Mitigation_Industry!M799-SUM(Mitigation_Industry!M791:M798)</f>
        <v>0</v>
      </c>
      <c r="N1436" s="97">
        <f>Mitigation_Industry!N799-SUM(Mitigation_Industry!N791:N798)</f>
        <v>0</v>
      </c>
      <c r="O1436" s="97">
        <f>Mitigation_Industry!O799-SUM(Mitigation_Industry!O791:O798)</f>
        <v>0</v>
      </c>
      <c r="P1436" s="97">
        <f>Mitigation_Industry!P799-SUM(Mitigation_Industry!P791:P798)</f>
        <v>0</v>
      </c>
      <c r="Q1436" s="97">
        <f>Mitigation_Industry!Q799-SUM(Mitigation_Industry!Q791:Q798)</f>
        <v>0</v>
      </c>
      <c r="R1436" s="97">
        <f>Mitigation_Industry!R799-SUM(Mitigation_Industry!R791:R798)</f>
        <v>0</v>
      </c>
      <c r="S1436" s="97">
        <f>Mitigation_Industry!S799-SUM(Mitigation_Industry!S791:S798)</f>
        <v>0</v>
      </c>
      <c r="T1436" s="97">
        <f>Mitigation_Industry!T799-SUM(Mitigation_Industry!T791:T798)</f>
        <v>0</v>
      </c>
      <c r="U1436" s="97">
        <f>Mitigation_Industry!U799-SUM(Mitigation_Industry!U791:U798)</f>
        <v>0</v>
      </c>
      <c r="V1436" s="97">
        <f>Mitigation_Industry!V799-SUM(Mitigation_Industry!V791:V798)</f>
        <v>0</v>
      </c>
      <c r="W1436" s="97">
        <f>Mitigation_Industry!W799-SUM(Mitigation_Industry!W791:W798)</f>
        <v>0</v>
      </c>
      <c r="X1436" s="97">
        <f>Mitigation_Industry!X799-SUM(Mitigation_Industry!X791:X798)</f>
        <v>0</v>
      </c>
      <c r="Y1436" s="97">
        <f>Mitigation_Industry!Y799-SUM(Mitigation_Industry!Y791:Y798)</f>
        <v>0</v>
      </c>
      <c r="Z1436" s="97">
        <f>Mitigation_Industry!Z799-SUM(Mitigation_Industry!Z791:Z798)</f>
        <v>0</v>
      </c>
      <c r="AA1436" s="97">
        <f>Mitigation_Industry!AA799-SUM(Mitigation_Industry!AA791:AA798)</f>
        <v>0</v>
      </c>
      <c r="AB1436" s="97">
        <f>Mitigation_Industry!AB799-SUM(Mitigation_Industry!AB791:AB798)</f>
        <v>0</v>
      </c>
      <c r="AC1436" s="97">
        <f>Mitigation_Industry!AC799-SUM(Mitigation_Industry!AC791:AC798)</f>
        <v>0</v>
      </c>
      <c r="AD1436" s="97">
        <f>Mitigation_Industry!AD799-SUM(Mitigation_Industry!AD791:AD798)</f>
        <v>0</v>
      </c>
      <c r="AE1436" s="97">
        <f>Mitigation_Industry!AE799-SUM(Mitigation_Industry!AE791:AE798)</f>
        <v>0</v>
      </c>
    </row>
    <row r="1437" spans="1:35" x14ac:dyDescent="0.45">
      <c r="A1437" t="s">
        <v>1862</v>
      </c>
      <c r="D1437">
        <v>2</v>
      </c>
      <c r="E1437" t="s">
        <v>1161</v>
      </c>
      <c r="F1437" s="97">
        <f t="shared" si="353"/>
        <v>0</v>
      </c>
      <c r="I1437">
        <v>0</v>
      </c>
      <c r="L1437" s="97">
        <f>Mitigation_Industry!L779-SUM(Mitigation_Industry!L773:L777)-SUM(Mitigation_Industry!L784:L788)</f>
        <v>0</v>
      </c>
      <c r="M1437" s="97">
        <f>Mitigation_Industry!M779-SUM(Mitigation_Industry!M773:M777)-SUM(Mitigation_Industry!M784:M788)</f>
        <v>0</v>
      </c>
      <c r="N1437" s="97">
        <f>Mitigation_Industry!N779-SUM(Mitigation_Industry!N773:N777)-SUM(Mitigation_Industry!N784:N788)</f>
        <v>0</v>
      </c>
      <c r="O1437" s="97">
        <f>Mitigation_Industry!O779-SUM(Mitigation_Industry!O773:O777)-SUM(Mitigation_Industry!O784:O788)</f>
        <v>0</v>
      </c>
      <c r="P1437" s="97">
        <f>Mitigation_Industry!P779-SUM(Mitigation_Industry!P773:P777)-SUM(Mitigation_Industry!P784:P788)</f>
        <v>0</v>
      </c>
      <c r="Q1437" s="97">
        <f>Mitigation_Industry!Q779-SUM(Mitigation_Industry!Q773:Q777)-SUM(Mitigation_Industry!Q784:Q788)</f>
        <v>0</v>
      </c>
      <c r="R1437" s="97">
        <f>Mitigation_Industry!R779-SUM(Mitigation_Industry!R773:R777)-SUM(Mitigation_Industry!R784:R788)</f>
        <v>0</v>
      </c>
      <c r="S1437" s="97">
        <f>Mitigation_Industry!S779-SUM(Mitigation_Industry!S773:S777)-SUM(Mitigation_Industry!S784:S788)</f>
        <v>0</v>
      </c>
      <c r="T1437" s="97">
        <f>Mitigation_Industry!T779-SUM(Mitigation_Industry!T773:T777)-SUM(Mitigation_Industry!T784:T788)</f>
        <v>0</v>
      </c>
      <c r="U1437" s="97">
        <f>Mitigation_Industry!U779-SUM(Mitigation_Industry!U773:U777)-SUM(Mitigation_Industry!U784:U788)</f>
        <v>0</v>
      </c>
      <c r="V1437" s="97">
        <f>Mitigation_Industry!V779-SUM(Mitigation_Industry!V773:V777)-SUM(Mitigation_Industry!V784:V788)</f>
        <v>0</v>
      </c>
      <c r="W1437" s="97">
        <f>Mitigation_Industry!W779-SUM(Mitigation_Industry!W773:W777)-SUM(Mitigation_Industry!W784:W788)</f>
        <v>0</v>
      </c>
      <c r="X1437" s="97">
        <f>Mitigation_Industry!X779-SUM(Mitigation_Industry!X773:X777)-SUM(Mitigation_Industry!X784:X788)</f>
        <v>0</v>
      </c>
      <c r="Y1437" s="97">
        <f>Mitigation_Industry!Y779-SUM(Mitigation_Industry!Y773:Y777)-SUM(Mitigation_Industry!Y784:Y788)</f>
        <v>0</v>
      </c>
      <c r="Z1437" s="97">
        <f>Mitigation_Industry!Z779-SUM(Mitigation_Industry!Z773:Z777)-SUM(Mitigation_Industry!Z784:Z788)</f>
        <v>0</v>
      </c>
      <c r="AA1437" s="97">
        <f>Mitigation_Industry!AA779-SUM(Mitigation_Industry!AA773:AA777)-SUM(Mitigation_Industry!AA784:AA788)</f>
        <v>0</v>
      </c>
      <c r="AB1437" s="97">
        <f>Mitigation_Industry!AB779-SUM(Mitigation_Industry!AB773:AB777)-SUM(Mitigation_Industry!AB784:AB788)</f>
        <v>0</v>
      </c>
      <c r="AC1437" s="97">
        <f>Mitigation_Industry!AC779-SUM(Mitigation_Industry!AC773:AC777)-SUM(Mitigation_Industry!AC784:AC788)</f>
        <v>0</v>
      </c>
      <c r="AD1437" s="97">
        <f>Mitigation_Industry!AD779-SUM(Mitigation_Industry!AD773:AD777)-SUM(Mitigation_Industry!AD784:AD788)</f>
        <v>0</v>
      </c>
      <c r="AE1437" s="97">
        <f>Mitigation_Industry!AE779-SUM(Mitigation_Industry!AE773:AE777)-SUM(Mitigation_Industry!AE784:AE788)</f>
        <v>0</v>
      </c>
    </row>
    <row r="1438" spans="1:35" x14ac:dyDescent="0.45">
      <c r="A1438" t="s">
        <v>1863</v>
      </c>
      <c r="D1438">
        <v>2</v>
      </c>
      <c r="E1438" t="s">
        <v>1161</v>
      </c>
      <c r="F1438" s="97">
        <f t="shared" si="353"/>
        <v>0</v>
      </c>
      <c r="I1438">
        <v>0</v>
      </c>
      <c r="L1438" s="97">
        <f>Mitigation_Industry!L780-SUM(Mitigation_Industry!L751:L758)-SUM(Mitigation_Industry!L762:L769)</f>
        <v>0</v>
      </c>
      <c r="M1438" s="97">
        <f>Mitigation_Industry!M780-SUM(Mitigation_Industry!M751:M758)-SUM(Mitigation_Industry!M762:M769)</f>
        <v>0</v>
      </c>
      <c r="N1438" s="97">
        <f>Mitigation_Industry!N780-SUM(Mitigation_Industry!N751:N758)-SUM(Mitigation_Industry!N762:N769)</f>
        <v>0</v>
      </c>
      <c r="O1438" s="97">
        <f>Mitigation_Industry!O780-SUM(Mitigation_Industry!O751:O758)-SUM(Mitigation_Industry!O762:O769)</f>
        <v>0</v>
      </c>
      <c r="P1438" s="97">
        <f>Mitigation_Industry!P780-SUM(Mitigation_Industry!P751:P758)-SUM(Mitigation_Industry!P762:P769)</f>
        <v>0</v>
      </c>
      <c r="Q1438" s="97">
        <f>Mitigation_Industry!Q780-SUM(Mitigation_Industry!Q751:Q758)-SUM(Mitigation_Industry!Q762:Q769)</f>
        <v>0</v>
      </c>
      <c r="R1438" s="97">
        <f>Mitigation_Industry!R780-SUM(Mitigation_Industry!R751:R758)-SUM(Mitigation_Industry!R762:R769)</f>
        <v>0</v>
      </c>
      <c r="S1438" s="97">
        <f>Mitigation_Industry!S780-SUM(Mitigation_Industry!S751:S758)-SUM(Mitigation_Industry!S762:S769)</f>
        <v>0</v>
      </c>
      <c r="T1438" s="97">
        <f>Mitigation_Industry!T780-SUM(Mitigation_Industry!T751:T758)-SUM(Mitigation_Industry!T762:T769)</f>
        <v>0</v>
      </c>
      <c r="U1438" s="97">
        <f>Mitigation_Industry!U780-SUM(Mitigation_Industry!U751:U758)-SUM(Mitigation_Industry!U762:U769)</f>
        <v>0</v>
      </c>
      <c r="V1438" s="97">
        <f>Mitigation_Industry!V780-SUM(Mitigation_Industry!V751:V758)-SUM(Mitigation_Industry!V762:V769)</f>
        <v>0</v>
      </c>
      <c r="W1438" s="97">
        <f>Mitigation_Industry!W780-SUM(Mitigation_Industry!W751:W758)-SUM(Mitigation_Industry!W762:W769)</f>
        <v>0</v>
      </c>
      <c r="X1438" s="97">
        <f>Mitigation_Industry!X780-SUM(Mitigation_Industry!X751:X758)-SUM(Mitigation_Industry!X762:X769)</f>
        <v>0</v>
      </c>
      <c r="Y1438" s="97">
        <f>Mitigation_Industry!Y780-SUM(Mitigation_Industry!Y751:Y758)-SUM(Mitigation_Industry!Y762:Y769)</f>
        <v>0</v>
      </c>
      <c r="Z1438" s="97">
        <f>Mitigation_Industry!Z780-SUM(Mitigation_Industry!Z751:Z758)-SUM(Mitigation_Industry!Z762:Z769)</f>
        <v>0</v>
      </c>
      <c r="AA1438" s="97">
        <f>Mitigation_Industry!AA780-SUM(Mitigation_Industry!AA751:AA758)-SUM(Mitigation_Industry!AA762:AA769)</f>
        <v>0</v>
      </c>
      <c r="AB1438" s="97">
        <f>Mitigation_Industry!AB780-SUM(Mitigation_Industry!AB751:AB758)-SUM(Mitigation_Industry!AB762:AB769)</f>
        <v>0</v>
      </c>
      <c r="AC1438" s="97">
        <f>Mitigation_Industry!AC780-SUM(Mitigation_Industry!AC751:AC758)-SUM(Mitigation_Industry!AC762:AC769)</f>
        <v>0</v>
      </c>
      <c r="AD1438" s="97">
        <f>Mitigation_Industry!AD780-SUM(Mitigation_Industry!AD751:AD758)-SUM(Mitigation_Industry!AD762:AD769)</f>
        <v>0</v>
      </c>
      <c r="AE1438" s="97">
        <f>Mitigation_Industry!AE780-SUM(Mitigation_Industry!AE751:AE758)-SUM(Mitigation_Industry!AE762:AE769)</f>
        <v>0</v>
      </c>
    </row>
    <row r="1439" spans="1:35" x14ac:dyDescent="0.45">
      <c r="A1439" t="s">
        <v>1864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  <row r="1442" spans="1:35" x14ac:dyDescent="0.45">
      <c r="A1442" s="52" t="s">
        <v>1889</v>
      </c>
    </row>
    <row r="1443" spans="1:35" x14ac:dyDescent="0.45">
      <c r="A1443" t="s">
        <v>1894</v>
      </c>
      <c r="D1443" s="98">
        <f>MAX(F1445:F1451)</f>
        <v>0</v>
      </c>
    </row>
    <row r="1444" spans="1:35" x14ac:dyDescent="0.45">
      <c r="A1444" s="50" t="s">
        <v>1488</v>
      </c>
      <c r="B1444" s="50"/>
      <c r="C1444" s="50"/>
      <c r="D1444" s="50" t="s">
        <v>47</v>
      </c>
      <c r="E1444" s="50" t="s">
        <v>1156</v>
      </c>
      <c r="F1444" s="50" t="s">
        <v>1157</v>
      </c>
      <c r="G1444" s="50"/>
      <c r="H1444" s="50"/>
      <c r="I1444" s="50" t="s">
        <v>1489</v>
      </c>
      <c r="J1444" s="50"/>
      <c r="K1444" s="50">
        <v>2021</v>
      </c>
      <c r="L1444" s="50">
        <v>2022</v>
      </c>
      <c r="M1444" s="50">
        <v>2023</v>
      </c>
      <c r="N1444" s="50">
        <v>2024</v>
      </c>
      <c r="O1444" s="50">
        <v>2025</v>
      </c>
      <c r="P1444" s="50">
        <v>2026</v>
      </c>
      <c r="Q1444" s="50">
        <v>2027</v>
      </c>
      <c r="R1444" s="50">
        <v>2028</v>
      </c>
      <c r="S1444" s="50">
        <v>2029</v>
      </c>
      <c r="T1444" s="50">
        <v>2030</v>
      </c>
      <c r="U1444" s="50">
        <v>2031</v>
      </c>
      <c r="V1444" s="50">
        <v>2032</v>
      </c>
      <c r="W1444" s="50">
        <v>2033</v>
      </c>
      <c r="X1444" s="50">
        <v>2034</v>
      </c>
      <c r="Y1444" s="50">
        <v>2035</v>
      </c>
      <c r="Z1444" s="50">
        <v>2036</v>
      </c>
      <c r="AA1444" s="50">
        <v>2037</v>
      </c>
      <c r="AB1444" s="50">
        <v>2038</v>
      </c>
      <c r="AC1444" s="50">
        <v>2039</v>
      </c>
      <c r="AD1444" s="50">
        <v>2040</v>
      </c>
      <c r="AE1444" s="50">
        <v>2041</v>
      </c>
      <c r="AF1444" s="50">
        <v>2042</v>
      </c>
      <c r="AG1444" s="50">
        <v>2043</v>
      </c>
      <c r="AH1444" s="50">
        <v>2044</v>
      </c>
      <c r="AI1444" s="50">
        <v>2045</v>
      </c>
    </row>
    <row r="1445" spans="1:35" x14ac:dyDescent="0.45">
      <c r="A1445" t="s">
        <v>1890</v>
      </c>
      <c r="D1445">
        <v>1</v>
      </c>
      <c r="E1445" t="s">
        <v>1161</v>
      </c>
      <c r="F1445" s="97">
        <f>MAX(MAX(L1445:AE1445),-MIN(L1445:AE1445))</f>
        <v>0</v>
      </c>
      <c r="I1445">
        <v>0</v>
      </c>
      <c r="L1445" s="97">
        <f>Mitigation_Industry!L380-SUM(Mitigation_Industry!L258:L261)</f>
        <v>0</v>
      </c>
      <c r="M1445" s="97">
        <f>Mitigation_Industry!M380-SUM(Mitigation_Industry!M258:M261)</f>
        <v>0</v>
      </c>
      <c r="N1445" s="97">
        <f>Mitigation_Industry!N380-SUM(Mitigation_Industry!N258:N261)</f>
        <v>0</v>
      </c>
      <c r="O1445" s="97">
        <f>Mitigation_Industry!O380-SUM(Mitigation_Industry!O258:O261)</f>
        <v>0</v>
      </c>
      <c r="P1445" s="97">
        <f>Mitigation_Industry!P380-SUM(Mitigation_Industry!P258:P261)</f>
        <v>0</v>
      </c>
      <c r="Q1445" s="97">
        <f>Mitigation_Industry!Q380-SUM(Mitigation_Industry!Q258:Q261)</f>
        <v>0</v>
      </c>
      <c r="R1445" s="97">
        <f>Mitigation_Industry!R380-SUM(Mitigation_Industry!R258:R261)</f>
        <v>0</v>
      </c>
      <c r="S1445" s="97">
        <f>Mitigation_Industry!S380-SUM(Mitigation_Industry!S258:S261)</f>
        <v>0</v>
      </c>
      <c r="T1445" s="97">
        <f>Mitigation_Industry!T380-SUM(Mitigation_Industry!T258:T261)</f>
        <v>0</v>
      </c>
      <c r="U1445" s="97">
        <f>Mitigation_Industry!U380-SUM(Mitigation_Industry!U258:U261)</f>
        <v>0</v>
      </c>
      <c r="V1445" s="97">
        <f>Mitigation_Industry!V380-SUM(Mitigation_Industry!V258:V261)</f>
        <v>0</v>
      </c>
      <c r="W1445" s="97">
        <f>Mitigation_Industry!W380-SUM(Mitigation_Industry!W258:W261)</f>
        <v>0</v>
      </c>
      <c r="X1445" s="97">
        <f>Mitigation_Industry!X380-SUM(Mitigation_Industry!X258:X261)</f>
        <v>0</v>
      </c>
      <c r="Y1445" s="97">
        <f>Mitigation_Industry!Y380-SUM(Mitigation_Industry!Y258:Y261)</f>
        <v>0</v>
      </c>
      <c r="Z1445" s="97">
        <f>Mitigation_Industry!Z380-SUM(Mitigation_Industry!Z258:Z261)</f>
        <v>0</v>
      </c>
      <c r="AA1445" s="97">
        <f>Mitigation_Industry!AA380-SUM(Mitigation_Industry!AA258:AA261)</f>
        <v>0</v>
      </c>
      <c r="AB1445" s="97">
        <f>Mitigation_Industry!AB380-SUM(Mitigation_Industry!AB258:AB261)</f>
        <v>0</v>
      </c>
      <c r="AC1445" s="97">
        <f>Mitigation_Industry!AC380-SUM(Mitigation_Industry!AC258:AC261)</f>
        <v>0</v>
      </c>
      <c r="AD1445" s="97">
        <f>Mitigation_Industry!AD380-SUM(Mitigation_Industry!AD258:AD261)</f>
        <v>0</v>
      </c>
      <c r="AE1445" s="97">
        <f>Mitigation_Industry!AE380-SUM(Mitigation_Industry!AE258:AE261)</f>
        <v>0</v>
      </c>
    </row>
    <row r="1446" spans="1:35" x14ac:dyDescent="0.45">
      <c r="A1446" t="s">
        <v>1891</v>
      </c>
      <c r="D1446">
        <v>1</v>
      </c>
      <c r="F1446">
        <f>SUMPRODUCT((Mitigation_Industry!$E$299:$E$306&gt;Mitigation_Industry!$F$330:$F$337+0.000000000001)+(Mitigation_Industry!$E$310:$E$317&gt;Mitigation_Industry!$G$330:$G$337+0.000000000001))</f>
        <v>0</v>
      </c>
      <c r="I1446">
        <v>0</v>
      </c>
    </row>
    <row r="1447" spans="1:35" x14ac:dyDescent="0.45">
      <c r="A1447" t="s">
        <v>1892</v>
      </c>
      <c r="D1447">
        <v>1</v>
      </c>
      <c r="F1447">
        <f>SUMPRODUCT((Mitigation_Industry!$H$273:$K$273&lt;&gt;0)*(Mitigation_Industry!$H$273:$K$273&lt;&gt;1))</f>
        <v>0</v>
      </c>
      <c r="I1447">
        <v>0</v>
      </c>
    </row>
    <row r="1448" spans="1:35" x14ac:dyDescent="0.45">
      <c r="A1448" t="s">
        <v>1890</v>
      </c>
      <c r="D1448">
        <v>2</v>
      </c>
      <c r="E1448" t="s">
        <v>1161</v>
      </c>
      <c r="F1448" s="97">
        <f>MAX(MAX(L1448:AE1448),-MIN(L1448:AE1448))</f>
        <v>0</v>
      </c>
      <c r="I1448">
        <v>0</v>
      </c>
      <c r="L1448" s="97">
        <f>Mitigation_Industry!L779-SUM(Mitigation_Industry!L657:L660)</f>
        <v>0</v>
      </c>
      <c r="M1448" s="97">
        <f>Mitigation_Industry!M779-SUM(Mitigation_Industry!M657:M660)</f>
        <v>0</v>
      </c>
      <c r="N1448" s="97">
        <f>Mitigation_Industry!N779-SUM(Mitigation_Industry!N657:N660)</f>
        <v>0</v>
      </c>
      <c r="O1448" s="97">
        <f>Mitigation_Industry!O779-SUM(Mitigation_Industry!O657:O660)</f>
        <v>0</v>
      </c>
      <c r="P1448" s="97">
        <f>Mitigation_Industry!P779-SUM(Mitigation_Industry!P657:P660)</f>
        <v>0</v>
      </c>
      <c r="Q1448" s="97">
        <f>Mitigation_Industry!Q779-SUM(Mitigation_Industry!Q657:Q660)</f>
        <v>0</v>
      </c>
      <c r="R1448" s="97">
        <f>Mitigation_Industry!R779-SUM(Mitigation_Industry!R657:R660)</f>
        <v>0</v>
      </c>
      <c r="S1448" s="97">
        <f>Mitigation_Industry!S779-SUM(Mitigation_Industry!S657:S660)</f>
        <v>0</v>
      </c>
      <c r="T1448" s="97">
        <f>Mitigation_Industry!T779-SUM(Mitigation_Industry!T657:T660)</f>
        <v>0</v>
      </c>
      <c r="U1448" s="97">
        <f>Mitigation_Industry!U779-SUM(Mitigation_Industry!U657:U660)</f>
        <v>0</v>
      </c>
      <c r="V1448" s="97">
        <f>Mitigation_Industry!V779-SUM(Mitigation_Industry!V657:V660)</f>
        <v>0</v>
      </c>
      <c r="W1448" s="97">
        <f>Mitigation_Industry!W779-SUM(Mitigation_Industry!W657:W660)</f>
        <v>0</v>
      </c>
      <c r="X1448" s="97">
        <f>Mitigation_Industry!X779-SUM(Mitigation_Industry!X657:X660)</f>
        <v>0</v>
      </c>
      <c r="Y1448" s="97">
        <f>Mitigation_Industry!Y779-SUM(Mitigation_Industry!Y657:Y660)</f>
        <v>0</v>
      </c>
      <c r="Z1448" s="97">
        <f>Mitigation_Industry!Z779-SUM(Mitigation_Industry!Z657:Z660)</f>
        <v>0</v>
      </c>
      <c r="AA1448" s="97">
        <f>Mitigation_Industry!AA779-SUM(Mitigation_Industry!AA657:AA660)</f>
        <v>0</v>
      </c>
      <c r="AB1448" s="97">
        <f>Mitigation_Industry!AB779-SUM(Mitigation_Industry!AB657:AB660)</f>
        <v>0</v>
      </c>
      <c r="AC1448" s="97">
        <f>Mitigation_Industry!AC779-SUM(Mitigation_Industry!AC657:AC660)</f>
        <v>0</v>
      </c>
      <c r="AD1448" s="97">
        <f>Mitigation_Industry!AD779-SUM(Mitigation_Industry!AD657:AD660)</f>
        <v>0</v>
      </c>
      <c r="AE1448" s="97">
        <f>Mitigation_Industry!AE779-SUM(Mitigation_Industry!AE657:AE660)</f>
        <v>0</v>
      </c>
    </row>
    <row r="1449" spans="1:35" x14ac:dyDescent="0.45">
      <c r="A1449" t="s">
        <v>1891</v>
      </c>
      <c r="D1449">
        <v>2</v>
      </c>
      <c r="F1449">
        <f>SUMPRODUCT((Mitigation_Industry!$E$698:$E$705&gt;Mitigation_Industry!$F$729:$F$736+0.000000000001)+(Mitigation_Industry!$E$709:$E$716&gt;Mitigation_Industry!$G$729:$G$736+0.000000000001))</f>
        <v>0</v>
      </c>
      <c r="I1449">
        <v>0</v>
      </c>
    </row>
    <row r="1450" spans="1:35" x14ac:dyDescent="0.45">
      <c r="A1450" t="s">
        <v>1892</v>
      </c>
      <c r="D1450">
        <v>2</v>
      </c>
      <c r="F1450">
        <f>SUMPRODUCT((Mitigation_Industry!$H$672:$K$672&lt;&gt;0)*(Mitigation_Industry!$H$672:$K$672&lt;&gt;1))</f>
        <v>0</v>
      </c>
      <c r="I1450">
        <v>0</v>
      </c>
    </row>
    <row r="1451" spans="1:35" x14ac:dyDescent="0.45">
      <c r="A1451" t="s">
        <v>1893</v>
      </c>
      <c r="F1451">
        <f>SUMPRODUCT((Scenarios!$M$17:$P$23&lt;&gt;0)*(Scenarios!$M$17:$P$23&lt;&gt;1))</f>
        <v>0</v>
      </c>
      <c r="I1451">
        <v>0</v>
      </c>
    </row>
    <row r="1454" spans="1:35" x14ac:dyDescent="0.45">
      <c r="A1454" s="52" t="s">
        <v>1903</v>
      </c>
    </row>
    <row r="1455" spans="1:35" x14ac:dyDescent="0.45">
      <c r="A1455" t="s">
        <v>1907</v>
      </c>
      <c r="D1455" s="92">
        <f>MAX(F1457:F1460)</f>
        <v>0</v>
      </c>
    </row>
    <row r="1456" spans="1:35" x14ac:dyDescent="0.45">
      <c r="A1456" s="50" t="s">
        <v>1488</v>
      </c>
      <c r="B1456" s="50"/>
      <c r="C1456" s="50"/>
      <c r="D1456" s="50" t="s">
        <v>47</v>
      </c>
      <c r="E1456" s="50" t="s">
        <v>1156</v>
      </c>
      <c r="F1456" s="50" t="s">
        <v>1157</v>
      </c>
      <c r="G1456" s="50"/>
      <c r="H1456" s="50"/>
      <c r="I1456" s="50" t="s">
        <v>1489</v>
      </c>
      <c r="J1456" s="50"/>
      <c r="K1456" s="50">
        <v>2021</v>
      </c>
      <c r="L1456" s="50">
        <v>2022</v>
      </c>
      <c r="M1456" s="50">
        <v>2023</v>
      </c>
      <c r="N1456" s="50">
        <v>2024</v>
      </c>
      <c r="O1456" s="50">
        <v>2025</v>
      </c>
      <c r="P1456" s="50">
        <v>2026</v>
      </c>
      <c r="Q1456" s="50">
        <v>2027</v>
      </c>
      <c r="R1456" s="50">
        <v>2028</v>
      </c>
      <c r="S1456" s="50">
        <v>2029</v>
      </c>
      <c r="T1456" s="50">
        <v>2030</v>
      </c>
      <c r="U1456" s="50">
        <v>2031</v>
      </c>
      <c r="V1456" s="50">
        <v>2032</v>
      </c>
      <c r="W1456" s="50">
        <v>2033</v>
      </c>
      <c r="X1456" s="50">
        <v>2034</v>
      </c>
      <c r="Y1456" s="50">
        <v>2035</v>
      </c>
      <c r="Z1456" s="50">
        <v>2036</v>
      </c>
      <c r="AA1456" s="50">
        <v>2037</v>
      </c>
      <c r="AB1456" s="50">
        <v>2038</v>
      </c>
      <c r="AC1456" s="50">
        <v>2039</v>
      </c>
      <c r="AD1456" s="50">
        <v>2040</v>
      </c>
      <c r="AE1456" s="50">
        <v>2041</v>
      </c>
      <c r="AF1456" s="50">
        <v>2042</v>
      </c>
      <c r="AG1456" s="50">
        <v>2043</v>
      </c>
      <c r="AH1456" s="50">
        <v>2044</v>
      </c>
      <c r="AI1456" s="50">
        <v>2045</v>
      </c>
    </row>
    <row r="1457" spans="1:35" x14ac:dyDescent="0.45">
      <c r="A1457" t="s">
        <v>1904</v>
      </c>
      <c r="D1457">
        <v>1</v>
      </c>
      <c r="E1457" t="s">
        <v>1161</v>
      </c>
      <c r="F1457">
        <f>MAX(MAX(L1457:AE1457),-MIN(L1457:AE1457))</f>
        <v>0</v>
      </c>
      <c r="I1457">
        <v>0</v>
      </c>
      <c r="L1457">
        <f>Mitigation_Industry!L308-INDEX(Data_Prices!L:L,MATCH("egy.mit.pptraj.1",Data_Prices!$A:$A,0))</f>
        <v>0</v>
      </c>
      <c r="M1457">
        <f>Mitigation_Industry!M308-INDEX(Data_Prices!M:M,MATCH("egy.mit.pptraj.1",Data_Prices!$A:$A,0))</f>
        <v>0</v>
      </c>
      <c r="N1457">
        <f>Mitigation_Industry!N308-INDEX(Data_Prices!N:N,MATCH("egy.mit.pptraj.1",Data_Prices!$A:$A,0))</f>
        <v>0</v>
      </c>
      <c r="O1457">
        <f>Mitigation_Industry!O308-INDEX(Data_Prices!O:O,MATCH("egy.mit.pptraj.1",Data_Prices!$A:$A,0))</f>
        <v>0</v>
      </c>
      <c r="P1457">
        <f>Mitigation_Industry!P308-INDEX(Data_Prices!P:P,MATCH("egy.mit.pptraj.1",Data_Prices!$A:$A,0))</f>
        <v>0</v>
      </c>
      <c r="Q1457">
        <f>Mitigation_Industry!Q308-INDEX(Data_Prices!Q:Q,MATCH("egy.mit.pptraj.1",Data_Prices!$A:$A,0))</f>
        <v>0</v>
      </c>
      <c r="R1457">
        <f>Mitigation_Industry!R308-INDEX(Data_Prices!R:R,MATCH("egy.mit.pptraj.1",Data_Prices!$A:$A,0))</f>
        <v>0</v>
      </c>
      <c r="S1457">
        <f>Mitigation_Industry!S308-INDEX(Data_Prices!S:S,MATCH("egy.mit.pptraj.1",Data_Prices!$A:$A,0))</f>
        <v>0</v>
      </c>
      <c r="T1457">
        <f>Mitigation_Industry!T308-INDEX(Data_Prices!T:T,MATCH("egy.mit.pptraj.1",Data_Prices!$A:$A,0))</f>
        <v>0</v>
      </c>
      <c r="U1457">
        <f>Mitigation_Industry!U308-INDEX(Data_Prices!U:U,MATCH("egy.mit.pptraj.1",Data_Prices!$A:$A,0))</f>
        <v>0</v>
      </c>
      <c r="V1457">
        <f>Mitigation_Industry!V308-INDEX(Data_Prices!V:V,MATCH("egy.mit.pptraj.1",Data_Prices!$A:$A,0))</f>
        <v>0</v>
      </c>
      <c r="W1457">
        <f>Mitigation_Industry!W308-INDEX(Data_Prices!W:W,MATCH("egy.mit.pptraj.1",Data_Prices!$A:$A,0))</f>
        <v>0</v>
      </c>
      <c r="X1457">
        <f>Mitigation_Industry!X308-INDEX(Data_Prices!X:X,MATCH("egy.mit.pptraj.1",Data_Prices!$A:$A,0))</f>
        <v>0</v>
      </c>
      <c r="Y1457">
        <f>Mitigation_Industry!Y308-INDEX(Data_Prices!Y:Y,MATCH("egy.mit.pptraj.1",Data_Prices!$A:$A,0))</f>
        <v>0</v>
      </c>
      <c r="Z1457">
        <f>Mitigation_Industry!Z308-INDEX(Data_Prices!Z:Z,MATCH("egy.mit.pptraj.1",Data_Prices!$A:$A,0))</f>
        <v>0</v>
      </c>
      <c r="AA1457">
        <f>Mitigation_Industry!AA308-INDEX(Data_Prices!AA:AA,MATCH("egy.mit.pptraj.1",Data_Prices!$A:$A,0))</f>
        <v>0</v>
      </c>
      <c r="AB1457">
        <f>Mitigation_Industry!AB308-INDEX(Data_Prices!AB:AB,MATCH("egy.mit.pptraj.1",Data_Prices!$A:$A,0))</f>
        <v>0</v>
      </c>
      <c r="AC1457">
        <f>Mitigation_Industry!AC308-INDEX(Data_Prices!AC:AC,MATCH("egy.mit.pptraj.1",Data_Prices!$A:$A,0))</f>
        <v>0</v>
      </c>
      <c r="AD1457">
        <f>Mitigation_Industry!AD308-INDEX(Data_Prices!AD:AD,MATCH("egy.mit.pptraj.1",Data_Prices!$A:$A,0))</f>
        <v>0</v>
      </c>
      <c r="AE1457">
        <f>Mitigation_Industry!AE308-INDEX(Data_Prices!AE:AE,MATCH("egy.mit.pptraj.1",Data_Prices!$A:$A,0))</f>
        <v>0</v>
      </c>
    </row>
    <row r="1458" spans="1:35" x14ac:dyDescent="0.45">
      <c r="A1458" t="s">
        <v>1904</v>
      </c>
      <c r="D1458">
        <v>2</v>
      </c>
      <c r="E1458" t="s">
        <v>1161</v>
      </c>
      <c r="F1458">
        <f>MAX(MAX(L1458:AE1458),-MIN(L1458:AE1458))</f>
        <v>0</v>
      </c>
      <c r="I1458">
        <v>0</v>
      </c>
      <c r="L1458">
        <f>Mitigation_Industry!L707-INDEX(Data_Prices!L:L,MATCH("egy.mit.pptraj.2",Data_Prices!$A:$A,0))</f>
        <v>0</v>
      </c>
      <c r="M1458">
        <f>Mitigation_Industry!M707-INDEX(Data_Prices!M:M,MATCH("egy.mit.pptraj.2",Data_Prices!$A:$A,0))</f>
        <v>0</v>
      </c>
      <c r="N1458">
        <f>Mitigation_Industry!N707-INDEX(Data_Prices!N:N,MATCH("egy.mit.pptraj.2",Data_Prices!$A:$A,0))</f>
        <v>0</v>
      </c>
      <c r="O1458">
        <f>Mitigation_Industry!O707-INDEX(Data_Prices!O:O,MATCH("egy.mit.pptraj.2",Data_Prices!$A:$A,0))</f>
        <v>0</v>
      </c>
      <c r="P1458">
        <f>Mitigation_Industry!P707-INDEX(Data_Prices!P:P,MATCH("egy.mit.pptraj.2",Data_Prices!$A:$A,0))</f>
        <v>0</v>
      </c>
      <c r="Q1458">
        <f>Mitigation_Industry!Q707-INDEX(Data_Prices!Q:Q,MATCH("egy.mit.pptraj.2",Data_Prices!$A:$A,0))</f>
        <v>0</v>
      </c>
      <c r="R1458">
        <f>Mitigation_Industry!R707-INDEX(Data_Prices!R:R,MATCH("egy.mit.pptraj.2",Data_Prices!$A:$A,0))</f>
        <v>0</v>
      </c>
      <c r="S1458">
        <f>Mitigation_Industry!S707-INDEX(Data_Prices!S:S,MATCH("egy.mit.pptraj.2",Data_Prices!$A:$A,0))</f>
        <v>0</v>
      </c>
      <c r="T1458">
        <f>Mitigation_Industry!T707-INDEX(Data_Prices!T:T,MATCH("egy.mit.pptraj.2",Data_Prices!$A:$A,0))</f>
        <v>0</v>
      </c>
      <c r="U1458">
        <f>Mitigation_Industry!U707-INDEX(Data_Prices!U:U,MATCH("egy.mit.pptraj.2",Data_Prices!$A:$A,0))</f>
        <v>0</v>
      </c>
      <c r="V1458">
        <f>Mitigation_Industry!V707-INDEX(Data_Prices!V:V,MATCH("egy.mit.pptraj.2",Data_Prices!$A:$A,0))</f>
        <v>0</v>
      </c>
      <c r="W1458">
        <f>Mitigation_Industry!W707-INDEX(Data_Prices!W:W,MATCH("egy.mit.pptraj.2",Data_Prices!$A:$A,0))</f>
        <v>0</v>
      </c>
      <c r="X1458">
        <f>Mitigation_Industry!X707-INDEX(Data_Prices!X:X,MATCH("egy.mit.pptraj.2",Data_Prices!$A:$A,0))</f>
        <v>0</v>
      </c>
      <c r="Y1458">
        <f>Mitigation_Industry!Y707-INDEX(Data_Prices!Y:Y,MATCH("egy.mit.pptraj.2",Data_Prices!$A:$A,0))</f>
        <v>0</v>
      </c>
      <c r="Z1458">
        <f>Mitigation_Industry!Z707-INDEX(Data_Prices!Z:Z,MATCH("egy.mit.pptraj.2",Data_Prices!$A:$A,0))</f>
        <v>0</v>
      </c>
      <c r="AA1458">
        <f>Mitigation_Industry!AA707-INDEX(Data_Prices!AA:AA,MATCH("egy.mit.pptraj.2",Data_Prices!$A:$A,0))</f>
        <v>0</v>
      </c>
      <c r="AB1458">
        <f>Mitigation_Industry!AB707-INDEX(Data_Prices!AB:AB,MATCH("egy.mit.pptraj.2",Data_Prices!$A:$A,0))</f>
        <v>0</v>
      </c>
      <c r="AC1458">
        <f>Mitigation_Industry!AC707-INDEX(Data_Prices!AC:AC,MATCH("egy.mit.pptraj.2",Data_Prices!$A:$A,0))</f>
        <v>0</v>
      </c>
      <c r="AD1458">
        <f>Mitigation_Industry!AD707-INDEX(Data_Prices!AD:AD,MATCH("egy.mit.pptraj.2",Data_Prices!$A:$A,0))</f>
        <v>0</v>
      </c>
      <c r="AE1458">
        <f>Mitigation_Industry!AE707-INDEX(Data_Prices!AE:AE,MATCH("egy.mit.pptraj.2",Data_Prices!$A:$A,0))</f>
        <v>0</v>
      </c>
    </row>
    <row r="1459" spans="1:35" x14ac:dyDescent="0.45">
      <c r="A1459" t="s">
        <v>1905</v>
      </c>
      <c r="D1459">
        <v>2</v>
      </c>
      <c r="F1459">
        <f>IF(Scenarios!$B$27="LEGACY",0,ABS(Mitigation_Industry!T707-Scenarios!$G$27*Mitigation_Industry!T646))</f>
        <v>0</v>
      </c>
      <c r="I1459">
        <v>0</v>
      </c>
    </row>
    <row r="1460" spans="1:35" x14ac:dyDescent="0.45">
      <c r="A1460" t="s">
        <v>1906</v>
      </c>
      <c r="D1460">
        <v>2</v>
      </c>
      <c r="F1460">
        <f>IF(Scenarios!$B$27="LEGACY",0,ABS(Mitigation_Industry!T646-20))</f>
        <v>0</v>
      </c>
      <c r="I1460">
        <v>0</v>
      </c>
    </row>
    <row r="1463" spans="1:35" x14ac:dyDescent="0.45">
      <c r="A1463" s="52" t="s">
        <v>1919</v>
      </c>
    </row>
    <row r="1464" spans="1:35" x14ac:dyDescent="0.45">
      <c r="A1464" t="s">
        <v>1924</v>
      </c>
      <c r="D1464" s="92">
        <f>MAX(F1466:F1472)</f>
        <v>8.8817841970012523E-16</v>
      </c>
    </row>
    <row r="1465" spans="1:35" x14ac:dyDescent="0.45">
      <c r="A1465" s="50" t="s">
        <v>1488</v>
      </c>
      <c r="B1465" s="50"/>
      <c r="C1465" s="50"/>
      <c r="D1465" s="50" t="s">
        <v>47</v>
      </c>
      <c r="E1465" s="50" t="s">
        <v>1156</v>
      </c>
      <c r="F1465" s="50" t="s">
        <v>1157</v>
      </c>
      <c r="G1465" s="50"/>
      <c r="H1465" s="50"/>
      <c r="I1465" s="50" t="s">
        <v>1489</v>
      </c>
      <c r="J1465" s="50"/>
      <c r="K1465" s="50">
        <v>2021</v>
      </c>
      <c r="L1465" s="50">
        <v>2022</v>
      </c>
      <c r="M1465" s="50">
        <v>2023</v>
      </c>
      <c r="N1465" s="50">
        <v>2024</v>
      </c>
      <c r="O1465" s="50">
        <v>2025</v>
      </c>
      <c r="P1465" s="50">
        <v>2026</v>
      </c>
      <c r="Q1465" s="50">
        <v>2027</v>
      </c>
      <c r="R1465" s="50">
        <v>2028</v>
      </c>
      <c r="S1465" s="50">
        <v>2029</v>
      </c>
      <c r="T1465" s="50">
        <v>2030</v>
      </c>
      <c r="U1465" s="50">
        <v>2031</v>
      </c>
      <c r="V1465" s="50">
        <v>2032</v>
      </c>
      <c r="W1465" s="50">
        <v>2033</v>
      </c>
      <c r="X1465" s="50">
        <v>2034</v>
      </c>
      <c r="Y1465" s="50">
        <v>2035</v>
      </c>
      <c r="Z1465" s="50">
        <v>2036</v>
      </c>
      <c r="AA1465" s="50">
        <v>2037</v>
      </c>
      <c r="AB1465" s="50">
        <v>2038</v>
      </c>
      <c r="AC1465" s="50">
        <v>2039</v>
      </c>
      <c r="AD1465" s="50">
        <v>2040</v>
      </c>
      <c r="AE1465" s="50">
        <v>2041</v>
      </c>
      <c r="AF1465" s="50">
        <v>2042</v>
      </c>
      <c r="AG1465" s="50">
        <v>2043</v>
      </c>
      <c r="AH1465" s="50">
        <v>2044</v>
      </c>
      <c r="AI1465" s="50">
        <v>2045</v>
      </c>
    </row>
    <row r="1466" spans="1:35" x14ac:dyDescent="0.45">
      <c r="A1466" t="s">
        <v>1920</v>
      </c>
      <c r="D1466">
        <v>1</v>
      </c>
      <c r="E1466" t="s">
        <v>1161</v>
      </c>
      <c r="F1466">
        <f>MAX(MAX(L1466:AE1466),-MIN(L1466:AE1466))</f>
        <v>4.4408920985006262E-16</v>
      </c>
      <c r="I1466">
        <v>0</v>
      </c>
      <c r="L1466">
        <f>Mitigation_Industry!L286-IF((SUM(Mitigation_Industry!L330:L337)+SUM(Mitigation_Industry!L341:L348))=0,0,SUM(Mitigation_Industry!L258:L261)/(SUM(Mitigation_Industry!L330:L337)+SUM(Mitigation_Industry!L341:L348))-1)</f>
        <v>0</v>
      </c>
      <c r="M1466">
        <f>Mitigation_Industry!M286-IF((SUM(Mitigation_Industry!M330:M337)+SUM(Mitigation_Industry!M341:M348))=0,0,SUM(Mitigation_Industry!M258:M261)/(SUM(Mitigation_Industry!M330:M337)+SUM(Mitigation_Industry!M341:M348))-1)</f>
        <v>0</v>
      </c>
      <c r="N1466">
        <f>Mitigation_Industry!N286-IF((SUM(Mitigation_Industry!N330:N337)+SUM(Mitigation_Industry!N341:N348))=0,0,SUM(Mitigation_Industry!N258:N261)/(SUM(Mitigation_Industry!N330:N337)+SUM(Mitigation_Industry!N341:N348))-1)</f>
        <v>0</v>
      </c>
      <c r="O1466">
        <f>Mitigation_Industry!O286-IF((SUM(Mitigation_Industry!O330:O337)+SUM(Mitigation_Industry!O341:O348))=0,0,SUM(Mitigation_Industry!O258:O261)/(SUM(Mitigation_Industry!O330:O337)+SUM(Mitigation_Industry!O341:O348))-1)</f>
        <v>-2.2204460492503131E-16</v>
      </c>
      <c r="P1466">
        <f>Mitigation_Industry!P286-IF((SUM(Mitigation_Industry!P330:P337)+SUM(Mitigation_Industry!P341:P348))=0,0,SUM(Mitigation_Industry!P258:P261)/(SUM(Mitigation_Industry!P330:P337)+SUM(Mitigation_Industry!P341:P348))-1)</f>
        <v>0</v>
      </c>
      <c r="Q1466">
        <f>Mitigation_Industry!Q286-IF((SUM(Mitigation_Industry!Q330:Q337)+SUM(Mitigation_Industry!Q341:Q348))=0,0,SUM(Mitigation_Industry!Q258:Q261)/(SUM(Mitigation_Industry!Q330:Q337)+SUM(Mitigation_Industry!Q341:Q348))-1)</f>
        <v>-2.2204460492503131E-16</v>
      </c>
      <c r="R1466">
        <f>Mitigation_Industry!R286-IF((SUM(Mitigation_Industry!R330:R337)+SUM(Mitigation_Industry!R341:R348))=0,0,SUM(Mitigation_Industry!R258:R261)/(SUM(Mitigation_Industry!R330:R337)+SUM(Mitigation_Industry!R341:R348))-1)</f>
        <v>0</v>
      </c>
      <c r="S1466">
        <f>Mitigation_Industry!S286-IF((SUM(Mitigation_Industry!S330:S337)+SUM(Mitigation_Industry!S341:S348))=0,0,SUM(Mitigation_Industry!S258:S261)/(SUM(Mitigation_Industry!S330:S337)+SUM(Mitigation_Industry!S341:S348))-1)</f>
        <v>1.1102230246251565E-16</v>
      </c>
      <c r="T1466">
        <f>Mitigation_Industry!T286-IF((SUM(Mitigation_Industry!T330:T337)+SUM(Mitigation_Industry!T341:T348))=0,0,SUM(Mitigation_Industry!T258:T261)/(SUM(Mitigation_Industry!T330:T337)+SUM(Mitigation_Industry!T341:T348))-1)</f>
        <v>1.1102230246251565E-16</v>
      </c>
      <c r="U1466">
        <f>Mitigation_Industry!U286-IF((SUM(Mitigation_Industry!U330:U337)+SUM(Mitigation_Industry!U341:U348))=0,0,SUM(Mitigation_Industry!U258:U261)/(SUM(Mitigation_Industry!U330:U337)+SUM(Mitigation_Industry!U341:U348))-1)</f>
        <v>0</v>
      </c>
      <c r="V1466">
        <f>Mitigation_Industry!V286-IF((SUM(Mitigation_Industry!V330:V337)+SUM(Mitigation_Industry!V341:V348))=0,0,SUM(Mitigation_Industry!V258:V261)/(SUM(Mitigation_Industry!V330:V337)+SUM(Mitigation_Industry!V341:V348))-1)</f>
        <v>0</v>
      </c>
      <c r="W1466">
        <f>Mitigation_Industry!W286-IF((SUM(Mitigation_Industry!W330:W337)+SUM(Mitigation_Industry!W341:W348))=0,0,SUM(Mitigation_Industry!W258:W261)/(SUM(Mitigation_Industry!W330:W337)+SUM(Mitigation_Industry!W341:W348))-1)</f>
        <v>0</v>
      </c>
      <c r="X1466">
        <f>Mitigation_Industry!X286-IF((SUM(Mitigation_Industry!X330:X337)+SUM(Mitigation_Industry!X341:X348))=0,0,SUM(Mitigation_Industry!X258:X261)/(SUM(Mitigation_Industry!X330:X337)+SUM(Mitigation_Industry!X341:X348))-1)</f>
        <v>-2.2204460492503131E-16</v>
      </c>
      <c r="Y1466">
        <f>Mitigation_Industry!Y286-IF((SUM(Mitigation_Industry!Y330:Y337)+SUM(Mitigation_Industry!Y341:Y348))=0,0,SUM(Mitigation_Industry!Y258:Y261)/(SUM(Mitigation_Industry!Y330:Y337)+SUM(Mitigation_Industry!Y341:Y348))-1)</f>
        <v>0</v>
      </c>
      <c r="Z1466">
        <f>Mitigation_Industry!Z286-IF((SUM(Mitigation_Industry!Z330:Z337)+SUM(Mitigation_Industry!Z341:Z348))=0,0,SUM(Mitigation_Industry!Z258:Z261)/(SUM(Mitigation_Industry!Z330:Z337)+SUM(Mitigation_Industry!Z341:Z348))-1)</f>
        <v>2.2204460492503131E-16</v>
      </c>
      <c r="AA1466">
        <f>Mitigation_Industry!AA286-IF((SUM(Mitigation_Industry!AA330:AA337)+SUM(Mitigation_Industry!AA341:AA348))=0,0,SUM(Mitigation_Industry!AA258:AA261)/(SUM(Mitigation_Industry!AA330:AA337)+SUM(Mitigation_Industry!AA341:AA348))-1)</f>
        <v>-2.2204460492503131E-16</v>
      </c>
      <c r="AB1466">
        <f>Mitigation_Industry!AB286-IF((SUM(Mitigation_Industry!AB330:AB337)+SUM(Mitigation_Industry!AB341:AB348))=0,0,SUM(Mitigation_Industry!AB258:AB261)/(SUM(Mitigation_Industry!AB330:AB337)+SUM(Mitigation_Industry!AB341:AB348))-1)</f>
        <v>2.2204460492503131E-16</v>
      </c>
      <c r="AC1466">
        <f>Mitigation_Industry!AC286-IF((SUM(Mitigation_Industry!AC330:AC337)+SUM(Mitigation_Industry!AC341:AC348))=0,0,SUM(Mitigation_Industry!AC258:AC261)/(SUM(Mitigation_Industry!AC330:AC337)+SUM(Mitigation_Industry!AC341:AC348))-1)</f>
        <v>-4.4408920985006262E-16</v>
      </c>
      <c r="AD1466">
        <f>Mitigation_Industry!AD286-IF((SUM(Mitigation_Industry!AD330:AD337)+SUM(Mitigation_Industry!AD341:AD348))=0,0,SUM(Mitigation_Industry!AD258:AD261)/(SUM(Mitigation_Industry!AD330:AD337)+SUM(Mitigation_Industry!AD341:AD348))-1)</f>
        <v>0</v>
      </c>
      <c r="AE1466">
        <f>Mitigation_Industry!AE286-IF((SUM(Mitigation_Industry!AE330:AE337)+SUM(Mitigation_Industry!AE341:AE348))=0,0,SUM(Mitigation_Industry!AE258:AE261)/(SUM(Mitigation_Industry!AE330:AE337)+SUM(Mitigation_Industry!AE341:AE348))-1)</f>
        <v>0</v>
      </c>
    </row>
    <row r="1467" spans="1:35" x14ac:dyDescent="0.45">
      <c r="A1467" t="s">
        <v>1921</v>
      </c>
      <c r="D1467">
        <v>1</v>
      </c>
      <c r="F1467">
        <f>SUMPRODUCT((Mitigation_Industry!$L$284:$AE$284&lt;-0.000000000001)+(Mitigation_Industry!$L$284:$AE$284&gt;1+0.000000000001))+SUMPRODUCT((Mitigation_Industry!$L$297:$AE$297&lt;-0.000000000001)+(Mitigation_Industry!$L$297:$AE$297&gt;1+0.000000000001))</f>
        <v>0</v>
      </c>
      <c r="I1467">
        <v>0</v>
      </c>
    </row>
    <row r="1468" spans="1:35" x14ac:dyDescent="0.45">
      <c r="A1468" t="s">
        <v>1922</v>
      </c>
      <c r="D1468">
        <v>1</v>
      </c>
      <c r="F1468">
        <f>SUMPRODUCT((Mitigation_Industry!$L$286:$AE$286&gt;0.000000000001)+(Mitigation_Industry!$L$286:$AE$286&lt;-1))+SUMPRODUCT((Mitigation_Industry!$L$296:$AE$296&gt;0.000000000001)+(Mitigation_Industry!$L$296:$AE$296&lt;-1))</f>
        <v>0</v>
      </c>
      <c r="I1468">
        <v>0</v>
      </c>
    </row>
    <row r="1469" spans="1:35" x14ac:dyDescent="0.45">
      <c r="A1469" t="s">
        <v>1920</v>
      </c>
      <c r="D1469">
        <v>2</v>
      </c>
      <c r="E1469" t="s">
        <v>1161</v>
      </c>
      <c r="F1469">
        <f>MAX(MAX(L1469:AE1469),-MIN(L1469:AE1469))</f>
        <v>4.4408920985006262E-16</v>
      </c>
      <c r="I1469">
        <v>0</v>
      </c>
      <c r="L1469">
        <f>Mitigation_Industry!L685-IF((SUM(Mitigation_Industry!L729:L736)+SUM(Mitigation_Industry!L740:L747))=0,0,SUM(Mitigation_Industry!L657:L660)/(SUM(Mitigation_Industry!L729:L736)+SUM(Mitigation_Industry!L740:L747))-1)</f>
        <v>0</v>
      </c>
      <c r="M1469">
        <f>Mitigation_Industry!M685-IF((SUM(Mitigation_Industry!M729:M736)+SUM(Mitigation_Industry!M740:M747))=0,0,SUM(Mitigation_Industry!M657:M660)/(SUM(Mitigation_Industry!M729:M736)+SUM(Mitigation_Industry!M740:M747))-1)</f>
        <v>0</v>
      </c>
      <c r="N1469">
        <f>Mitigation_Industry!N685-IF((SUM(Mitigation_Industry!N729:N736)+SUM(Mitigation_Industry!N740:N747))=0,0,SUM(Mitigation_Industry!N657:N660)/(SUM(Mitigation_Industry!N729:N736)+SUM(Mitigation_Industry!N740:N747))-1)</f>
        <v>0</v>
      </c>
      <c r="O1469">
        <f>Mitigation_Industry!O685-IF((SUM(Mitigation_Industry!O729:O736)+SUM(Mitigation_Industry!O740:O747))=0,0,SUM(Mitigation_Industry!O657:O660)/(SUM(Mitigation_Industry!O729:O736)+SUM(Mitigation_Industry!O740:O747))-1)</f>
        <v>-2.2204460492503131E-16</v>
      </c>
      <c r="P1469">
        <f>Mitigation_Industry!P685-IF((SUM(Mitigation_Industry!P729:P736)+SUM(Mitigation_Industry!P740:P747))=0,0,SUM(Mitigation_Industry!P657:P660)/(SUM(Mitigation_Industry!P729:P736)+SUM(Mitigation_Industry!P740:P747))-1)</f>
        <v>0</v>
      </c>
      <c r="Q1469">
        <f>Mitigation_Industry!Q685-IF((SUM(Mitigation_Industry!Q729:Q736)+SUM(Mitigation_Industry!Q740:Q747))=0,0,SUM(Mitigation_Industry!Q657:Q660)/(SUM(Mitigation_Industry!Q729:Q736)+SUM(Mitigation_Industry!Q740:Q747))-1)</f>
        <v>-2.2204460492503131E-16</v>
      </c>
      <c r="R1469">
        <f>Mitigation_Industry!R685-IF((SUM(Mitigation_Industry!R729:R736)+SUM(Mitigation_Industry!R740:R747))=0,0,SUM(Mitigation_Industry!R657:R660)/(SUM(Mitigation_Industry!R729:R736)+SUM(Mitigation_Industry!R740:R747))-1)</f>
        <v>0</v>
      </c>
      <c r="S1469">
        <f>Mitigation_Industry!S685-IF((SUM(Mitigation_Industry!S729:S736)+SUM(Mitigation_Industry!S740:S747))=0,0,SUM(Mitigation_Industry!S657:S660)/(SUM(Mitigation_Industry!S729:S736)+SUM(Mitigation_Industry!S740:S747))-1)</f>
        <v>1.1102230246251565E-16</v>
      </c>
      <c r="T1469">
        <f>Mitigation_Industry!T685-IF((SUM(Mitigation_Industry!T729:T736)+SUM(Mitigation_Industry!T740:T747))=0,0,SUM(Mitigation_Industry!T657:T660)/(SUM(Mitigation_Industry!T729:T736)+SUM(Mitigation_Industry!T740:T747))-1)</f>
        <v>1.1102230246251565E-16</v>
      </c>
      <c r="U1469">
        <f>Mitigation_Industry!U685-IF((SUM(Mitigation_Industry!U729:U736)+SUM(Mitigation_Industry!U740:U747))=0,0,SUM(Mitigation_Industry!U657:U660)/(SUM(Mitigation_Industry!U729:U736)+SUM(Mitigation_Industry!U740:U747))-1)</f>
        <v>0</v>
      </c>
      <c r="V1469">
        <f>Mitigation_Industry!V685-IF((SUM(Mitigation_Industry!V729:V736)+SUM(Mitigation_Industry!V740:V747))=0,0,SUM(Mitigation_Industry!V657:V660)/(SUM(Mitigation_Industry!V729:V736)+SUM(Mitigation_Industry!V740:V747))-1)</f>
        <v>0</v>
      </c>
      <c r="W1469">
        <f>Mitigation_Industry!W685-IF((SUM(Mitigation_Industry!W729:W736)+SUM(Mitigation_Industry!W740:W747))=0,0,SUM(Mitigation_Industry!W657:W660)/(SUM(Mitigation_Industry!W729:W736)+SUM(Mitigation_Industry!W740:W747))-1)</f>
        <v>0</v>
      </c>
      <c r="X1469">
        <f>Mitigation_Industry!X685-IF((SUM(Mitigation_Industry!X729:X736)+SUM(Mitigation_Industry!X740:X747))=0,0,SUM(Mitigation_Industry!X657:X660)/(SUM(Mitigation_Industry!X729:X736)+SUM(Mitigation_Industry!X740:X747))-1)</f>
        <v>-2.2204460492503131E-16</v>
      </c>
      <c r="Y1469">
        <f>Mitigation_Industry!Y685-IF((SUM(Mitigation_Industry!Y729:Y736)+SUM(Mitigation_Industry!Y740:Y747))=0,0,SUM(Mitigation_Industry!Y657:Y660)/(SUM(Mitigation_Industry!Y729:Y736)+SUM(Mitigation_Industry!Y740:Y747))-1)</f>
        <v>0</v>
      </c>
      <c r="Z1469">
        <f>Mitigation_Industry!Z685-IF((SUM(Mitigation_Industry!Z729:Z736)+SUM(Mitigation_Industry!Z740:Z747))=0,0,SUM(Mitigation_Industry!Z657:Z660)/(SUM(Mitigation_Industry!Z729:Z736)+SUM(Mitigation_Industry!Z740:Z747))-1)</f>
        <v>2.2204460492503131E-16</v>
      </c>
      <c r="AA1469">
        <f>Mitigation_Industry!AA685-IF((SUM(Mitigation_Industry!AA729:AA736)+SUM(Mitigation_Industry!AA740:AA747))=0,0,SUM(Mitigation_Industry!AA657:AA660)/(SUM(Mitigation_Industry!AA729:AA736)+SUM(Mitigation_Industry!AA740:AA747))-1)</f>
        <v>-2.2204460492503131E-16</v>
      </c>
      <c r="AB1469">
        <f>Mitigation_Industry!AB685-IF((SUM(Mitigation_Industry!AB729:AB736)+SUM(Mitigation_Industry!AB740:AB747))=0,0,SUM(Mitigation_Industry!AB657:AB660)/(SUM(Mitigation_Industry!AB729:AB736)+SUM(Mitigation_Industry!AB740:AB747))-1)</f>
        <v>2.2204460492503131E-16</v>
      </c>
      <c r="AC1469">
        <f>Mitigation_Industry!AC685-IF((SUM(Mitigation_Industry!AC729:AC736)+SUM(Mitigation_Industry!AC740:AC747))=0,0,SUM(Mitigation_Industry!AC657:AC660)/(SUM(Mitigation_Industry!AC729:AC736)+SUM(Mitigation_Industry!AC740:AC747))-1)</f>
        <v>-4.4408920985006262E-16</v>
      </c>
      <c r="AD1469">
        <f>Mitigation_Industry!AD685-IF((SUM(Mitigation_Industry!AD729:AD736)+SUM(Mitigation_Industry!AD740:AD747))=0,0,SUM(Mitigation_Industry!AD657:AD660)/(SUM(Mitigation_Industry!AD729:AD736)+SUM(Mitigation_Industry!AD740:AD747))-1)</f>
        <v>0</v>
      </c>
      <c r="AE1469">
        <f>Mitigation_Industry!AE685-IF((SUM(Mitigation_Industry!AE729:AE736)+SUM(Mitigation_Industry!AE740:AE747))=0,0,SUM(Mitigation_Industry!AE657:AE660)/(SUM(Mitigation_Industry!AE729:AE736)+SUM(Mitigation_Industry!AE740:AE747))-1)</f>
        <v>0</v>
      </c>
    </row>
    <row r="1470" spans="1:35" x14ac:dyDescent="0.45">
      <c r="A1470" t="s">
        <v>1921</v>
      </c>
      <c r="D1470">
        <v>2</v>
      </c>
      <c r="F1470">
        <f>SUMPRODUCT((Mitigation_Industry!$L$683:$AE$683&lt;-0.000000000001)+(Mitigation_Industry!$L$683:$AE$683&gt;1+0.000000000001))+SUMPRODUCT((Mitigation_Industry!$L$696:$AE$696&lt;-0.000000000001)+(Mitigation_Industry!$L$696:$AE$696&gt;1+0.000000000001))</f>
        <v>0</v>
      </c>
      <c r="I1470">
        <v>0</v>
      </c>
    </row>
    <row r="1471" spans="1:35" x14ac:dyDescent="0.45">
      <c r="A1471" t="s">
        <v>1922</v>
      </c>
      <c r="D1471">
        <v>2</v>
      </c>
      <c r="F1471">
        <f>SUMPRODUCT((Mitigation_Industry!$L$685:$AE$685&gt;0.000000000001)+(Mitigation_Industry!$L$685:$AE$685&lt;-1))+SUMPRODUCT((Mitigation_Industry!$L$695:$AE$695&gt;0.000000000001)+(Mitigation_Industry!$L$695:$AE$695&lt;-1))</f>
        <v>0</v>
      </c>
      <c r="I1471">
        <v>0</v>
      </c>
    </row>
    <row r="1472" spans="1:35" x14ac:dyDescent="0.45">
      <c r="A1472" t="s">
        <v>1923</v>
      </c>
      <c r="D1472">
        <v>1</v>
      </c>
      <c r="F1472">
        <f>MAX(SUMPRODUCT(ABS(Mitigation_Industry!$L$284:$AE$284)),SUMPRODUCT(ABS(Mitigation_Industry!$L$286:$AE$286)),SUMPRODUCT(ABS(Mitigation_Industry!$L$296:$AE$296)))</f>
        <v>8.8817841970012523E-16</v>
      </c>
      <c r="I1472">
        <v>0</v>
      </c>
    </row>
    <row r="1475" spans="1:35" x14ac:dyDescent="0.45">
      <c r="A1475" s="52" t="s">
        <v>1957</v>
      </c>
    </row>
    <row r="1476" spans="1:35" x14ac:dyDescent="0.45">
      <c r="A1476" t="s">
        <v>1965</v>
      </c>
      <c r="D1476" s="92">
        <f>MAX(F1478:F1485)</f>
        <v>1.9428902930940239E-16</v>
      </c>
    </row>
    <row r="1477" spans="1:35" x14ac:dyDescent="0.45">
      <c r="A1477" s="50" t="s">
        <v>1488</v>
      </c>
      <c r="B1477" s="50"/>
      <c r="C1477" s="50"/>
      <c r="D1477" s="50" t="s">
        <v>47</v>
      </c>
      <c r="E1477" s="50" t="s">
        <v>1156</v>
      </c>
      <c r="F1477" s="50" t="s">
        <v>1958</v>
      </c>
      <c r="G1477" s="50"/>
      <c r="H1477" s="50"/>
      <c r="I1477" s="50" t="s">
        <v>1489</v>
      </c>
      <c r="J1477" s="50"/>
      <c r="K1477" s="50"/>
      <c r="L1477" s="50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0"/>
      <c r="AD1477" s="50"/>
      <c r="AE1477" s="50"/>
      <c r="AF1477" s="50"/>
      <c r="AG1477" s="50"/>
      <c r="AH1477" s="50"/>
      <c r="AI1477" s="50"/>
    </row>
    <row r="1478" spans="1:35" x14ac:dyDescent="0.45">
      <c r="A1478" t="s">
        <v>1959</v>
      </c>
      <c r="F1478">
        <f>MAX(SUMPRODUCT(ABS(('Manual inputs'!$E$53:$E$60&gt;0)*('Manual inputs'!$G$53:$G$60&gt;0)*('Manual inputs'!$E$53:$E$60*(1-EXP(-'Manual inputs'!$H$53:$H$60*'Manual inputs'!$F$53:$F$60))-'Manual inputs'!$G$53:$G$60))),SUMPRODUCT(ABS(('Manual inputs'!$I$53:$I$60&gt;0)*('Manual inputs'!$K$53:$K$60&gt;0)*('Manual inputs'!$I$53:$I$60*(1-EXP(-'Manual inputs'!$L$53:$L$60*'Manual inputs'!$J$53:$J$60))-'Manual inputs'!$K$53:$K$60))))</f>
        <v>1.9428902930940239E-16</v>
      </c>
      <c r="I1478">
        <v>0</v>
      </c>
    </row>
    <row r="1479" spans="1:35" x14ac:dyDescent="0.45">
      <c r="A1479" t="s">
        <v>1960</v>
      </c>
      <c r="F1479">
        <f>SUMPRODUCT(('Manual inputs'!$E$53:$E$60&lt;0)+('Manual inputs'!$E$53:$E$60&gt;1)+('Manual inputs'!$I$53:$I$60&lt;0)+('Manual inputs'!$I$53:$I$60&gt;1)+('Manual inputs'!$G$53:$G$60&gt;0)*('Manual inputs'!$G$53:$G$60&gt;='Manual inputs'!$E$53:$E$60)+('Manual inputs'!$K$53:$K$60&gt;0)*('Manual inputs'!$K$53:$K$60&gt;='Manual inputs'!$I$53:$I$60)+('Manual inputs'!$H$53:$H$60&lt;0)+('Manual inputs'!$L$53:$L$60&lt;0)+('Manual inputs'!$G$53:$G$60&gt;0)*('Manual inputs'!$F$53:$F$60&lt;=0)+('Manual inputs'!$K$53:$K$60&gt;0)*('Manual inputs'!$J$53:$J$60&lt;=0))</f>
        <v>0</v>
      </c>
      <c r="I1479">
        <v>0</v>
      </c>
    </row>
    <row r="1480" spans="1:35" x14ac:dyDescent="0.45">
      <c r="A1480" t="s">
        <v>1961</v>
      </c>
      <c r="F1480">
        <f>1-OR('Manual inputs'!$E$50="IPCC",'Manual inputs'!$E$50="ADHOC")</f>
        <v>0</v>
      </c>
      <c r="I1480">
        <v>0</v>
      </c>
    </row>
    <row r="1481" spans="1:35" x14ac:dyDescent="0.45">
      <c r="A1481" t="s">
        <v>1962</v>
      </c>
      <c r="F1481">
        <f>IF('Manual inputs'!$E$50="ADHOC",MAX(SUMPRODUCT(ABS('Manual inputs'!$T$53:$T$60-'Manual inputs'!$E$40:$E$47)),SUMPRODUCT(ABS('Manual inputs'!$V$53:$V$60-'Manual inputs'!$E$40:$E$47)),SUMPRODUCT(ABS('Manual inputs'!$U$53:$U$60-1)),SUMPRODUCT(ABS('Manual inputs'!$W$53:$W$60-1))),MAX(SUMPRODUCT(ABS('Manual inputs'!$T$53:$T$60-'Manual inputs'!$H$53:$H$60)),SUMPRODUCT(ABS('Manual inputs'!$V$53:$V$60-'Manual inputs'!$L$53:$L$60)),SUMPRODUCT(ABS('Manual inputs'!$U$53:$U$60-'Manual inputs'!$E$53:$E$60)),SUMPRODUCT(ABS('Manual inputs'!$W$53:$W$60-'Manual inputs'!$I$53:$I$60))))</f>
        <v>0</v>
      </c>
      <c r="I1481">
        <v>0</v>
      </c>
    </row>
    <row r="1482" spans="1:35" x14ac:dyDescent="0.45">
      <c r="A1482" t="s">
        <v>1963</v>
      </c>
      <c r="D1482">
        <v>1</v>
      </c>
      <c r="F1482">
        <f>MAX(SUMPRODUCT(ABS(Mitigation_Industry!$E$363:$E$370-'Manual inputs'!$T$53:$T$60)),SUMPRODUCT(ABS(Mitigation_Industry!$F$363:$F$370-'Manual inputs'!$U$53:$U$60)),SUMPRODUCT(ABS(Mitigation_Industry!$G$363:$G$370-'Manual inputs'!$V$53:$V$60)),SUMPRODUCT(ABS(Mitigation_Industry!$H$363:$H$370-'Manual inputs'!$W$53:$W$60)))</f>
        <v>0</v>
      </c>
      <c r="I1482">
        <v>0</v>
      </c>
    </row>
    <row r="1483" spans="1:35" x14ac:dyDescent="0.45">
      <c r="A1483" t="s">
        <v>1964</v>
      </c>
      <c r="D1483">
        <v>1</v>
      </c>
      <c r="F1483">
        <f>SUMPRODUCT((Mitigation_Industry!$L$363:$AE$370&gt;0.000000000001)+(-Mitigation_Industry!$L$363:$AE$370&gt;Mitigation_Industry!$L$341:$AE$348*Mitigation_Industry!$J$330:$J$337*(Mitigation_Industry!$F$363:$F$370+Mitigation_Industry!$H$363:$H$370+ABS(Mitigation_Industry!$F$363:$F$370-Mitigation_Industry!$H$363:$H$370))/2+0.000000001))</f>
        <v>0</v>
      </c>
      <c r="I1483">
        <v>0</v>
      </c>
    </row>
    <row r="1484" spans="1:35" x14ac:dyDescent="0.45">
      <c r="A1484" t="s">
        <v>1963</v>
      </c>
      <c r="D1484">
        <v>2</v>
      </c>
      <c r="F1484">
        <f>MAX(SUMPRODUCT(ABS(Mitigation_Industry!$E$762:$E$769-'Manual inputs'!$T$53:$T$60)),SUMPRODUCT(ABS(Mitigation_Industry!$F$762:$F$769-'Manual inputs'!$U$53:$U$60)),SUMPRODUCT(ABS(Mitigation_Industry!$G$762:$G$769-'Manual inputs'!$V$53:$V$60)),SUMPRODUCT(ABS(Mitigation_Industry!$H$762:$H$769-'Manual inputs'!$W$53:$W$60)))</f>
        <v>0</v>
      </c>
      <c r="I1484">
        <v>0</v>
      </c>
    </row>
    <row r="1485" spans="1:35" x14ac:dyDescent="0.45">
      <c r="A1485" t="s">
        <v>1964</v>
      </c>
      <c r="D1485">
        <v>2</v>
      </c>
      <c r="F1485">
        <f>SUMPRODUCT((Mitigation_Industry!$L$762:$AE$769&gt;0.000000000001)+(-Mitigation_Industry!$L$762:$AE$769&gt;Mitigation_Industry!$L$740:$AE$747*Mitigation_Industry!$J$729:$J$736*(Mitigation_Industry!$F$762:$F$769+Mitigation_Industry!$H$762:$H$769+ABS(Mitigation_Industry!$F$762:$F$769-Mitigation_Industry!$H$762:$H$769))/2+0.000000001))</f>
        <v>0</v>
      </c>
      <c r="I1485">
        <v>0</v>
      </c>
    </row>
    <row r="1488" spans="1:35" x14ac:dyDescent="0.45">
      <c r="A1488" s="52" t="s">
        <v>1985</v>
      </c>
    </row>
    <row r="1489" spans="1:35" x14ac:dyDescent="0.45">
      <c r="A1489" t="s">
        <v>1994</v>
      </c>
      <c r="D1489" s="92">
        <f>MAX(F1491:F1502)</f>
        <v>2.8421709430404007E-14</v>
      </c>
    </row>
    <row r="1490" spans="1:35" x14ac:dyDescent="0.45">
      <c r="A1490" s="50" t="s">
        <v>1488</v>
      </c>
      <c r="B1490" s="50"/>
      <c r="C1490" s="50"/>
      <c r="D1490" s="50" t="s">
        <v>47</v>
      </c>
      <c r="E1490" s="50" t="s">
        <v>1156</v>
      </c>
      <c r="F1490" s="50" t="s">
        <v>1958</v>
      </c>
      <c r="G1490" s="50"/>
      <c r="H1490" s="50"/>
      <c r="I1490" s="50" t="s">
        <v>1489</v>
      </c>
      <c r="J1490" s="50"/>
      <c r="K1490" s="50"/>
      <c r="L1490" s="50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  <c r="AA1490" s="50"/>
      <c r="AB1490" s="50"/>
      <c r="AC1490" s="50"/>
      <c r="AD1490" s="50"/>
      <c r="AE1490" s="50"/>
      <c r="AF1490" s="50"/>
      <c r="AG1490" s="50"/>
      <c r="AH1490" s="50"/>
      <c r="AI1490" s="50"/>
    </row>
    <row r="1491" spans="1:35" x14ac:dyDescent="0.45">
      <c r="A1491" t="s">
        <v>1986</v>
      </c>
      <c r="F1491">
        <f>1-OR('Manual inputs'!$E$63="ON",'Manual inputs'!$E$63="OFF")</f>
        <v>0</v>
      </c>
      <c r="I1491">
        <v>0</v>
      </c>
    </row>
    <row r="1492" spans="1:35" x14ac:dyDescent="0.45">
      <c r="A1492" t="s">
        <v>1987</v>
      </c>
      <c r="F1492">
        <f>SUMPRODUCT(ABS('Manual inputs'!$K$66:$K$73-('Manual inputs'!$E$63="ON")*(Settings!$B$10&lt;&gt;"LEGACY")*'Manual inputs'!$E$66:$E$73))</f>
        <v>0</v>
      </c>
      <c r="I1492">
        <v>0</v>
      </c>
    </row>
    <row r="1493" spans="1:35" x14ac:dyDescent="0.45">
      <c r="A1493" t="s">
        <v>1988</v>
      </c>
      <c r="F1493">
        <f>SUMPRODUCT(--('Manual inputs'!$E$66:$E$73&gt;0))</f>
        <v>0</v>
      </c>
      <c r="I1493">
        <v>0</v>
      </c>
    </row>
    <row r="1494" spans="1:35" x14ac:dyDescent="0.45">
      <c r="A1494" t="s">
        <v>1989</v>
      </c>
      <c r="D1494">
        <v>1</v>
      </c>
      <c r="F1494">
        <f>SUMPRODUCT(ABS(Mitigation_Industry!$J$276:$J$283-'Manual inputs'!$K$66:$K$73))</f>
        <v>0</v>
      </c>
      <c r="I1494">
        <v>0</v>
      </c>
    </row>
    <row r="1495" spans="1:35" x14ac:dyDescent="0.45">
      <c r="A1495" t="s">
        <v>1990</v>
      </c>
      <c r="D1495">
        <v>1</v>
      </c>
      <c r="F1495">
        <f>SUMPRODUCT(--(1+Mitigation_Industry!$L$320:$AE$327&lt;=0))</f>
        <v>0</v>
      </c>
      <c r="I1495">
        <v>0</v>
      </c>
    </row>
    <row r="1496" spans="1:35" x14ac:dyDescent="0.45">
      <c r="A1496" t="s">
        <v>1991</v>
      </c>
      <c r="D1496">
        <v>1</v>
      </c>
      <c r="F1496">
        <f>SUMPRODUCT(ABS(Mitigation_Industry!$L$320:$AE$327))</f>
        <v>0</v>
      </c>
      <c r="I1496">
        <v>0</v>
      </c>
    </row>
    <row r="1497" spans="1:35" x14ac:dyDescent="0.45">
      <c r="A1497" t="s">
        <v>1992</v>
      </c>
      <c r="D1497">
        <v>1</v>
      </c>
      <c r="F1497">
        <f>ABS(Mitigation_Industry!T380-Mitigation_Industry!T318-Mitigation_Industry!T381-SUMPRODUCT(Mitigation_Industry!$N$276:$N$283*(1+Mitigation_Industry!$G$276:$G$283)^(Mitigation_Industry!T$274-Mitigation_Industry!$N$274)*(Mitigation_Industry!$F$330:$F$337+Mitigation_Industry!$G$330:$G$337))/1000)</f>
        <v>7.1054273576010019E-15</v>
      </c>
      <c r="I1497">
        <v>0</v>
      </c>
    </row>
    <row r="1498" spans="1:35" x14ac:dyDescent="0.45">
      <c r="A1498" t="s">
        <v>1993</v>
      </c>
      <c r="D1498">
        <v>1</v>
      </c>
      <c r="F1498">
        <f>ABS(Mitigation_Industry!AE380-Mitigation_Industry!AE318-Mitigation_Industry!AE381-SUMPRODUCT(Mitigation_Industry!$N$276:$N$283*(1+Mitigation_Industry!$G$276:$G$283)^(Mitigation_Industry!AE$274-Mitigation_Industry!$N$274)*(Mitigation_Industry!$F$330:$F$337+Mitigation_Industry!$G$330:$G$337))/1000)</f>
        <v>2.8421709430404007E-14</v>
      </c>
      <c r="I1498">
        <v>0</v>
      </c>
    </row>
    <row r="1499" spans="1:35" x14ac:dyDescent="0.45">
      <c r="A1499" t="s">
        <v>1989</v>
      </c>
      <c r="D1499">
        <v>2</v>
      </c>
      <c r="F1499">
        <f>SUMPRODUCT(ABS(Mitigation_Industry!$J$675:$J$682-'Manual inputs'!$K$66:$K$73))</f>
        <v>0</v>
      </c>
      <c r="I1499">
        <v>0</v>
      </c>
    </row>
    <row r="1500" spans="1:35" x14ac:dyDescent="0.45">
      <c r="A1500" t="s">
        <v>1990</v>
      </c>
      <c r="D1500">
        <v>2</v>
      </c>
      <c r="F1500">
        <f>SUMPRODUCT(--(1+Mitigation_Industry!$L$719:$AE$726&lt;=0))</f>
        <v>0</v>
      </c>
      <c r="I1500">
        <v>0</v>
      </c>
    </row>
    <row r="1501" spans="1:35" x14ac:dyDescent="0.45">
      <c r="A1501" t="s">
        <v>1992</v>
      </c>
      <c r="D1501">
        <v>2</v>
      </c>
      <c r="F1501">
        <f>ABS(Mitigation_Industry!T779-Mitigation_Industry!T717-Mitigation_Industry!T780-SUMPRODUCT(Mitigation_Industry!$N$675:$N$682*(1+Mitigation_Industry!$G$675:$G$682)^(Mitigation_Industry!T$673-Mitigation_Industry!$N$673)*(Mitigation_Industry!$F$729:$F$736+Mitigation_Industry!$G$729:$G$736))/1000)</f>
        <v>7.1054273576010019E-15</v>
      </c>
      <c r="I1501">
        <v>0</v>
      </c>
    </row>
    <row r="1502" spans="1:35" x14ac:dyDescent="0.45">
      <c r="A1502" t="s">
        <v>1993</v>
      </c>
      <c r="D1502">
        <v>2</v>
      </c>
      <c r="F1502">
        <f>ABS(Mitigation_Industry!AE779-Mitigation_Industry!AE717-Mitigation_Industry!AE780-SUMPRODUCT(Mitigation_Industry!$N$675:$N$682*(1+Mitigation_Industry!$G$675:$G$682)^(Mitigation_Industry!AE$673-Mitigation_Industry!$N$673)*(Mitigation_Industry!$F$729:$F$736+Mitigation_Industry!$G$729:$G$736))/1000)</f>
        <v>2.8421709430404007E-14</v>
      </c>
      <c r="I1502">
        <v>0</v>
      </c>
    </row>
    <row r="1505" spans="1:35" x14ac:dyDescent="0.45">
      <c r="A1505" s="52" t="s">
        <v>2016</v>
      </c>
    </row>
    <row r="1506" spans="1:35" x14ac:dyDescent="0.45">
      <c r="A1506" t="s">
        <v>2024</v>
      </c>
      <c r="D1506" s="92">
        <f>MAX(F1508:F1516)</f>
        <v>4.0856207306205761E-13</v>
      </c>
    </row>
    <row r="1507" spans="1:35" x14ac:dyDescent="0.45">
      <c r="A1507" s="50" t="s">
        <v>1488</v>
      </c>
      <c r="B1507" s="50"/>
      <c r="C1507" s="50"/>
      <c r="D1507" s="50" t="s">
        <v>47</v>
      </c>
      <c r="E1507" s="50" t="s">
        <v>1156</v>
      </c>
      <c r="F1507" s="50" t="s">
        <v>1958</v>
      </c>
      <c r="G1507" s="50"/>
      <c r="H1507" s="50"/>
      <c r="I1507" s="50" t="s">
        <v>1489</v>
      </c>
      <c r="J1507" s="50"/>
      <c r="K1507" s="50"/>
      <c r="L1507" s="50"/>
      <c r="M1507" s="50"/>
      <c r="N1507" s="50"/>
      <c r="O1507" s="50"/>
      <c r="P1507" s="50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  <c r="AA1507" s="50"/>
      <c r="AB1507" s="50"/>
      <c r="AC1507" s="50"/>
      <c r="AD1507" s="50"/>
      <c r="AE1507" s="50"/>
      <c r="AF1507" s="50"/>
      <c r="AG1507" s="50"/>
      <c r="AH1507" s="50"/>
      <c r="AI1507" s="50"/>
    </row>
    <row r="1508" spans="1:35" x14ac:dyDescent="0.45">
      <c r="A1508" t="s">
        <v>2017</v>
      </c>
      <c r="F1508">
        <f>1-OR('Manual inputs'!$E$76="FULL",'Manual inputs'!$E$76="SCALED",'Manual inputs'!$E$76="NOPHASE")</f>
        <v>0</v>
      </c>
      <c r="I1508">
        <v>0</v>
      </c>
    </row>
    <row r="1509" spans="1:35" x14ac:dyDescent="0.45">
      <c r="A1509" t="s">
        <v>2018</v>
      </c>
      <c r="F1509">
        <f>SUMPRODUCT(('Manual inputs'!$L$80:$AE$80&lt;0)+('Manual inputs'!$L$80:$AE$80&gt;1))+SUMPRODUCT(--('Manual inputs'!$M$80:$AE$80&lt;'Manual inputs'!$L$80:$AD$80))</f>
        <v>0</v>
      </c>
      <c r="I1509">
        <v>0</v>
      </c>
    </row>
    <row r="1510" spans="1:35" x14ac:dyDescent="0.45">
      <c r="A1510" t="s">
        <v>2019</v>
      </c>
      <c r="F1510">
        <f>MAX(SUMPRODUCT(ABS('Manual inputs'!$L$81:$AE$81-('Manual inputs'!$E$76="NOPHASE")-('Manual inputs'!$E$76&lt;&gt;"NOPHASE")*'Manual inputs'!$L$80:$AE$80)),SUMPRODUCT(ABS('Manual inputs'!$L$82:$AE$82-('Manual inputs'!$E$76&lt;&gt;"SCALED")-('Manual inputs'!$E$76="SCALED")*'Manual inputs'!$L$81:$AE$81)))</f>
        <v>0</v>
      </c>
      <c r="I1510">
        <v>0</v>
      </c>
    </row>
    <row r="1511" spans="1:35" x14ac:dyDescent="0.45">
      <c r="A1511" t="s">
        <v>2020</v>
      </c>
      <c r="F1511">
        <f>SUMPRODUCT(--('Manual inputs'!$L$79:$AE$79&lt;0))</f>
        <v>0</v>
      </c>
      <c r="I1511">
        <v>0</v>
      </c>
    </row>
    <row r="1512" spans="1:35" x14ac:dyDescent="0.45">
      <c r="A1512" t="s">
        <v>2021</v>
      </c>
      <c r="D1512">
        <v>1</v>
      </c>
      <c r="F1512">
        <f>SUMPRODUCT((Mitigation_Industry!$L$339:$AE$339&lt;0)+(Mitigation_Industry!$L$350:$AE$350&lt;0))</f>
        <v>0</v>
      </c>
      <c r="I1512">
        <v>0</v>
      </c>
    </row>
    <row r="1513" spans="1:35" x14ac:dyDescent="0.45">
      <c r="A1513" t="s">
        <v>2022</v>
      </c>
      <c r="D1513">
        <v>1</v>
      </c>
      <c r="F1513">
        <f>SUMPRODUCT(ABS(Mitigation_Industry!$L$361:$AE$361-(Mitigation_Industry!$L$350:$AE$350&lt;&gt;0)*(Mitigation_Industry!$L$339:$AE$339/(Mitigation_Industry!$L$350:$AE$350+(Mitigation_Industry!$L$350:$AE$350=0))-1)))</f>
        <v>0</v>
      </c>
      <c r="I1513">
        <v>0</v>
      </c>
    </row>
    <row r="1514" spans="1:35" x14ac:dyDescent="0.45">
      <c r="A1514" t="s">
        <v>2023</v>
      </c>
      <c r="D1514">
        <v>1</v>
      </c>
      <c r="F1514">
        <f>SUMPRODUCT(ABS(Mitigation_Industry!$L$339:$AE$339-Mitigation_Industry!$L$350:$AE$350))</f>
        <v>4.0856207306205761E-13</v>
      </c>
      <c r="I1514">
        <v>0</v>
      </c>
    </row>
    <row r="1515" spans="1:35" x14ac:dyDescent="0.45">
      <c r="A1515" t="s">
        <v>2021</v>
      </c>
      <c r="D1515">
        <v>2</v>
      </c>
      <c r="F1515">
        <f>SUMPRODUCT((Mitigation_Industry!$L$738:$AE$738&lt;0)+(Mitigation_Industry!$L$749:$AE$749&lt;0))</f>
        <v>0</v>
      </c>
      <c r="I1515">
        <v>0</v>
      </c>
    </row>
    <row r="1516" spans="1:35" x14ac:dyDescent="0.45">
      <c r="A1516" t="s">
        <v>2022</v>
      </c>
      <c r="D1516">
        <v>2</v>
      </c>
      <c r="F1516">
        <f>SUMPRODUCT(ABS(Mitigation_Industry!$L$760:$AE$760-(Mitigation_Industry!$L$749:$AE$749&lt;&gt;0)*(Mitigation_Industry!$L$738:$AE$738/(Mitigation_Industry!$L$749:$AE$749+(Mitigation_Industry!$L$749:$AE$749=0))-1)))</f>
        <v>0</v>
      </c>
      <c r="I1516">
        <v>0</v>
      </c>
    </row>
    <row r="1519" spans="1:35" x14ac:dyDescent="0.45">
      <c r="A1519" s="52" t="s">
        <v>2144</v>
      </c>
    </row>
    <row r="1520" spans="1:35" x14ac:dyDescent="0.45">
      <c r="A1520" t="s">
        <v>2168</v>
      </c>
      <c r="D1520" s="92">
        <f>MAX(F1522:F1546)</f>
        <v>1.4210854715202004E-14</v>
      </c>
    </row>
    <row r="1521" spans="1:35" x14ac:dyDescent="0.45">
      <c r="A1521" s="50" t="s">
        <v>1488</v>
      </c>
      <c r="B1521" s="50"/>
      <c r="C1521" s="50"/>
      <c r="D1521" s="50" t="s">
        <v>47</v>
      </c>
      <c r="E1521" s="50" t="s">
        <v>1156</v>
      </c>
      <c r="F1521" s="50" t="s">
        <v>1157</v>
      </c>
      <c r="G1521" s="50" t="s">
        <v>2145</v>
      </c>
      <c r="H1521" s="50"/>
      <c r="I1521" s="50" t="s">
        <v>1489</v>
      </c>
      <c r="J1521" s="50"/>
      <c r="K1521" s="50">
        <v>2021</v>
      </c>
      <c r="L1521" s="50">
        <v>2022</v>
      </c>
      <c r="M1521" s="50">
        <v>2023</v>
      </c>
      <c r="N1521" s="50">
        <v>2024</v>
      </c>
      <c r="O1521" s="50">
        <v>2025</v>
      </c>
      <c r="P1521" s="50">
        <v>2026</v>
      </c>
      <c r="Q1521" s="50">
        <v>2027</v>
      </c>
      <c r="R1521" s="50">
        <v>2028</v>
      </c>
      <c r="S1521" s="50">
        <v>2029</v>
      </c>
      <c r="T1521" s="50">
        <v>2030</v>
      </c>
      <c r="U1521" s="50">
        <v>2031</v>
      </c>
      <c r="V1521" s="50">
        <v>2032</v>
      </c>
      <c r="W1521" s="50">
        <v>2033</v>
      </c>
      <c r="X1521" s="50">
        <v>2034</v>
      </c>
      <c r="Y1521" s="50">
        <v>2035</v>
      </c>
      <c r="Z1521" s="50">
        <v>2036</v>
      </c>
      <c r="AA1521" s="50">
        <v>2037</v>
      </c>
      <c r="AB1521" s="50">
        <v>2038</v>
      </c>
      <c r="AC1521" s="50">
        <v>2039</v>
      </c>
      <c r="AD1521" s="50">
        <v>2040</v>
      </c>
      <c r="AE1521" s="50">
        <v>2041</v>
      </c>
      <c r="AF1521" s="50">
        <v>2042</v>
      </c>
      <c r="AG1521" s="50">
        <v>2043</v>
      </c>
      <c r="AH1521" s="50">
        <v>2044</v>
      </c>
      <c r="AI1521" s="50">
        <v>2045</v>
      </c>
    </row>
    <row r="1522" spans="1:35" x14ac:dyDescent="0.45">
      <c r="A1522" t="s">
        <v>2146</v>
      </c>
      <c r="D1522">
        <v>1</v>
      </c>
      <c r="E1522" t="s">
        <v>1161</v>
      </c>
      <c r="F1522">
        <f t="shared" ref="F1522:F1529" si="354">MAX(MAX(L1522:AE1522),-MIN(L1522:AE1522))</f>
        <v>0</v>
      </c>
      <c r="I1522">
        <v>0</v>
      </c>
      <c r="L1522">
        <f>Emissions_Industry!L15-SUM(Emissions_Industry!L6:L14)</f>
        <v>0</v>
      </c>
      <c r="M1522">
        <f>Emissions_Industry!M15-SUM(Emissions_Industry!M6:M14)</f>
        <v>0</v>
      </c>
      <c r="N1522">
        <f>Emissions_Industry!N15-SUM(Emissions_Industry!N6:N14)</f>
        <v>0</v>
      </c>
      <c r="O1522">
        <f>Emissions_Industry!O15-SUM(Emissions_Industry!O6:O14)</f>
        <v>0</v>
      </c>
      <c r="P1522">
        <f>Emissions_Industry!P15-SUM(Emissions_Industry!P6:P14)</f>
        <v>0</v>
      </c>
      <c r="Q1522">
        <f>Emissions_Industry!Q15-SUM(Emissions_Industry!Q6:Q14)</f>
        <v>0</v>
      </c>
      <c r="R1522">
        <f>Emissions_Industry!R15-SUM(Emissions_Industry!R6:R14)</f>
        <v>0</v>
      </c>
      <c r="S1522">
        <f>Emissions_Industry!S15-SUM(Emissions_Industry!S6:S14)</f>
        <v>0</v>
      </c>
      <c r="T1522">
        <f>Emissions_Industry!T15-SUM(Emissions_Industry!T6:T14)</f>
        <v>0</v>
      </c>
      <c r="U1522">
        <f>Emissions_Industry!U15-SUM(Emissions_Industry!U6:U14)</f>
        <v>0</v>
      </c>
      <c r="V1522">
        <f>Emissions_Industry!V15-SUM(Emissions_Industry!V6:V14)</f>
        <v>0</v>
      </c>
      <c r="W1522">
        <f>Emissions_Industry!W15-SUM(Emissions_Industry!W6:W14)</f>
        <v>0</v>
      </c>
      <c r="X1522">
        <f>Emissions_Industry!X15-SUM(Emissions_Industry!X6:X14)</f>
        <v>0</v>
      </c>
      <c r="Y1522">
        <f>Emissions_Industry!Y15-SUM(Emissions_Industry!Y6:Y14)</f>
        <v>0</v>
      </c>
      <c r="Z1522">
        <f>Emissions_Industry!Z15-SUM(Emissions_Industry!Z6:Z14)</f>
        <v>0</v>
      </c>
      <c r="AA1522">
        <f>Emissions_Industry!AA15-SUM(Emissions_Industry!AA6:AA14)</f>
        <v>0</v>
      </c>
      <c r="AB1522">
        <f>Emissions_Industry!AB15-SUM(Emissions_Industry!AB6:AB14)</f>
        <v>0</v>
      </c>
      <c r="AC1522">
        <f>Emissions_Industry!AC15-SUM(Emissions_Industry!AC6:AC14)</f>
        <v>0</v>
      </c>
      <c r="AD1522">
        <f>Emissions_Industry!AD15-SUM(Emissions_Industry!AD6:AD14)</f>
        <v>0</v>
      </c>
      <c r="AE1522">
        <f>Emissions_Industry!AE15-SUM(Emissions_Industry!AE6:AE14)</f>
        <v>0</v>
      </c>
    </row>
    <row r="1523" spans="1:35" x14ac:dyDescent="0.45">
      <c r="A1523" t="s">
        <v>2147</v>
      </c>
      <c r="D1523">
        <v>1</v>
      </c>
      <c r="E1523" t="s">
        <v>1161</v>
      </c>
      <c r="F1523">
        <f t="shared" si="354"/>
        <v>0</v>
      </c>
      <c r="I1523">
        <v>0</v>
      </c>
      <c r="L1523">
        <f>Emissions_Industry!L27-SUM(Emissions_Industry!L18:L26)</f>
        <v>0</v>
      </c>
      <c r="M1523">
        <f>Emissions_Industry!M27-SUM(Emissions_Industry!M18:M26)</f>
        <v>0</v>
      </c>
      <c r="N1523">
        <f>Emissions_Industry!N27-SUM(Emissions_Industry!N18:N26)</f>
        <v>0</v>
      </c>
      <c r="O1523">
        <f>Emissions_Industry!O27-SUM(Emissions_Industry!O18:O26)</f>
        <v>0</v>
      </c>
      <c r="P1523">
        <f>Emissions_Industry!P27-SUM(Emissions_Industry!P18:P26)</f>
        <v>0</v>
      </c>
      <c r="Q1523">
        <f>Emissions_Industry!Q27-SUM(Emissions_Industry!Q18:Q26)</f>
        <v>0</v>
      </c>
      <c r="R1523">
        <f>Emissions_Industry!R27-SUM(Emissions_Industry!R18:R26)</f>
        <v>0</v>
      </c>
      <c r="S1523">
        <f>Emissions_Industry!S27-SUM(Emissions_Industry!S18:S26)</f>
        <v>0</v>
      </c>
      <c r="T1523">
        <f>Emissions_Industry!T27-SUM(Emissions_Industry!T18:T26)</f>
        <v>0</v>
      </c>
      <c r="U1523">
        <f>Emissions_Industry!U27-SUM(Emissions_Industry!U18:U26)</f>
        <v>0</v>
      </c>
      <c r="V1523">
        <f>Emissions_Industry!V27-SUM(Emissions_Industry!V18:V26)</f>
        <v>0</v>
      </c>
      <c r="W1523">
        <f>Emissions_Industry!W27-SUM(Emissions_Industry!W18:W26)</f>
        <v>0</v>
      </c>
      <c r="X1523">
        <f>Emissions_Industry!X27-SUM(Emissions_Industry!X18:X26)</f>
        <v>0</v>
      </c>
      <c r="Y1523">
        <f>Emissions_Industry!Y27-SUM(Emissions_Industry!Y18:Y26)</f>
        <v>0</v>
      </c>
      <c r="Z1523">
        <f>Emissions_Industry!Z27-SUM(Emissions_Industry!Z18:Z26)</f>
        <v>0</v>
      </c>
      <c r="AA1523">
        <f>Emissions_Industry!AA27-SUM(Emissions_Industry!AA18:AA26)</f>
        <v>0</v>
      </c>
      <c r="AB1523">
        <f>Emissions_Industry!AB27-SUM(Emissions_Industry!AB18:AB26)</f>
        <v>0</v>
      </c>
      <c r="AC1523">
        <f>Emissions_Industry!AC27-SUM(Emissions_Industry!AC18:AC26)</f>
        <v>0</v>
      </c>
      <c r="AD1523">
        <f>Emissions_Industry!AD27-SUM(Emissions_Industry!AD18:AD26)</f>
        <v>0</v>
      </c>
      <c r="AE1523">
        <f>Emissions_Industry!AE27-SUM(Emissions_Industry!AE18:AE26)</f>
        <v>0</v>
      </c>
    </row>
    <row r="1524" spans="1:35" x14ac:dyDescent="0.45">
      <c r="A1524" t="s">
        <v>2148</v>
      </c>
      <c r="D1524">
        <v>1</v>
      </c>
      <c r="E1524" t="s">
        <v>1161</v>
      </c>
      <c r="F1524">
        <f t="shared" si="354"/>
        <v>0</v>
      </c>
      <c r="I1524">
        <v>0</v>
      </c>
      <c r="L1524">
        <f>Emissions_Industry!L39-SUM(Emissions_Industry!L30:L38)</f>
        <v>0</v>
      </c>
      <c r="M1524">
        <f>Emissions_Industry!M39-SUM(Emissions_Industry!M30:M38)</f>
        <v>0</v>
      </c>
      <c r="N1524">
        <f>Emissions_Industry!N39-SUM(Emissions_Industry!N30:N38)</f>
        <v>0</v>
      </c>
      <c r="O1524">
        <f>Emissions_Industry!O39-SUM(Emissions_Industry!O30:O38)</f>
        <v>0</v>
      </c>
      <c r="P1524">
        <f>Emissions_Industry!P39-SUM(Emissions_Industry!P30:P38)</f>
        <v>0</v>
      </c>
      <c r="Q1524">
        <f>Emissions_Industry!Q39-SUM(Emissions_Industry!Q30:Q38)</f>
        <v>0</v>
      </c>
      <c r="R1524">
        <f>Emissions_Industry!R39-SUM(Emissions_Industry!R30:R38)</f>
        <v>0</v>
      </c>
      <c r="S1524">
        <f>Emissions_Industry!S39-SUM(Emissions_Industry!S30:S38)</f>
        <v>0</v>
      </c>
      <c r="T1524">
        <f>Emissions_Industry!T39-SUM(Emissions_Industry!T30:T38)</f>
        <v>0</v>
      </c>
      <c r="U1524">
        <f>Emissions_Industry!U39-SUM(Emissions_Industry!U30:U38)</f>
        <v>0</v>
      </c>
      <c r="V1524">
        <f>Emissions_Industry!V39-SUM(Emissions_Industry!V30:V38)</f>
        <v>0</v>
      </c>
      <c r="W1524">
        <f>Emissions_Industry!W39-SUM(Emissions_Industry!W30:W38)</f>
        <v>0</v>
      </c>
      <c r="X1524">
        <f>Emissions_Industry!X39-SUM(Emissions_Industry!X30:X38)</f>
        <v>0</v>
      </c>
      <c r="Y1524">
        <f>Emissions_Industry!Y39-SUM(Emissions_Industry!Y30:Y38)</f>
        <v>0</v>
      </c>
      <c r="Z1524">
        <f>Emissions_Industry!Z39-SUM(Emissions_Industry!Z30:Z38)</f>
        <v>0</v>
      </c>
      <c r="AA1524">
        <f>Emissions_Industry!AA39-SUM(Emissions_Industry!AA30:AA38)</f>
        <v>0</v>
      </c>
      <c r="AB1524">
        <f>Emissions_Industry!AB39-SUM(Emissions_Industry!AB30:AB38)</f>
        <v>0</v>
      </c>
      <c r="AC1524">
        <f>Emissions_Industry!AC39-SUM(Emissions_Industry!AC30:AC38)</f>
        <v>0</v>
      </c>
      <c r="AD1524">
        <f>Emissions_Industry!AD39-SUM(Emissions_Industry!AD30:AD38)</f>
        <v>0</v>
      </c>
      <c r="AE1524">
        <f>Emissions_Industry!AE39-SUM(Emissions_Industry!AE30:AE38)</f>
        <v>0</v>
      </c>
    </row>
    <row r="1525" spans="1:35" x14ac:dyDescent="0.45">
      <c r="A1525" t="s">
        <v>2149</v>
      </c>
      <c r="D1525">
        <v>1</v>
      </c>
      <c r="E1525" t="s">
        <v>1161</v>
      </c>
      <c r="F1525">
        <f t="shared" si="354"/>
        <v>0</v>
      </c>
      <c r="I1525">
        <v>0</v>
      </c>
      <c r="L1525">
        <f>Emissions_Industry!L51-SUM(Emissions_Industry!L42:L50)</f>
        <v>0</v>
      </c>
      <c r="M1525">
        <f>Emissions_Industry!M51-SUM(Emissions_Industry!M42:M50)</f>
        <v>0</v>
      </c>
      <c r="N1525">
        <f>Emissions_Industry!N51-SUM(Emissions_Industry!N42:N50)</f>
        <v>0</v>
      </c>
      <c r="O1525">
        <f>Emissions_Industry!O51-SUM(Emissions_Industry!O42:O50)</f>
        <v>0</v>
      </c>
      <c r="P1525">
        <f>Emissions_Industry!P51-SUM(Emissions_Industry!P42:P50)</f>
        <v>0</v>
      </c>
      <c r="Q1525">
        <f>Emissions_Industry!Q51-SUM(Emissions_Industry!Q42:Q50)</f>
        <v>0</v>
      </c>
      <c r="R1525">
        <f>Emissions_Industry!R51-SUM(Emissions_Industry!R42:R50)</f>
        <v>0</v>
      </c>
      <c r="S1525">
        <f>Emissions_Industry!S51-SUM(Emissions_Industry!S42:S50)</f>
        <v>0</v>
      </c>
      <c r="T1525">
        <f>Emissions_Industry!T51-SUM(Emissions_Industry!T42:T50)</f>
        <v>0</v>
      </c>
      <c r="U1525">
        <f>Emissions_Industry!U51-SUM(Emissions_Industry!U42:U50)</f>
        <v>0</v>
      </c>
      <c r="V1525">
        <f>Emissions_Industry!V51-SUM(Emissions_Industry!V42:V50)</f>
        <v>0</v>
      </c>
      <c r="W1525">
        <f>Emissions_Industry!W51-SUM(Emissions_Industry!W42:W50)</f>
        <v>0</v>
      </c>
      <c r="X1525">
        <f>Emissions_Industry!X51-SUM(Emissions_Industry!X42:X50)</f>
        <v>0</v>
      </c>
      <c r="Y1525">
        <f>Emissions_Industry!Y51-SUM(Emissions_Industry!Y42:Y50)</f>
        <v>0</v>
      </c>
      <c r="Z1525">
        <f>Emissions_Industry!Z51-SUM(Emissions_Industry!Z42:Z50)</f>
        <v>0</v>
      </c>
      <c r="AA1525">
        <f>Emissions_Industry!AA51-SUM(Emissions_Industry!AA42:AA50)</f>
        <v>0</v>
      </c>
      <c r="AB1525">
        <f>Emissions_Industry!AB51-SUM(Emissions_Industry!AB42:AB50)</f>
        <v>0</v>
      </c>
      <c r="AC1525">
        <f>Emissions_Industry!AC51-SUM(Emissions_Industry!AC42:AC50)</f>
        <v>0</v>
      </c>
      <c r="AD1525">
        <f>Emissions_Industry!AD51-SUM(Emissions_Industry!AD42:AD50)</f>
        <v>0</v>
      </c>
      <c r="AE1525">
        <f>Emissions_Industry!AE51-SUM(Emissions_Industry!AE42:AE50)</f>
        <v>0</v>
      </c>
    </row>
    <row r="1526" spans="1:35" x14ac:dyDescent="0.45">
      <c r="A1526" t="s">
        <v>2150</v>
      </c>
      <c r="D1526">
        <v>2</v>
      </c>
      <c r="E1526" t="s">
        <v>1161</v>
      </c>
      <c r="F1526">
        <f t="shared" si="354"/>
        <v>0</v>
      </c>
      <c r="I1526">
        <v>0</v>
      </c>
      <c r="L1526">
        <f>Emissions_Industry!L66-SUM(Emissions_Industry!L57:L65)</f>
        <v>0</v>
      </c>
      <c r="M1526">
        <f>Emissions_Industry!M66-SUM(Emissions_Industry!M57:M65)</f>
        <v>0</v>
      </c>
      <c r="N1526">
        <f>Emissions_Industry!N66-SUM(Emissions_Industry!N57:N65)</f>
        <v>0</v>
      </c>
      <c r="O1526">
        <f>Emissions_Industry!O66-SUM(Emissions_Industry!O57:O65)</f>
        <v>0</v>
      </c>
      <c r="P1526">
        <f>Emissions_Industry!P66-SUM(Emissions_Industry!P57:P65)</f>
        <v>0</v>
      </c>
      <c r="Q1526">
        <f>Emissions_Industry!Q66-SUM(Emissions_Industry!Q57:Q65)</f>
        <v>0</v>
      </c>
      <c r="R1526">
        <f>Emissions_Industry!R66-SUM(Emissions_Industry!R57:R65)</f>
        <v>0</v>
      </c>
      <c r="S1526">
        <f>Emissions_Industry!S66-SUM(Emissions_Industry!S57:S65)</f>
        <v>0</v>
      </c>
      <c r="T1526">
        <f>Emissions_Industry!T66-SUM(Emissions_Industry!T57:T65)</f>
        <v>0</v>
      </c>
      <c r="U1526">
        <f>Emissions_Industry!U66-SUM(Emissions_Industry!U57:U65)</f>
        <v>0</v>
      </c>
      <c r="V1526">
        <f>Emissions_Industry!V66-SUM(Emissions_Industry!V57:V65)</f>
        <v>0</v>
      </c>
      <c r="W1526">
        <f>Emissions_Industry!W66-SUM(Emissions_Industry!W57:W65)</f>
        <v>0</v>
      </c>
      <c r="X1526">
        <f>Emissions_Industry!X66-SUM(Emissions_Industry!X57:X65)</f>
        <v>0</v>
      </c>
      <c r="Y1526">
        <f>Emissions_Industry!Y66-SUM(Emissions_Industry!Y57:Y65)</f>
        <v>0</v>
      </c>
      <c r="Z1526">
        <f>Emissions_Industry!Z66-SUM(Emissions_Industry!Z57:Z65)</f>
        <v>0</v>
      </c>
      <c r="AA1526">
        <f>Emissions_Industry!AA66-SUM(Emissions_Industry!AA57:AA65)</f>
        <v>0</v>
      </c>
      <c r="AB1526">
        <f>Emissions_Industry!AB66-SUM(Emissions_Industry!AB57:AB65)</f>
        <v>0</v>
      </c>
      <c r="AC1526">
        <f>Emissions_Industry!AC66-SUM(Emissions_Industry!AC57:AC65)</f>
        <v>0</v>
      </c>
      <c r="AD1526">
        <f>Emissions_Industry!AD66-SUM(Emissions_Industry!AD57:AD65)</f>
        <v>0</v>
      </c>
      <c r="AE1526">
        <f>Emissions_Industry!AE66-SUM(Emissions_Industry!AE57:AE65)</f>
        <v>0</v>
      </c>
    </row>
    <row r="1527" spans="1:35" x14ac:dyDescent="0.45">
      <c r="A1527" t="s">
        <v>2151</v>
      </c>
      <c r="D1527">
        <v>2</v>
      </c>
      <c r="E1527" t="s">
        <v>1161</v>
      </c>
      <c r="F1527">
        <f t="shared" si="354"/>
        <v>0</v>
      </c>
      <c r="I1527">
        <v>0</v>
      </c>
      <c r="L1527">
        <f>Emissions_Industry!L78-SUM(Emissions_Industry!L69:L77)</f>
        <v>0</v>
      </c>
      <c r="M1527">
        <f>Emissions_Industry!M78-SUM(Emissions_Industry!M69:M77)</f>
        <v>0</v>
      </c>
      <c r="N1527">
        <f>Emissions_Industry!N78-SUM(Emissions_Industry!N69:N77)</f>
        <v>0</v>
      </c>
      <c r="O1527">
        <f>Emissions_Industry!O78-SUM(Emissions_Industry!O69:O77)</f>
        <v>0</v>
      </c>
      <c r="P1527">
        <f>Emissions_Industry!P78-SUM(Emissions_Industry!P69:P77)</f>
        <v>0</v>
      </c>
      <c r="Q1527">
        <f>Emissions_Industry!Q78-SUM(Emissions_Industry!Q69:Q77)</f>
        <v>0</v>
      </c>
      <c r="R1527">
        <f>Emissions_Industry!R78-SUM(Emissions_Industry!R69:R77)</f>
        <v>0</v>
      </c>
      <c r="S1527">
        <f>Emissions_Industry!S78-SUM(Emissions_Industry!S69:S77)</f>
        <v>0</v>
      </c>
      <c r="T1527">
        <f>Emissions_Industry!T78-SUM(Emissions_Industry!T69:T77)</f>
        <v>0</v>
      </c>
      <c r="U1527">
        <f>Emissions_Industry!U78-SUM(Emissions_Industry!U69:U77)</f>
        <v>0</v>
      </c>
      <c r="V1527">
        <f>Emissions_Industry!V78-SUM(Emissions_Industry!V69:V77)</f>
        <v>0</v>
      </c>
      <c r="W1527">
        <f>Emissions_Industry!W78-SUM(Emissions_Industry!W69:W77)</f>
        <v>0</v>
      </c>
      <c r="X1527">
        <f>Emissions_Industry!X78-SUM(Emissions_Industry!X69:X77)</f>
        <v>0</v>
      </c>
      <c r="Y1527">
        <f>Emissions_Industry!Y78-SUM(Emissions_Industry!Y69:Y77)</f>
        <v>0</v>
      </c>
      <c r="Z1527">
        <f>Emissions_Industry!Z78-SUM(Emissions_Industry!Z69:Z77)</f>
        <v>0</v>
      </c>
      <c r="AA1527">
        <f>Emissions_Industry!AA78-SUM(Emissions_Industry!AA69:AA77)</f>
        <v>0</v>
      </c>
      <c r="AB1527">
        <f>Emissions_Industry!AB78-SUM(Emissions_Industry!AB69:AB77)</f>
        <v>0</v>
      </c>
      <c r="AC1527">
        <f>Emissions_Industry!AC78-SUM(Emissions_Industry!AC69:AC77)</f>
        <v>0</v>
      </c>
      <c r="AD1527">
        <f>Emissions_Industry!AD78-SUM(Emissions_Industry!AD69:AD77)</f>
        <v>0</v>
      </c>
      <c r="AE1527">
        <f>Emissions_Industry!AE78-SUM(Emissions_Industry!AE69:AE77)</f>
        <v>0</v>
      </c>
    </row>
    <row r="1528" spans="1:35" x14ac:dyDescent="0.45">
      <c r="A1528" t="s">
        <v>2152</v>
      </c>
      <c r="D1528">
        <v>2</v>
      </c>
      <c r="E1528" t="s">
        <v>1161</v>
      </c>
      <c r="F1528">
        <f t="shared" si="354"/>
        <v>0</v>
      </c>
      <c r="I1528">
        <v>0</v>
      </c>
      <c r="L1528">
        <f>Emissions_Industry!L90-SUM(Emissions_Industry!L81:L89)</f>
        <v>0</v>
      </c>
      <c r="M1528">
        <f>Emissions_Industry!M90-SUM(Emissions_Industry!M81:M89)</f>
        <v>0</v>
      </c>
      <c r="N1528">
        <f>Emissions_Industry!N90-SUM(Emissions_Industry!N81:N89)</f>
        <v>0</v>
      </c>
      <c r="O1528">
        <f>Emissions_Industry!O90-SUM(Emissions_Industry!O81:O89)</f>
        <v>0</v>
      </c>
      <c r="P1528">
        <f>Emissions_Industry!P90-SUM(Emissions_Industry!P81:P89)</f>
        <v>0</v>
      </c>
      <c r="Q1528">
        <f>Emissions_Industry!Q90-SUM(Emissions_Industry!Q81:Q89)</f>
        <v>0</v>
      </c>
      <c r="R1528">
        <f>Emissions_Industry!R90-SUM(Emissions_Industry!R81:R89)</f>
        <v>0</v>
      </c>
      <c r="S1528">
        <f>Emissions_Industry!S90-SUM(Emissions_Industry!S81:S89)</f>
        <v>0</v>
      </c>
      <c r="T1528">
        <f>Emissions_Industry!T90-SUM(Emissions_Industry!T81:T89)</f>
        <v>0</v>
      </c>
      <c r="U1528">
        <f>Emissions_Industry!U90-SUM(Emissions_Industry!U81:U89)</f>
        <v>0</v>
      </c>
      <c r="V1528">
        <f>Emissions_Industry!V90-SUM(Emissions_Industry!V81:V89)</f>
        <v>0</v>
      </c>
      <c r="W1528">
        <f>Emissions_Industry!W90-SUM(Emissions_Industry!W81:W89)</f>
        <v>0</v>
      </c>
      <c r="X1528">
        <f>Emissions_Industry!X90-SUM(Emissions_Industry!X81:X89)</f>
        <v>0</v>
      </c>
      <c r="Y1528">
        <f>Emissions_Industry!Y90-SUM(Emissions_Industry!Y81:Y89)</f>
        <v>0</v>
      </c>
      <c r="Z1528">
        <f>Emissions_Industry!Z90-SUM(Emissions_Industry!Z81:Z89)</f>
        <v>0</v>
      </c>
      <c r="AA1528">
        <f>Emissions_Industry!AA90-SUM(Emissions_Industry!AA81:AA89)</f>
        <v>0</v>
      </c>
      <c r="AB1528">
        <f>Emissions_Industry!AB90-SUM(Emissions_Industry!AB81:AB89)</f>
        <v>0</v>
      </c>
      <c r="AC1528">
        <f>Emissions_Industry!AC90-SUM(Emissions_Industry!AC81:AC89)</f>
        <v>0</v>
      </c>
      <c r="AD1528">
        <f>Emissions_Industry!AD90-SUM(Emissions_Industry!AD81:AD89)</f>
        <v>0</v>
      </c>
      <c r="AE1528">
        <f>Emissions_Industry!AE90-SUM(Emissions_Industry!AE81:AE89)</f>
        <v>0</v>
      </c>
    </row>
    <row r="1529" spans="1:35" x14ac:dyDescent="0.45">
      <c r="A1529" t="s">
        <v>2153</v>
      </c>
      <c r="D1529">
        <v>2</v>
      </c>
      <c r="E1529" t="s">
        <v>1161</v>
      </c>
      <c r="F1529">
        <f t="shared" si="354"/>
        <v>0</v>
      </c>
      <c r="I1529">
        <v>0</v>
      </c>
      <c r="L1529">
        <f>Emissions_Industry!L102-SUM(Emissions_Industry!L93:L101)</f>
        <v>0</v>
      </c>
      <c r="M1529">
        <f>Emissions_Industry!M102-SUM(Emissions_Industry!M93:M101)</f>
        <v>0</v>
      </c>
      <c r="N1529">
        <f>Emissions_Industry!N102-SUM(Emissions_Industry!N93:N101)</f>
        <v>0</v>
      </c>
      <c r="O1529">
        <f>Emissions_Industry!O102-SUM(Emissions_Industry!O93:O101)</f>
        <v>0</v>
      </c>
      <c r="P1529">
        <f>Emissions_Industry!P102-SUM(Emissions_Industry!P93:P101)</f>
        <v>0</v>
      </c>
      <c r="Q1529">
        <f>Emissions_Industry!Q102-SUM(Emissions_Industry!Q93:Q101)</f>
        <v>0</v>
      </c>
      <c r="R1529">
        <f>Emissions_Industry!R102-SUM(Emissions_Industry!R93:R101)</f>
        <v>0</v>
      </c>
      <c r="S1529">
        <f>Emissions_Industry!S102-SUM(Emissions_Industry!S93:S101)</f>
        <v>0</v>
      </c>
      <c r="T1529">
        <f>Emissions_Industry!T102-SUM(Emissions_Industry!T93:T101)</f>
        <v>0</v>
      </c>
      <c r="U1529">
        <f>Emissions_Industry!U102-SUM(Emissions_Industry!U93:U101)</f>
        <v>0</v>
      </c>
      <c r="V1529">
        <f>Emissions_Industry!V102-SUM(Emissions_Industry!V93:V101)</f>
        <v>0</v>
      </c>
      <c r="W1529">
        <f>Emissions_Industry!W102-SUM(Emissions_Industry!W93:W101)</f>
        <v>0</v>
      </c>
      <c r="X1529">
        <f>Emissions_Industry!X102-SUM(Emissions_Industry!X93:X101)</f>
        <v>0</v>
      </c>
      <c r="Y1529">
        <f>Emissions_Industry!Y102-SUM(Emissions_Industry!Y93:Y101)</f>
        <v>0</v>
      </c>
      <c r="Z1529">
        <f>Emissions_Industry!Z102-SUM(Emissions_Industry!Z93:Z101)</f>
        <v>0</v>
      </c>
      <c r="AA1529">
        <f>Emissions_Industry!AA102-SUM(Emissions_Industry!AA93:AA101)</f>
        <v>0</v>
      </c>
      <c r="AB1529">
        <f>Emissions_Industry!AB102-SUM(Emissions_Industry!AB93:AB101)</f>
        <v>0</v>
      </c>
      <c r="AC1529">
        <f>Emissions_Industry!AC102-SUM(Emissions_Industry!AC93:AC101)</f>
        <v>0</v>
      </c>
      <c r="AD1529">
        <f>Emissions_Industry!AD102-SUM(Emissions_Industry!AD93:AD101)</f>
        <v>0</v>
      </c>
      <c r="AE1529">
        <f>Emissions_Industry!AE102-SUM(Emissions_Industry!AE93:AE101)</f>
        <v>0</v>
      </c>
    </row>
    <row r="1530" spans="1:35" x14ac:dyDescent="0.45">
      <c r="A1530" t="s">
        <v>2154</v>
      </c>
      <c r="E1530" t="s">
        <v>1161</v>
      </c>
      <c r="F1530">
        <f>MAX(MAX(Data_EF!I4:I12),-MIN(Data_EF!I4:I12))</f>
        <v>0</v>
      </c>
      <c r="I1530">
        <v>0</v>
      </c>
    </row>
    <row r="1531" spans="1:35" x14ac:dyDescent="0.45">
      <c r="A1531" t="s">
        <v>2155</v>
      </c>
      <c r="B1531" t="s">
        <v>110</v>
      </c>
      <c r="C1531" t="s">
        <v>43</v>
      </c>
      <c r="D1531">
        <v>1</v>
      </c>
      <c r="E1531" t="s">
        <v>1159</v>
      </c>
      <c r="J1531" t="s">
        <v>2156</v>
      </c>
      <c r="L1531">
        <v>4.5303835184019583</v>
      </c>
      <c r="M1531">
        <v>3.8469033618625139</v>
      </c>
      <c r="N1531">
        <v>4.3290746208215127</v>
      </c>
      <c r="O1531">
        <v>4.5451606543511947</v>
      </c>
      <c r="P1531">
        <v>4.6606527233890924</v>
      </c>
      <c r="Q1531">
        <v>4.8330795942744276</v>
      </c>
      <c r="R1531">
        <v>5.0529306123252535</v>
      </c>
      <c r="S1531">
        <v>5.2667916999615318</v>
      </c>
      <c r="T1531">
        <v>5.4699790897750393</v>
      </c>
      <c r="U1531">
        <v>5.6771103604276592</v>
      </c>
      <c r="V1531">
        <v>5.8842858461533076</v>
      </c>
      <c r="W1531">
        <v>6.0960674143926372</v>
      </c>
      <c r="X1531">
        <v>6.3124466882788486</v>
      </c>
      <c r="Y1531">
        <v>6.533411878712708</v>
      </c>
      <c r="Z1531">
        <v>6.7589477212745397</v>
      </c>
      <c r="AA1531">
        <v>6.9890354050403474</v>
      </c>
      <c r="AB1531">
        <v>7.223652492772068</v>
      </c>
      <c r="AC1531">
        <v>7.4627728319721705</v>
      </c>
      <c r="AD1531">
        <v>7.7063664563130727</v>
      </c>
      <c r="AE1531">
        <v>7.9543994769708535</v>
      </c>
    </row>
    <row r="1532" spans="1:35" x14ac:dyDescent="0.45">
      <c r="A1532" t="s">
        <v>2157</v>
      </c>
      <c r="B1532" t="s">
        <v>110</v>
      </c>
      <c r="C1532" t="s">
        <v>43</v>
      </c>
      <c r="D1532">
        <v>1</v>
      </c>
      <c r="E1532" t="s">
        <v>1160</v>
      </c>
      <c r="L1532">
        <f>INDEX(Emissions_Industry!L:L,MATCH($A1532,Emissions_Industry!$H:$H,0))</f>
        <v>4.5303835184019645</v>
      </c>
      <c r="M1532">
        <f>INDEX(Emissions_Industry!M:M,MATCH($A1532,Emissions_Industry!$H:$H,0))</f>
        <v>3.8469033618625206</v>
      </c>
      <c r="N1532">
        <f>INDEX(Emissions_Industry!N:N,MATCH($A1532,Emissions_Industry!$H:$H,0))</f>
        <v>4.3290746208215198</v>
      </c>
      <c r="O1532">
        <f>INDEX(Emissions_Industry!O:O,MATCH($A1532,Emissions_Industry!$H:$H,0))</f>
        <v>4.5451606543512009</v>
      </c>
      <c r="P1532">
        <f>INDEX(Emissions_Industry!P:P,MATCH($A1532,Emissions_Industry!$H:$H,0))</f>
        <v>4.6606527233890995</v>
      </c>
      <c r="Q1532">
        <f>INDEX(Emissions_Industry!Q:Q,MATCH($A1532,Emissions_Industry!$H:$H,0))</f>
        <v>4.8330795942744347</v>
      </c>
      <c r="R1532">
        <f>INDEX(Emissions_Industry!R:R,MATCH($A1532,Emissions_Industry!$H:$H,0))</f>
        <v>5.0529306123252606</v>
      </c>
      <c r="S1532">
        <f>INDEX(Emissions_Industry!S:S,MATCH($A1532,Emissions_Industry!$H:$H,0))</f>
        <v>5.2667916999615381</v>
      </c>
      <c r="T1532">
        <f>INDEX(Emissions_Industry!T:T,MATCH($A1532,Emissions_Industry!$H:$H,0))</f>
        <v>5.4699790897750464</v>
      </c>
      <c r="U1532">
        <f>INDEX(Emissions_Industry!U:U,MATCH($A1532,Emissions_Industry!$H:$H,0))</f>
        <v>5.6771103604276671</v>
      </c>
      <c r="V1532">
        <f>INDEX(Emissions_Industry!V:V,MATCH($A1532,Emissions_Industry!$H:$H,0))</f>
        <v>5.8842858461533165</v>
      </c>
      <c r="W1532">
        <f>INDEX(Emissions_Industry!W:W,MATCH($A1532,Emissions_Industry!$H:$H,0))</f>
        <v>6.0960674143926461</v>
      </c>
      <c r="X1532">
        <f>INDEX(Emissions_Industry!X:X,MATCH($A1532,Emissions_Industry!$H:$H,0))</f>
        <v>6.3124466882788575</v>
      </c>
      <c r="Y1532">
        <f>INDEX(Emissions_Industry!Y:Y,MATCH($A1532,Emissions_Industry!$H:$H,0))</f>
        <v>6.5334118787127196</v>
      </c>
      <c r="Z1532">
        <f>INDEX(Emissions_Industry!Z:Z,MATCH($A1532,Emissions_Industry!$H:$H,0))</f>
        <v>6.7589477212745512</v>
      </c>
      <c r="AA1532">
        <f>INDEX(Emissions_Industry!AA:AA,MATCH($A1532,Emissions_Industry!$H:$H,0))</f>
        <v>6.9890354050403589</v>
      </c>
      <c r="AB1532">
        <f>INDEX(Emissions_Industry!AB:AB,MATCH($A1532,Emissions_Industry!$H:$H,0))</f>
        <v>7.2236524927720804</v>
      </c>
      <c r="AC1532">
        <f>INDEX(Emissions_Industry!AC:AC,MATCH($A1532,Emissions_Industry!$H:$H,0))</f>
        <v>7.4627728319721847</v>
      </c>
      <c r="AD1532">
        <f>INDEX(Emissions_Industry!AD:AD,MATCH($A1532,Emissions_Industry!$H:$H,0))</f>
        <v>7.7063664563130869</v>
      </c>
      <c r="AE1532">
        <f>INDEX(Emissions_Industry!AE:AE,MATCH($A1532,Emissions_Industry!$H:$H,0))</f>
        <v>7.9543994769708668</v>
      </c>
    </row>
    <row r="1533" spans="1:35" x14ac:dyDescent="0.45">
      <c r="A1533" t="s">
        <v>2157</v>
      </c>
      <c r="B1533" t="s">
        <v>110</v>
      </c>
      <c r="C1533" t="s">
        <v>43</v>
      </c>
      <c r="D1533">
        <v>1</v>
      </c>
      <c r="E1533" t="s">
        <v>1161</v>
      </c>
      <c r="F1533">
        <f>MAX(MAX(L1533:AE1533),-MIN(L1533:AE1533))</f>
        <v>1.4210854715202004E-14</v>
      </c>
      <c r="G1533" s="131">
        <f>IF(MAX(L1531:AE1531)=0,0,F1533/MAX(L1531:AE1531))</f>
        <v>1.7865402355444304E-15</v>
      </c>
      <c r="I1533">
        <v>0</v>
      </c>
      <c r="L1533">
        <f t="shared" ref="L1533:AE1533" si="355">L1532-L1531</f>
        <v>0</v>
      </c>
      <c r="M1533">
        <f t="shared" si="355"/>
        <v>6.6613381477509392E-15</v>
      </c>
      <c r="N1533">
        <f t="shared" si="355"/>
        <v>7.1054273576010019E-15</v>
      </c>
      <c r="O1533">
        <f t="shared" si="355"/>
        <v>0</v>
      </c>
      <c r="P1533">
        <f t="shared" si="355"/>
        <v>7.1054273576010019E-15</v>
      </c>
      <c r="Q1533">
        <f t="shared" si="355"/>
        <v>7.1054273576010019E-15</v>
      </c>
      <c r="R1533">
        <f t="shared" si="355"/>
        <v>7.1054273576010019E-15</v>
      </c>
      <c r="S1533">
        <f t="shared" si="355"/>
        <v>0</v>
      </c>
      <c r="T1533">
        <f t="shared" si="355"/>
        <v>7.1054273576010019E-15</v>
      </c>
      <c r="U1533">
        <f t="shared" si="355"/>
        <v>7.9936057773011271E-15</v>
      </c>
      <c r="V1533">
        <f t="shared" si="355"/>
        <v>8.8817841970012523E-15</v>
      </c>
      <c r="W1533">
        <f t="shared" si="355"/>
        <v>8.8817841970012523E-15</v>
      </c>
      <c r="X1533">
        <f t="shared" si="355"/>
        <v>8.8817841970012523E-15</v>
      </c>
      <c r="Y1533">
        <f t="shared" si="355"/>
        <v>1.1546319456101628E-14</v>
      </c>
      <c r="Z1533">
        <f t="shared" si="355"/>
        <v>1.1546319456101628E-14</v>
      </c>
      <c r="AA1533">
        <f t="shared" si="355"/>
        <v>1.1546319456101628E-14</v>
      </c>
      <c r="AB1533">
        <f t="shared" si="355"/>
        <v>1.2434497875801753E-14</v>
      </c>
      <c r="AC1533">
        <f t="shared" si="355"/>
        <v>1.4210854715202004E-14</v>
      </c>
      <c r="AD1533">
        <f t="shared" si="355"/>
        <v>1.4210854715202004E-14</v>
      </c>
      <c r="AE1533">
        <f t="shared" si="355"/>
        <v>1.3322676295501878E-14</v>
      </c>
    </row>
    <row r="1534" spans="1:35" x14ac:dyDescent="0.45">
      <c r="A1534" t="s">
        <v>2158</v>
      </c>
      <c r="B1534" t="s">
        <v>110</v>
      </c>
      <c r="C1534" t="s">
        <v>113</v>
      </c>
      <c r="D1534">
        <v>1</v>
      </c>
      <c r="E1534" t="s">
        <v>1159</v>
      </c>
      <c r="J1534" t="s">
        <v>2159</v>
      </c>
      <c r="L1534">
        <v>9.4893574461323063</v>
      </c>
      <c r="M1534">
        <v>7.8923978681734726</v>
      </c>
      <c r="N1534">
        <v>8.9740498980415797</v>
      </c>
      <c r="O1534">
        <v>9.6117389440758156</v>
      </c>
      <c r="P1534">
        <v>9.6255920185944603</v>
      </c>
      <c r="Q1534">
        <v>9.8610476555574493</v>
      </c>
      <c r="R1534">
        <v>10.224041222352259</v>
      </c>
      <c r="S1534">
        <v>10.577278178288619</v>
      </c>
      <c r="T1534">
        <v>10.913917324515172</v>
      </c>
      <c r="U1534">
        <v>11.25498088660003</v>
      </c>
      <c r="V1534">
        <v>11.572436051134586</v>
      </c>
      <c r="W1534">
        <v>11.894967219383657</v>
      </c>
      <c r="X1534">
        <v>12.222536887315176</v>
      </c>
      <c r="Y1534">
        <v>12.555104231742494</v>
      </c>
      <c r="Z1534">
        <v>12.892625020155878</v>
      </c>
      <c r="AA1534">
        <v>13.235051509488896</v>
      </c>
      <c r="AB1534">
        <v>13.582332333397817</v>
      </c>
      <c r="AC1534">
        <v>13.934412377644659</v>
      </c>
      <c r="AD1534">
        <v>14.291232643187334</v>
      </c>
      <c r="AE1534">
        <v>14.652730096591432</v>
      </c>
    </row>
    <row r="1535" spans="1:35" x14ac:dyDescent="0.45">
      <c r="A1535" t="s">
        <v>2160</v>
      </c>
      <c r="B1535" t="s">
        <v>110</v>
      </c>
      <c r="C1535" t="s">
        <v>113</v>
      </c>
      <c r="D1535">
        <v>1</v>
      </c>
      <c r="E1535" t="s">
        <v>1160</v>
      </c>
      <c r="L1535">
        <f>INDEX(Emissions_Industry!L:L,MATCH($A1535,Emissions_Industry!$H:$H,0))</f>
        <v>9.4893574461323063</v>
      </c>
      <c r="M1535">
        <f>INDEX(Emissions_Industry!M:M,MATCH($A1535,Emissions_Industry!$H:$H,0))</f>
        <v>7.892397868173477</v>
      </c>
      <c r="N1535">
        <f>INDEX(Emissions_Industry!N:N,MATCH($A1535,Emissions_Industry!$H:$H,0))</f>
        <v>8.974049898041585</v>
      </c>
      <c r="O1535">
        <f>INDEX(Emissions_Industry!O:O,MATCH($A1535,Emissions_Industry!$H:$H,0))</f>
        <v>9.6117389440758174</v>
      </c>
      <c r="P1535">
        <f>INDEX(Emissions_Industry!P:P,MATCH($A1535,Emissions_Industry!$H:$H,0))</f>
        <v>9.6255920185944621</v>
      </c>
      <c r="Q1535">
        <f>INDEX(Emissions_Industry!Q:Q,MATCH($A1535,Emissions_Industry!$H:$H,0))</f>
        <v>9.8610476555574511</v>
      </c>
      <c r="R1535">
        <f>INDEX(Emissions_Industry!R:R,MATCH($A1535,Emissions_Industry!$H:$H,0))</f>
        <v>10.224041222352259</v>
      </c>
      <c r="S1535">
        <f>INDEX(Emissions_Industry!S:S,MATCH($A1535,Emissions_Industry!$H:$H,0))</f>
        <v>10.577278178288619</v>
      </c>
      <c r="T1535">
        <f>INDEX(Emissions_Industry!T:T,MATCH($A1535,Emissions_Industry!$H:$H,0))</f>
        <v>10.913917324515168</v>
      </c>
      <c r="U1535">
        <f>INDEX(Emissions_Industry!U:U,MATCH($A1535,Emissions_Industry!$H:$H,0))</f>
        <v>11.254980886600027</v>
      </c>
      <c r="V1535">
        <f>INDEX(Emissions_Industry!V:V,MATCH($A1535,Emissions_Industry!$H:$H,0))</f>
        <v>11.572436051134584</v>
      </c>
      <c r="W1535">
        <f>INDEX(Emissions_Industry!W:W,MATCH($A1535,Emissions_Industry!$H:$H,0))</f>
        <v>11.894967219383652</v>
      </c>
      <c r="X1535">
        <f>INDEX(Emissions_Industry!X:X,MATCH($A1535,Emissions_Industry!$H:$H,0))</f>
        <v>12.222536887315171</v>
      </c>
      <c r="Y1535">
        <f>INDEX(Emissions_Industry!Y:Y,MATCH($A1535,Emissions_Industry!$H:$H,0))</f>
        <v>12.55510423174249</v>
      </c>
      <c r="Z1535">
        <f>INDEX(Emissions_Industry!Z:Z,MATCH($A1535,Emissions_Industry!$H:$H,0))</f>
        <v>12.892625020155874</v>
      </c>
      <c r="AA1535">
        <f>INDEX(Emissions_Industry!AA:AA,MATCH($A1535,Emissions_Industry!$H:$H,0))</f>
        <v>13.235051509488891</v>
      </c>
      <c r="AB1535">
        <f>INDEX(Emissions_Industry!AB:AB,MATCH($A1535,Emissions_Industry!$H:$H,0))</f>
        <v>13.582332333397812</v>
      </c>
      <c r="AC1535">
        <f>INDEX(Emissions_Industry!AC:AC,MATCH($A1535,Emissions_Industry!$H:$H,0))</f>
        <v>13.934412377644653</v>
      </c>
      <c r="AD1535">
        <f>INDEX(Emissions_Industry!AD:AD,MATCH($A1535,Emissions_Industry!$H:$H,0))</f>
        <v>14.291232643187328</v>
      </c>
      <c r="AE1535">
        <f>INDEX(Emissions_Industry!AE:AE,MATCH($A1535,Emissions_Industry!$H:$H,0))</f>
        <v>14.652730096591428</v>
      </c>
    </row>
    <row r="1536" spans="1:35" x14ac:dyDescent="0.45">
      <c r="A1536" t="s">
        <v>2160</v>
      </c>
      <c r="B1536" t="s">
        <v>110</v>
      </c>
      <c r="C1536" t="s">
        <v>113</v>
      </c>
      <c r="D1536">
        <v>1</v>
      </c>
      <c r="E1536" t="s">
        <v>1161</v>
      </c>
      <c r="F1536">
        <f>MAX(MAX(L1536:AE1536),-MIN(L1536:AE1536))</f>
        <v>0</v>
      </c>
      <c r="G1536" s="131">
        <f>IF(MAX(L1534:AE1534)=0,0,F1536/MAX(L1534:AE1534))</f>
        <v>0</v>
      </c>
      <c r="I1536">
        <v>0</v>
      </c>
      <c r="L1536">
        <f t="shared" ref="L1536:AE1536" si="356">L1535-L1534</f>
        <v>0</v>
      </c>
      <c r="M1536">
        <f t="shared" si="356"/>
        <v>0</v>
      </c>
      <c r="N1536">
        <f t="shared" si="356"/>
        <v>0</v>
      </c>
      <c r="O1536">
        <f t="shared" si="356"/>
        <v>0</v>
      </c>
      <c r="P1536">
        <f t="shared" si="356"/>
        <v>0</v>
      </c>
      <c r="Q1536">
        <f t="shared" si="356"/>
        <v>0</v>
      </c>
      <c r="R1536">
        <f t="shared" si="356"/>
        <v>0</v>
      </c>
      <c r="S1536">
        <f t="shared" si="356"/>
        <v>0</v>
      </c>
      <c r="T1536">
        <f t="shared" si="356"/>
        <v>0</v>
      </c>
      <c r="U1536">
        <f t="shared" si="356"/>
        <v>0</v>
      </c>
      <c r="V1536">
        <f t="shared" si="356"/>
        <v>0</v>
      </c>
      <c r="W1536">
        <f t="shared" si="356"/>
        <v>0</v>
      </c>
      <c r="X1536">
        <f t="shared" si="356"/>
        <v>0</v>
      </c>
      <c r="Y1536">
        <f t="shared" si="356"/>
        <v>0</v>
      </c>
      <c r="Z1536">
        <f t="shared" si="356"/>
        <v>0</v>
      </c>
      <c r="AA1536">
        <f t="shared" si="356"/>
        <v>0</v>
      </c>
      <c r="AB1536">
        <f t="shared" si="356"/>
        <v>0</v>
      </c>
      <c r="AC1536">
        <f t="shared" si="356"/>
        <v>0</v>
      </c>
      <c r="AD1536">
        <f t="shared" si="356"/>
        <v>0</v>
      </c>
      <c r="AE1536">
        <f t="shared" si="356"/>
        <v>0</v>
      </c>
    </row>
    <row r="1537" spans="1:31" x14ac:dyDescent="0.45">
      <c r="A1537" t="s">
        <v>2161</v>
      </c>
      <c r="B1537" t="s">
        <v>110</v>
      </c>
      <c r="C1537" t="s">
        <v>115</v>
      </c>
      <c r="D1537">
        <v>1</v>
      </c>
      <c r="E1537" t="s">
        <v>1159</v>
      </c>
      <c r="J1537" t="s">
        <v>2162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 x14ac:dyDescent="0.45">
      <c r="A1538" t="s">
        <v>2163</v>
      </c>
      <c r="B1538" t="s">
        <v>110</v>
      </c>
      <c r="C1538" t="s">
        <v>115</v>
      </c>
      <c r="D1538">
        <v>1</v>
      </c>
      <c r="E1538" t="s">
        <v>1160</v>
      </c>
      <c r="L1538">
        <f>INDEX(Emissions_Industry!L:L,MATCH($A1538,Emissions_Industry!$H:$H,0))</f>
        <v>0</v>
      </c>
      <c r="M1538">
        <f>INDEX(Emissions_Industry!M:M,MATCH($A1538,Emissions_Industry!$H:$H,0))</f>
        <v>0</v>
      </c>
      <c r="N1538">
        <f>INDEX(Emissions_Industry!N:N,MATCH($A1538,Emissions_Industry!$H:$H,0))</f>
        <v>0</v>
      </c>
      <c r="O1538">
        <f>INDEX(Emissions_Industry!O:O,MATCH($A1538,Emissions_Industry!$H:$H,0))</f>
        <v>0</v>
      </c>
      <c r="P1538">
        <f>INDEX(Emissions_Industry!P:P,MATCH($A1538,Emissions_Industry!$H:$H,0))</f>
        <v>0</v>
      </c>
      <c r="Q1538">
        <f>INDEX(Emissions_Industry!Q:Q,MATCH($A1538,Emissions_Industry!$H:$H,0))</f>
        <v>0</v>
      </c>
      <c r="R1538">
        <f>INDEX(Emissions_Industry!R:R,MATCH($A1538,Emissions_Industry!$H:$H,0))</f>
        <v>0</v>
      </c>
      <c r="S1538">
        <f>INDEX(Emissions_Industry!S:S,MATCH($A1538,Emissions_Industry!$H:$H,0))</f>
        <v>0</v>
      </c>
      <c r="T1538">
        <f>INDEX(Emissions_Industry!T:T,MATCH($A1538,Emissions_Industry!$H:$H,0))</f>
        <v>0</v>
      </c>
      <c r="U1538">
        <f>INDEX(Emissions_Industry!U:U,MATCH($A1538,Emissions_Industry!$H:$H,0))</f>
        <v>0</v>
      </c>
      <c r="V1538">
        <f>INDEX(Emissions_Industry!V:V,MATCH($A1538,Emissions_Industry!$H:$H,0))</f>
        <v>0</v>
      </c>
      <c r="W1538">
        <f>INDEX(Emissions_Industry!W:W,MATCH($A1538,Emissions_Industry!$H:$H,0))</f>
        <v>0</v>
      </c>
      <c r="X1538">
        <f>INDEX(Emissions_Industry!X:X,MATCH($A1538,Emissions_Industry!$H:$H,0))</f>
        <v>0</v>
      </c>
      <c r="Y1538">
        <f>INDEX(Emissions_Industry!Y:Y,MATCH($A1538,Emissions_Industry!$H:$H,0))</f>
        <v>0</v>
      </c>
      <c r="Z1538">
        <f>INDEX(Emissions_Industry!Z:Z,MATCH($A1538,Emissions_Industry!$H:$H,0))</f>
        <v>0</v>
      </c>
      <c r="AA1538">
        <f>INDEX(Emissions_Industry!AA:AA,MATCH($A1538,Emissions_Industry!$H:$H,0))</f>
        <v>0</v>
      </c>
      <c r="AB1538">
        <f>INDEX(Emissions_Industry!AB:AB,MATCH($A1538,Emissions_Industry!$H:$H,0))</f>
        <v>0</v>
      </c>
      <c r="AC1538">
        <f>INDEX(Emissions_Industry!AC:AC,MATCH($A1538,Emissions_Industry!$H:$H,0))</f>
        <v>0</v>
      </c>
      <c r="AD1538">
        <f>INDEX(Emissions_Industry!AD:AD,MATCH($A1538,Emissions_Industry!$H:$H,0))</f>
        <v>0</v>
      </c>
      <c r="AE1538">
        <f>INDEX(Emissions_Industry!AE:AE,MATCH($A1538,Emissions_Industry!$H:$H,0))</f>
        <v>0</v>
      </c>
    </row>
    <row r="1539" spans="1:31" x14ac:dyDescent="0.45">
      <c r="A1539" t="s">
        <v>2163</v>
      </c>
      <c r="B1539" t="s">
        <v>110</v>
      </c>
      <c r="C1539" t="s">
        <v>115</v>
      </c>
      <c r="D1539">
        <v>1</v>
      </c>
      <c r="E1539" t="s">
        <v>1161</v>
      </c>
      <c r="F1539">
        <f>MAX(MAX(L1539:AE1539),-MIN(L1539:AE1539))</f>
        <v>0</v>
      </c>
      <c r="G1539" s="131">
        <f>IF(MAX(L1537:AE1537)=0,0,F1539/MAX(L1537:AE1537))</f>
        <v>0</v>
      </c>
      <c r="I1539">
        <v>0</v>
      </c>
      <c r="L1539">
        <f t="shared" ref="L1539:AE1539" si="357">L1538-L1537</f>
        <v>0</v>
      </c>
      <c r="M1539">
        <f t="shared" si="357"/>
        <v>0</v>
      </c>
      <c r="N1539">
        <f t="shared" si="357"/>
        <v>0</v>
      </c>
      <c r="O1539">
        <f t="shared" si="357"/>
        <v>0</v>
      </c>
      <c r="P1539">
        <f t="shared" si="357"/>
        <v>0</v>
      </c>
      <c r="Q1539">
        <f t="shared" si="357"/>
        <v>0</v>
      </c>
      <c r="R1539">
        <f t="shared" si="357"/>
        <v>0</v>
      </c>
      <c r="S1539">
        <f t="shared" si="357"/>
        <v>0</v>
      </c>
      <c r="T1539">
        <f t="shared" si="357"/>
        <v>0</v>
      </c>
      <c r="U1539">
        <f t="shared" si="357"/>
        <v>0</v>
      </c>
      <c r="V1539">
        <f t="shared" si="357"/>
        <v>0</v>
      </c>
      <c r="W1539">
        <f t="shared" si="357"/>
        <v>0</v>
      </c>
      <c r="X1539">
        <f t="shared" si="357"/>
        <v>0</v>
      </c>
      <c r="Y1539">
        <f t="shared" si="357"/>
        <v>0</v>
      </c>
      <c r="Z1539">
        <f t="shared" si="357"/>
        <v>0</v>
      </c>
      <c r="AA1539">
        <f t="shared" si="357"/>
        <v>0</v>
      </c>
      <c r="AB1539">
        <f t="shared" si="357"/>
        <v>0</v>
      </c>
      <c r="AC1539">
        <f t="shared" si="357"/>
        <v>0</v>
      </c>
      <c r="AD1539">
        <f t="shared" si="357"/>
        <v>0</v>
      </c>
      <c r="AE1539">
        <f t="shared" si="357"/>
        <v>0</v>
      </c>
    </row>
    <row r="1540" spans="1:31" x14ac:dyDescent="0.45">
      <c r="A1540" t="s">
        <v>2164</v>
      </c>
      <c r="B1540" t="s">
        <v>110</v>
      </c>
      <c r="C1540" t="s">
        <v>117</v>
      </c>
      <c r="D1540">
        <v>1</v>
      </c>
      <c r="E1540" t="s">
        <v>1159</v>
      </c>
      <c r="J1540" t="s">
        <v>2165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45">
      <c r="A1541" t="s">
        <v>2166</v>
      </c>
      <c r="B1541" t="s">
        <v>110</v>
      </c>
      <c r="C1541" t="s">
        <v>117</v>
      </c>
      <c r="D1541">
        <v>1</v>
      </c>
      <c r="E1541" t="s">
        <v>1160</v>
      </c>
      <c r="L1541">
        <f>INDEX(Emissions_Industry!L:L,MATCH($A1541,Emissions_Industry!$H:$H,0))</f>
        <v>0</v>
      </c>
      <c r="M1541">
        <f>INDEX(Emissions_Industry!M:M,MATCH($A1541,Emissions_Industry!$H:$H,0))</f>
        <v>0</v>
      </c>
      <c r="N1541">
        <f>INDEX(Emissions_Industry!N:N,MATCH($A1541,Emissions_Industry!$H:$H,0))</f>
        <v>0</v>
      </c>
      <c r="O1541">
        <f>INDEX(Emissions_Industry!O:O,MATCH($A1541,Emissions_Industry!$H:$H,0))</f>
        <v>0</v>
      </c>
      <c r="P1541">
        <f>INDEX(Emissions_Industry!P:P,MATCH($A1541,Emissions_Industry!$H:$H,0))</f>
        <v>0</v>
      </c>
      <c r="Q1541">
        <f>INDEX(Emissions_Industry!Q:Q,MATCH($A1541,Emissions_Industry!$H:$H,0))</f>
        <v>0</v>
      </c>
      <c r="R1541">
        <f>INDEX(Emissions_Industry!R:R,MATCH($A1541,Emissions_Industry!$H:$H,0))</f>
        <v>0</v>
      </c>
      <c r="S1541">
        <f>INDEX(Emissions_Industry!S:S,MATCH($A1541,Emissions_Industry!$H:$H,0))</f>
        <v>0</v>
      </c>
      <c r="T1541">
        <f>INDEX(Emissions_Industry!T:T,MATCH($A1541,Emissions_Industry!$H:$H,0))</f>
        <v>0</v>
      </c>
      <c r="U1541">
        <f>INDEX(Emissions_Industry!U:U,MATCH($A1541,Emissions_Industry!$H:$H,0))</f>
        <v>0</v>
      </c>
      <c r="V1541">
        <f>INDEX(Emissions_Industry!V:V,MATCH($A1541,Emissions_Industry!$H:$H,0))</f>
        <v>0</v>
      </c>
      <c r="W1541">
        <f>INDEX(Emissions_Industry!W:W,MATCH($A1541,Emissions_Industry!$H:$H,0))</f>
        <v>0</v>
      </c>
      <c r="X1541">
        <f>INDEX(Emissions_Industry!X:X,MATCH($A1541,Emissions_Industry!$H:$H,0))</f>
        <v>0</v>
      </c>
      <c r="Y1541">
        <f>INDEX(Emissions_Industry!Y:Y,MATCH($A1541,Emissions_Industry!$H:$H,0))</f>
        <v>0</v>
      </c>
      <c r="Z1541">
        <f>INDEX(Emissions_Industry!Z:Z,MATCH($A1541,Emissions_Industry!$H:$H,0))</f>
        <v>0</v>
      </c>
      <c r="AA1541">
        <f>INDEX(Emissions_Industry!AA:AA,MATCH($A1541,Emissions_Industry!$H:$H,0))</f>
        <v>0</v>
      </c>
      <c r="AB1541">
        <f>INDEX(Emissions_Industry!AB:AB,MATCH($A1541,Emissions_Industry!$H:$H,0))</f>
        <v>0</v>
      </c>
      <c r="AC1541">
        <f>INDEX(Emissions_Industry!AC:AC,MATCH($A1541,Emissions_Industry!$H:$H,0))</f>
        <v>0</v>
      </c>
      <c r="AD1541">
        <f>INDEX(Emissions_Industry!AD:AD,MATCH($A1541,Emissions_Industry!$H:$H,0))</f>
        <v>0</v>
      </c>
      <c r="AE1541">
        <f>INDEX(Emissions_Industry!AE:AE,MATCH($A1541,Emissions_Industry!$H:$H,0))</f>
        <v>0</v>
      </c>
    </row>
    <row r="1542" spans="1:31" x14ac:dyDescent="0.45">
      <c r="A1542" t="s">
        <v>2166</v>
      </c>
      <c r="B1542" t="s">
        <v>110</v>
      </c>
      <c r="C1542" t="s">
        <v>117</v>
      </c>
      <c r="D1542">
        <v>1</v>
      </c>
      <c r="E1542" t="s">
        <v>1161</v>
      </c>
      <c r="F1542">
        <f>MAX(MAX(L1542:AE1542),-MIN(L1542:AE1542))</f>
        <v>0</v>
      </c>
      <c r="G1542" s="131">
        <f>IF(MAX(L1540:AE1540)=0,0,F1542/MAX(L1540:AE1540))</f>
        <v>0</v>
      </c>
      <c r="I1542">
        <v>0</v>
      </c>
      <c r="L1542">
        <f t="shared" ref="L1542:AE1542" si="358">L1541-L1540</f>
        <v>0</v>
      </c>
      <c r="M1542">
        <f t="shared" si="358"/>
        <v>0</v>
      </c>
      <c r="N1542">
        <f t="shared" si="358"/>
        <v>0</v>
      </c>
      <c r="O1542">
        <f t="shared" si="358"/>
        <v>0</v>
      </c>
      <c r="P1542">
        <f t="shared" si="358"/>
        <v>0</v>
      </c>
      <c r="Q1542">
        <f t="shared" si="358"/>
        <v>0</v>
      </c>
      <c r="R1542">
        <f t="shared" si="358"/>
        <v>0</v>
      </c>
      <c r="S1542">
        <f t="shared" si="358"/>
        <v>0</v>
      </c>
      <c r="T1542">
        <f t="shared" si="358"/>
        <v>0</v>
      </c>
      <c r="U1542">
        <f t="shared" si="358"/>
        <v>0</v>
      </c>
      <c r="V1542">
        <f t="shared" si="358"/>
        <v>0</v>
      </c>
      <c r="W1542">
        <f t="shared" si="358"/>
        <v>0</v>
      </c>
      <c r="X1542">
        <f t="shared" si="358"/>
        <v>0</v>
      </c>
      <c r="Y1542">
        <f t="shared" si="358"/>
        <v>0</v>
      </c>
      <c r="Z1542">
        <f t="shared" si="358"/>
        <v>0</v>
      </c>
      <c r="AA1542">
        <f t="shared" si="358"/>
        <v>0</v>
      </c>
      <c r="AB1542">
        <f t="shared" si="358"/>
        <v>0</v>
      </c>
      <c r="AC1542">
        <f t="shared" si="358"/>
        <v>0</v>
      </c>
      <c r="AD1542">
        <f t="shared" si="358"/>
        <v>0</v>
      </c>
      <c r="AE1542">
        <f t="shared" si="358"/>
        <v>0</v>
      </c>
    </row>
    <row r="1543" spans="1:31" x14ac:dyDescent="0.45">
      <c r="A1543" t="s">
        <v>2170</v>
      </c>
      <c r="D1543">
        <v>2</v>
      </c>
      <c r="E1543" t="s">
        <v>2167</v>
      </c>
      <c r="F1543">
        <f>SUM(L1543:AE1543)</f>
        <v>0</v>
      </c>
      <c r="I1543">
        <v>0</v>
      </c>
      <c r="L1543">
        <f>SUMPRODUCT((Emissions_Industry!L57:L65&gt;Emissions_Industry!L6:L14+0.000000001)*((Mitigation_Industry!L646+Mitigation_Industry!L647)&gt;0))</f>
        <v>0</v>
      </c>
      <c r="M1543">
        <f>SUMPRODUCT((Emissions_Industry!M57:M65&gt;Emissions_Industry!M6:M14+0.000000001)*((Mitigation_Industry!M646+Mitigation_Industry!M647)&gt;0))</f>
        <v>0</v>
      </c>
      <c r="N1543">
        <f>SUMPRODUCT((Emissions_Industry!N57:N65&gt;Emissions_Industry!N6:N14+0.000000001)*((Mitigation_Industry!N646+Mitigation_Industry!N647)&gt;0))</f>
        <v>0</v>
      </c>
      <c r="O1543">
        <f>SUMPRODUCT((Emissions_Industry!O57:O65&gt;Emissions_Industry!O6:O14+0.000000001)*((Mitigation_Industry!O646+Mitigation_Industry!O647)&gt;0))</f>
        <v>0</v>
      </c>
      <c r="P1543">
        <f>SUMPRODUCT((Emissions_Industry!P57:P65&gt;Emissions_Industry!P6:P14+0.000000001)*((Mitigation_Industry!P646+Mitigation_Industry!P647)&gt;0))</f>
        <v>0</v>
      </c>
      <c r="Q1543">
        <f>SUMPRODUCT((Emissions_Industry!Q57:Q65&gt;Emissions_Industry!Q6:Q14+0.000000001)*((Mitigation_Industry!Q646+Mitigation_Industry!Q647)&gt;0))</f>
        <v>0</v>
      </c>
      <c r="R1543">
        <f>SUMPRODUCT((Emissions_Industry!R57:R65&gt;Emissions_Industry!R6:R14+0.000000001)*((Mitigation_Industry!R646+Mitigation_Industry!R647)&gt;0))</f>
        <v>0</v>
      </c>
      <c r="S1543">
        <f>SUMPRODUCT((Emissions_Industry!S57:S65&gt;Emissions_Industry!S6:S14+0.000000001)*((Mitigation_Industry!S646+Mitigation_Industry!S647)&gt;0))</f>
        <v>0</v>
      </c>
      <c r="T1543">
        <f>SUMPRODUCT((Emissions_Industry!T57:T65&gt;Emissions_Industry!T6:T14+0.000000001)*((Mitigation_Industry!T646+Mitigation_Industry!T647)&gt;0))</f>
        <v>0</v>
      </c>
      <c r="U1543">
        <f>SUMPRODUCT((Emissions_Industry!U57:U65&gt;Emissions_Industry!U6:U14+0.000000001)*((Mitigation_Industry!U646+Mitigation_Industry!U647)&gt;0))</f>
        <v>0</v>
      </c>
      <c r="V1543">
        <f>SUMPRODUCT((Emissions_Industry!V57:V65&gt;Emissions_Industry!V6:V14+0.000000001)*((Mitigation_Industry!V646+Mitigation_Industry!V647)&gt;0))</f>
        <v>0</v>
      </c>
      <c r="W1543">
        <f>SUMPRODUCT((Emissions_Industry!W57:W65&gt;Emissions_Industry!W6:W14+0.000000001)*((Mitigation_Industry!W646+Mitigation_Industry!W647)&gt;0))</f>
        <v>0</v>
      </c>
      <c r="X1543">
        <f>SUMPRODUCT((Emissions_Industry!X57:X65&gt;Emissions_Industry!X6:X14+0.000000001)*((Mitigation_Industry!X646+Mitigation_Industry!X647)&gt;0))</f>
        <v>0</v>
      </c>
      <c r="Y1543">
        <f>SUMPRODUCT((Emissions_Industry!Y57:Y65&gt;Emissions_Industry!Y6:Y14+0.000000001)*((Mitigation_Industry!Y646+Mitigation_Industry!Y647)&gt;0))</f>
        <v>0</v>
      </c>
      <c r="Z1543">
        <f>SUMPRODUCT((Emissions_Industry!Z57:Z65&gt;Emissions_Industry!Z6:Z14+0.000000001)*((Mitigation_Industry!Z646+Mitigation_Industry!Z647)&gt;0))</f>
        <v>0</v>
      </c>
      <c r="AA1543">
        <f>SUMPRODUCT((Emissions_Industry!AA57:AA65&gt;Emissions_Industry!AA6:AA14+0.000000001)*((Mitigation_Industry!AA646+Mitigation_Industry!AA647)&gt;0))</f>
        <v>0</v>
      </c>
      <c r="AB1543">
        <f>SUMPRODUCT((Emissions_Industry!AB57:AB65&gt;Emissions_Industry!AB6:AB14+0.000000001)*((Mitigation_Industry!AB646+Mitigation_Industry!AB647)&gt;0))</f>
        <v>0</v>
      </c>
      <c r="AC1543">
        <f>SUMPRODUCT((Emissions_Industry!AC57:AC65&gt;Emissions_Industry!AC6:AC14+0.000000001)*((Mitigation_Industry!AC646+Mitigation_Industry!AC647)&gt;0))</f>
        <v>0</v>
      </c>
      <c r="AD1543">
        <f>SUMPRODUCT((Emissions_Industry!AD57:AD65&gt;Emissions_Industry!AD6:AD14+0.000000001)*((Mitigation_Industry!AD646+Mitigation_Industry!AD647)&gt;0))</f>
        <v>0</v>
      </c>
      <c r="AE1543">
        <f>SUMPRODUCT((Emissions_Industry!AE57:AE65&gt;Emissions_Industry!AE6:AE14+0.000000001)*((Mitigation_Industry!AE646+Mitigation_Industry!AE647)&gt;0))</f>
        <v>0</v>
      </c>
    </row>
    <row r="1544" spans="1:31" x14ac:dyDescent="0.45">
      <c r="A1544" t="s">
        <v>2171</v>
      </c>
      <c r="D1544">
        <v>2</v>
      </c>
      <c r="E1544" t="s">
        <v>2167</v>
      </c>
      <c r="F1544">
        <f>SUM(L1544:AE1544)</f>
        <v>0</v>
      </c>
      <c r="I1544">
        <v>0</v>
      </c>
      <c r="L1544">
        <f>SUMPRODUCT((Emissions_Industry!L69:L77&gt;Emissions_Industry!L18:L26+0.000000001)*((Mitigation_Industry!L646+Mitigation_Industry!L647)&gt;0))</f>
        <v>0</v>
      </c>
      <c r="M1544">
        <f>SUMPRODUCT((Emissions_Industry!M69:M77&gt;Emissions_Industry!M18:M26+0.000000001)*((Mitigation_Industry!M646+Mitigation_Industry!M647)&gt;0))</f>
        <v>0</v>
      </c>
      <c r="N1544">
        <f>SUMPRODUCT((Emissions_Industry!N69:N77&gt;Emissions_Industry!N18:N26+0.000000001)*((Mitigation_Industry!N646+Mitigation_Industry!N647)&gt;0))</f>
        <v>0</v>
      </c>
      <c r="O1544">
        <f>SUMPRODUCT((Emissions_Industry!O69:O77&gt;Emissions_Industry!O18:O26+0.000000001)*((Mitigation_Industry!O646+Mitigation_Industry!O647)&gt;0))</f>
        <v>0</v>
      </c>
      <c r="P1544">
        <f>SUMPRODUCT((Emissions_Industry!P69:P77&gt;Emissions_Industry!P18:P26+0.000000001)*((Mitigation_Industry!P646+Mitigation_Industry!P647)&gt;0))</f>
        <v>0</v>
      </c>
      <c r="Q1544">
        <f>SUMPRODUCT((Emissions_Industry!Q69:Q77&gt;Emissions_Industry!Q18:Q26+0.000000001)*((Mitigation_Industry!Q646+Mitigation_Industry!Q647)&gt;0))</f>
        <v>0</v>
      </c>
      <c r="R1544">
        <f>SUMPRODUCT((Emissions_Industry!R69:R77&gt;Emissions_Industry!R18:R26+0.000000001)*((Mitigation_Industry!R646+Mitigation_Industry!R647)&gt;0))</f>
        <v>0</v>
      </c>
      <c r="S1544">
        <f>SUMPRODUCT((Emissions_Industry!S69:S77&gt;Emissions_Industry!S18:S26+0.000000001)*((Mitigation_Industry!S646+Mitigation_Industry!S647)&gt;0))</f>
        <v>0</v>
      </c>
      <c r="T1544">
        <f>SUMPRODUCT((Emissions_Industry!T69:T77&gt;Emissions_Industry!T18:T26+0.000000001)*((Mitigation_Industry!T646+Mitigation_Industry!T647)&gt;0))</f>
        <v>0</v>
      </c>
      <c r="U1544">
        <f>SUMPRODUCT((Emissions_Industry!U69:U77&gt;Emissions_Industry!U18:U26+0.000000001)*((Mitigation_Industry!U646+Mitigation_Industry!U647)&gt;0))</f>
        <v>0</v>
      </c>
      <c r="V1544">
        <f>SUMPRODUCT((Emissions_Industry!V69:V77&gt;Emissions_Industry!V18:V26+0.000000001)*((Mitigation_Industry!V646+Mitigation_Industry!V647)&gt;0))</f>
        <v>0</v>
      </c>
      <c r="W1544">
        <f>SUMPRODUCT((Emissions_Industry!W69:W77&gt;Emissions_Industry!W18:W26+0.000000001)*((Mitigation_Industry!W646+Mitigation_Industry!W647)&gt;0))</f>
        <v>0</v>
      </c>
      <c r="X1544">
        <f>SUMPRODUCT((Emissions_Industry!X69:X77&gt;Emissions_Industry!X18:X26+0.000000001)*((Mitigation_Industry!X646+Mitigation_Industry!X647)&gt;0))</f>
        <v>0</v>
      </c>
      <c r="Y1544">
        <f>SUMPRODUCT((Emissions_Industry!Y69:Y77&gt;Emissions_Industry!Y18:Y26+0.000000001)*((Mitigation_Industry!Y646+Mitigation_Industry!Y647)&gt;0))</f>
        <v>0</v>
      </c>
      <c r="Z1544">
        <f>SUMPRODUCT((Emissions_Industry!Z69:Z77&gt;Emissions_Industry!Z18:Z26+0.000000001)*((Mitigation_Industry!Z646+Mitigation_Industry!Z647)&gt;0))</f>
        <v>0</v>
      </c>
      <c r="AA1544">
        <f>SUMPRODUCT((Emissions_Industry!AA69:AA77&gt;Emissions_Industry!AA18:AA26+0.000000001)*((Mitigation_Industry!AA646+Mitigation_Industry!AA647)&gt;0))</f>
        <v>0</v>
      </c>
      <c r="AB1544">
        <f>SUMPRODUCT((Emissions_Industry!AB69:AB77&gt;Emissions_Industry!AB18:AB26+0.000000001)*((Mitigation_Industry!AB646+Mitigation_Industry!AB647)&gt;0))</f>
        <v>0</v>
      </c>
      <c r="AC1544">
        <f>SUMPRODUCT((Emissions_Industry!AC69:AC77&gt;Emissions_Industry!AC18:AC26+0.000000001)*((Mitigation_Industry!AC646+Mitigation_Industry!AC647)&gt;0))</f>
        <v>0</v>
      </c>
      <c r="AD1544">
        <f>SUMPRODUCT((Emissions_Industry!AD69:AD77&gt;Emissions_Industry!AD18:AD26+0.000000001)*((Mitigation_Industry!AD646+Mitigation_Industry!AD647)&gt;0))</f>
        <v>0</v>
      </c>
      <c r="AE1544">
        <f>SUMPRODUCT((Emissions_Industry!AE69:AE77&gt;Emissions_Industry!AE18:AE26+0.000000001)*((Mitigation_Industry!AE646+Mitigation_Industry!AE647)&gt;0))</f>
        <v>0</v>
      </c>
    </row>
    <row r="1545" spans="1:31" x14ac:dyDescent="0.45">
      <c r="A1545" t="s">
        <v>2172</v>
      </c>
      <c r="D1545">
        <v>2</v>
      </c>
      <c r="E1545" t="s">
        <v>2167</v>
      </c>
      <c r="F1545">
        <f>SUM(L1545:AE1545)</f>
        <v>0</v>
      </c>
      <c r="I1545">
        <v>0</v>
      </c>
      <c r="L1545">
        <f>SUMPRODUCT((Emissions_Industry!L81:L89&gt;Emissions_Industry!L30:L38+0.000000001)*((Mitigation_Industry!L646+Mitigation_Industry!L647)&gt;0))</f>
        <v>0</v>
      </c>
      <c r="M1545">
        <f>SUMPRODUCT((Emissions_Industry!M81:M89&gt;Emissions_Industry!M30:M38+0.000000001)*((Mitigation_Industry!M646+Mitigation_Industry!M647)&gt;0))</f>
        <v>0</v>
      </c>
      <c r="N1545">
        <f>SUMPRODUCT((Emissions_Industry!N81:N89&gt;Emissions_Industry!N30:N38+0.000000001)*((Mitigation_Industry!N646+Mitigation_Industry!N647)&gt;0))</f>
        <v>0</v>
      </c>
      <c r="O1545">
        <f>SUMPRODUCT((Emissions_Industry!O81:O89&gt;Emissions_Industry!O30:O38+0.000000001)*((Mitigation_Industry!O646+Mitigation_Industry!O647)&gt;0))</f>
        <v>0</v>
      </c>
      <c r="P1545">
        <f>SUMPRODUCT((Emissions_Industry!P81:P89&gt;Emissions_Industry!P30:P38+0.000000001)*((Mitigation_Industry!P646+Mitigation_Industry!P647)&gt;0))</f>
        <v>0</v>
      </c>
      <c r="Q1545">
        <f>SUMPRODUCT((Emissions_Industry!Q81:Q89&gt;Emissions_Industry!Q30:Q38+0.000000001)*((Mitigation_Industry!Q646+Mitigation_Industry!Q647)&gt;0))</f>
        <v>0</v>
      </c>
      <c r="R1545">
        <f>SUMPRODUCT((Emissions_Industry!R81:R89&gt;Emissions_Industry!R30:R38+0.000000001)*((Mitigation_Industry!R646+Mitigation_Industry!R647)&gt;0))</f>
        <v>0</v>
      </c>
      <c r="S1545">
        <f>SUMPRODUCT((Emissions_Industry!S81:S89&gt;Emissions_Industry!S30:S38+0.000000001)*((Mitigation_Industry!S646+Mitigation_Industry!S647)&gt;0))</f>
        <v>0</v>
      </c>
      <c r="T1545">
        <f>SUMPRODUCT((Emissions_Industry!T81:T89&gt;Emissions_Industry!T30:T38+0.000000001)*((Mitigation_Industry!T646+Mitigation_Industry!T647)&gt;0))</f>
        <v>0</v>
      </c>
      <c r="U1545">
        <f>SUMPRODUCT((Emissions_Industry!U81:U89&gt;Emissions_Industry!U30:U38+0.000000001)*((Mitigation_Industry!U646+Mitigation_Industry!U647)&gt;0))</f>
        <v>0</v>
      </c>
      <c r="V1545">
        <f>SUMPRODUCT((Emissions_Industry!V81:V89&gt;Emissions_Industry!V30:V38+0.000000001)*((Mitigation_Industry!V646+Mitigation_Industry!V647)&gt;0))</f>
        <v>0</v>
      </c>
      <c r="W1545">
        <f>SUMPRODUCT((Emissions_Industry!W81:W89&gt;Emissions_Industry!W30:W38+0.000000001)*((Mitigation_Industry!W646+Mitigation_Industry!W647)&gt;0))</f>
        <v>0</v>
      </c>
      <c r="X1545">
        <f>SUMPRODUCT((Emissions_Industry!X81:X89&gt;Emissions_Industry!X30:X38+0.000000001)*((Mitigation_Industry!X646+Mitigation_Industry!X647)&gt;0))</f>
        <v>0</v>
      </c>
      <c r="Y1545">
        <f>SUMPRODUCT((Emissions_Industry!Y81:Y89&gt;Emissions_Industry!Y30:Y38+0.000000001)*((Mitigation_Industry!Y646+Mitigation_Industry!Y647)&gt;0))</f>
        <v>0</v>
      </c>
      <c r="Z1545">
        <f>SUMPRODUCT((Emissions_Industry!Z81:Z89&gt;Emissions_Industry!Z30:Z38+0.000000001)*((Mitigation_Industry!Z646+Mitigation_Industry!Z647)&gt;0))</f>
        <v>0</v>
      </c>
      <c r="AA1545">
        <f>SUMPRODUCT((Emissions_Industry!AA81:AA89&gt;Emissions_Industry!AA30:AA38+0.000000001)*((Mitigation_Industry!AA646+Mitigation_Industry!AA647)&gt;0))</f>
        <v>0</v>
      </c>
      <c r="AB1545">
        <f>SUMPRODUCT((Emissions_Industry!AB81:AB89&gt;Emissions_Industry!AB30:AB38+0.000000001)*((Mitigation_Industry!AB646+Mitigation_Industry!AB647)&gt;0))</f>
        <v>0</v>
      </c>
      <c r="AC1545">
        <f>SUMPRODUCT((Emissions_Industry!AC81:AC89&gt;Emissions_Industry!AC30:AC38+0.000000001)*((Mitigation_Industry!AC646+Mitigation_Industry!AC647)&gt;0))</f>
        <v>0</v>
      </c>
      <c r="AD1545">
        <f>SUMPRODUCT((Emissions_Industry!AD81:AD89&gt;Emissions_Industry!AD30:AD38+0.000000001)*((Mitigation_Industry!AD646+Mitigation_Industry!AD647)&gt;0))</f>
        <v>0</v>
      </c>
      <c r="AE1545">
        <f>SUMPRODUCT((Emissions_Industry!AE81:AE89&gt;Emissions_Industry!AE30:AE38+0.000000001)*((Mitigation_Industry!AE646+Mitigation_Industry!AE647)&gt;0))</f>
        <v>0</v>
      </c>
    </row>
    <row r="1546" spans="1:31" x14ac:dyDescent="0.45">
      <c r="A1546" t="s">
        <v>2173</v>
      </c>
      <c r="D1546">
        <v>2</v>
      </c>
      <c r="E1546" t="s">
        <v>2167</v>
      </c>
      <c r="F1546">
        <f>SUM(L1546:AE1546)</f>
        <v>0</v>
      </c>
      <c r="I1546">
        <v>0</v>
      </c>
      <c r="L1546">
        <f>SUMPRODUCT((Emissions_Industry!L93:L101&gt;Emissions_Industry!L42:L50+0.000000001)*((Mitigation_Industry!L646+Mitigation_Industry!L647)&gt;0))</f>
        <v>0</v>
      </c>
      <c r="M1546">
        <f>SUMPRODUCT((Emissions_Industry!M93:M101&gt;Emissions_Industry!M42:M50+0.000000001)*((Mitigation_Industry!M646+Mitigation_Industry!M647)&gt;0))</f>
        <v>0</v>
      </c>
      <c r="N1546">
        <f>SUMPRODUCT((Emissions_Industry!N93:N101&gt;Emissions_Industry!N42:N50+0.000000001)*((Mitigation_Industry!N646+Mitigation_Industry!N647)&gt;0))</f>
        <v>0</v>
      </c>
      <c r="O1546">
        <f>SUMPRODUCT((Emissions_Industry!O93:O101&gt;Emissions_Industry!O42:O50+0.000000001)*((Mitigation_Industry!O646+Mitigation_Industry!O647)&gt;0))</f>
        <v>0</v>
      </c>
      <c r="P1546">
        <f>SUMPRODUCT((Emissions_Industry!P93:P101&gt;Emissions_Industry!P42:P50+0.000000001)*((Mitigation_Industry!P646+Mitigation_Industry!P647)&gt;0))</f>
        <v>0</v>
      </c>
      <c r="Q1546">
        <f>SUMPRODUCT((Emissions_Industry!Q93:Q101&gt;Emissions_Industry!Q42:Q50+0.000000001)*((Mitigation_Industry!Q646+Mitigation_Industry!Q647)&gt;0))</f>
        <v>0</v>
      </c>
      <c r="R1546">
        <f>SUMPRODUCT((Emissions_Industry!R93:R101&gt;Emissions_Industry!R42:R50+0.000000001)*((Mitigation_Industry!R646+Mitigation_Industry!R647)&gt;0))</f>
        <v>0</v>
      </c>
      <c r="S1546">
        <f>SUMPRODUCT((Emissions_Industry!S93:S101&gt;Emissions_Industry!S42:S50+0.000000001)*((Mitigation_Industry!S646+Mitigation_Industry!S647)&gt;0))</f>
        <v>0</v>
      </c>
      <c r="T1546">
        <f>SUMPRODUCT((Emissions_Industry!T93:T101&gt;Emissions_Industry!T42:T50+0.000000001)*((Mitigation_Industry!T646+Mitigation_Industry!T647)&gt;0))</f>
        <v>0</v>
      </c>
      <c r="U1546">
        <f>SUMPRODUCT((Emissions_Industry!U93:U101&gt;Emissions_Industry!U42:U50+0.000000001)*((Mitigation_Industry!U646+Mitigation_Industry!U647)&gt;0))</f>
        <v>0</v>
      </c>
      <c r="V1546">
        <f>SUMPRODUCT((Emissions_Industry!V93:V101&gt;Emissions_Industry!V42:V50+0.000000001)*((Mitigation_Industry!V646+Mitigation_Industry!V647)&gt;0))</f>
        <v>0</v>
      </c>
      <c r="W1546">
        <f>SUMPRODUCT((Emissions_Industry!W93:W101&gt;Emissions_Industry!W42:W50+0.000000001)*((Mitigation_Industry!W646+Mitigation_Industry!W647)&gt;0))</f>
        <v>0</v>
      </c>
      <c r="X1546">
        <f>SUMPRODUCT((Emissions_Industry!X93:X101&gt;Emissions_Industry!X42:X50+0.000000001)*((Mitigation_Industry!X646+Mitigation_Industry!X647)&gt;0))</f>
        <v>0</v>
      </c>
      <c r="Y1546">
        <f>SUMPRODUCT((Emissions_Industry!Y93:Y101&gt;Emissions_Industry!Y42:Y50+0.000000001)*((Mitigation_Industry!Y646+Mitigation_Industry!Y647)&gt;0))</f>
        <v>0</v>
      </c>
      <c r="Z1546">
        <f>SUMPRODUCT((Emissions_Industry!Z93:Z101&gt;Emissions_Industry!Z42:Z50+0.000000001)*((Mitigation_Industry!Z646+Mitigation_Industry!Z647)&gt;0))</f>
        <v>0</v>
      </c>
      <c r="AA1546">
        <f>SUMPRODUCT((Emissions_Industry!AA93:AA101&gt;Emissions_Industry!AA42:AA50+0.000000001)*((Mitigation_Industry!AA646+Mitigation_Industry!AA647)&gt;0))</f>
        <v>0</v>
      </c>
      <c r="AB1546">
        <f>SUMPRODUCT((Emissions_Industry!AB93:AB101&gt;Emissions_Industry!AB42:AB50+0.000000001)*((Mitigation_Industry!AB646+Mitigation_Industry!AB647)&gt;0))</f>
        <v>0</v>
      </c>
      <c r="AC1546">
        <f>SUMPRODUCT((Emissions_Industry!AC93:AC101&gt;Emissions_Industry!AC42:AC50+0.000000001)*((Mitigation_Industry!AC646+Mitigation_Industry!AC647)&gt;0))</f>
        <v>0</v>
      </c>
      <c r="AD1546">
        <f>SUMPRODUCT((Emissions_Industry!AD93:AD101&gt;Emissions_Industry!AD42:AD50+0.000000001)*((Mitigation_Industry!AD646+Mitigation_Industry!AD647)&gt;0))</f>
        <v>0</v>
      </c>
      <c r="AE1546">
        <f>SUMPRODUCT((Emissions_Industry!AE93:AE101&gt;Emissions_Industry!AE42:AE50+0.000000001)*((Mitigation_Industry!AE646+Mitigation_Industry!AE647)&gt;0))</f>
        <v>0</v>
      </c>
    </row>
    <row r="1548" spans="1:31" x14ac:dyDescent="0.45">
      <c r="A1548" t="s">
        <v>2169</v>
      </c>
    </row>
    <row r="1551" spans="1:31" x14ac:dyDescent="0.45">
      <c r="A1551" s="52" t="s">
        <v>2430</v>
      </c>
    </row>
    <row r="1552" spans="1:31" x14ac:dyDescent="0.45">
      <c r="A1552" t="s">
        <v>2536</v>
      </c>
      <c r="D1552" s="92">
        <f>MAX(F1554:F1589)</f>
        <v>2.8421709430404007E-14</v>
      </c>
      <c r="F1552" t="s">
        <v>2537</v>
      </c>
    </row>
    <row r="1553" spans="1:35" x14ac:dyDescent="0.45">
      <c r="A1553" s="50" t="s">
        <v>1488</v>
      </c>
      <c r="B1553" s="50"/>
      <c r="C1553" s="50"/>
      <c r="D1553" s="50" t="s">
        <v>47</v>
      </c>
      <c r="E1553" s="50" t="s">
        <v>1156</v>
      </c>
      <c r="F1553" s="50" t="s">
        <v>1958</v>
      </c>
      <c r="G1553" s="50"/>
      <c r="H1553" s="50"/>
      <c r="I1553" s="50" t="s">
        <v>1489</v>
      </c>
      <c r="J1553" s="50"/>
      <c r="K1553" s="50">
        <v>2021</v>
      </c>
      <c r="L1553" s="50">
        <v>2022</v>
      </c>
      <c r="M1553" s="50">
        <v>2023</v>
      </c>
      <c r="N1553" s="50">
        <v>2024</v>
      </c>
      <c r="O1553" s="50">
        <v>2025</v>
      </c>
      <c r="P1553" s="50">
        <v>2026</v>
      </c>
      <c r="Q1553" s="50">
        <v>2027</v>
      </c>
      <c r="R1553" s="50">
        <v>2028</v>
      </c>
      <c r="S1553" s="50">
        <v>2029</v>
      </c>
      <c r="T1553" s="50">
        <v>2030</v>
      </c>
      <c r="U1553" s="50">
        <v>2031</v>
      </c>
      <c r="V1553" s="50">
        <v>2032</v>
      </c>
      <c r="W1553" s="50">
        <v>2033</v>
      </c>
      <c r="X1553" s="50">
        <v>2034</v>
      </c>
      <c r="Y1553" s="50">
        <v>2035</v>
      </c>
      <c r="Z1553" s="50">
        <v>2036</v>
      </c>
      <c r="AA1553" s="50">
        <v>2037</v>
      </c>
      <c r="AB1553" s="50">
        <v>2038</v>
      </c>
      <c r="AC1553" s="50">
        <v>2039</v>
      </c>
      <c r="AD1553" s="50">
        <v>2040</v>
      </c>
      <c r="AE1553" s="50">
        <v>2041</v>
      </c>
      <c r="AF1553" s="50">
        <v>2042</v>
      </c>
      <c r="AG1553" s="50">
        <v>2043</v>
      </c>
      <c r="AH1553" s="50">
        <v>2044</v>
      </c>
      <c r="AI1553" s="50">
        <v>2045</v>
      </c>
    </row>
    <row r="1554" spans="1:35" x14ac:dyDescent="0.45">
      <c r="A1554" t="s">
        <v>2431</v>
      </c>
      <c r="D1554">
        <v>1</v>
      </c>
      <c r="E1554" t="s">
        <v>1161</v>
      </c>
      <c r="F1554">
        <f>MAX(MAX(L1554:AE1554),-MIN(L1554:AE1554))</f>
        <v>0</v>
      </c>
      <c r="I1554">
        <v>0</v>
      </c>
      <c r="L1554">
        <f>SUMPRODUCT(ABS(Rebate_Industry!L40:L47))*(Rebate_Industry!L6=0)</f>
        <v>0</v>
      </c>
      <c r="M1554">
        <f>SUMPRODUCT(ABS(Rebate_Industry!M40:M47))*(Rebate_Industry!M6=0)</f>
        <v>0</v>
      </c>
      <c r="N1554">
        <f>SUMPRODUCT(ABS(Rebate_Industry!N40:N47))*(Rebate_Industry!N6=0)</f>
        <v>0</v>
      </c>
      <c r="O1554">
        <f>SUMPRODUCT(ABS(Rebate_Industry!O40:O47))*(Rebate_Industry!O6=0)</f>
        <v>0</v>
      </c>
      <c r="P1554">
        <f>SUMPRODUCT(ABS(Rebate_Industry!P40:P47))*(Rebate_Industry!P6=0)</f>
        <v>0</v>
      </c>
      <c r="Q1554">
        <f>SUMPRODUCT(ABS(Rebate_Industry!Q40:Q47))*(Rebate_Industry!Q6=0)</f>
        <v>0</v>
      </c>
      <c r="R1554">
        <f>SUMPRODUCT(ABS(Rebate_Industry!R40:R47))*(Rebate_Industry!R6=0)</f>
        <v>0</v>
      </c>
      <c r="S1554">
        <f>SUMPRODUCT(ABS(Rebate_Industry!S40:S47))*(Rebate_Industry!S6=0)</f>
        <v>0</v>
      </c>
      <c r="T1554">
        <f>SUMPRODUCT(ABS(Rebate_Industry!T40:T47))*(Rebate_Industry!T6=0)</f>
        <v>0</v>
      </c>
      <c r="U1554">
        <f>SUMPRODUCT(ABS(Rebate_Industry!U40:U47))*(Rebate_Industry!U6=0)</f>
        <v>0</v>
      </c>
      <c r="V1554">
        <f>SUMPRODUCT(ABS(Rebate_Industry!V40:V47))*(Rebate_Industry!V6=0)</f>
        <v>0</v>
      </c>
      <c r="W1554">
        <f>SUMPRODUCT(ABS(Rebate_Industry!W40:W47))*(Rebate_Industry!W6=0)</f>
        <v>0</v>
      </c>
      <c r="X1554">
        <f>SUMPRODUCT(ABS(Rebate_Industry!X40:X47))*(Rebate_Industry!X6=0)</f>
        <v>0</v>
      </c>
      <c r="Y1554">
        <f>SUMPRODUCT(ABS(Rebate_Industry!Y40:Y47))*(Rebate_Industry!Y6=0)</f>
        <v>0</v>
      </c>
      <c r="Z1554">
        <f>SUMPRODUCT(ABS(Rebate_Industry!Z40:Z47))*(Rebate_Industry!Z6=0)</f>
        <v>0</v>
      </c>
      <c r="AA1554">
        <f>SUMPRODUCT(ABS(Rebate_Industry!AA40:AA47))*(Rebate_Industry!AA6=0)</f>
        <v>0</v>
      </c>
      <c r="AB1554">
        <f>SUMPRODUCT(ABS(Rebate_Industry!AB40:AB47))*(Rebate_Industry!AB6=0)</f>
        <v>0</v>
      </c>
      <c r="AC1554">
        <f>SUMPRODUCT(ABS(Rebate_Industry!AC40:AC47))*(Rebate_Industry!AC6=0)</f>
        <v>0</v>
      </c>
      <c r="AD1554">
        <f>SUMPRODUCT(ABS(Rebate_Industry!AD40:AD47))*(Rebate_Industry!AD6=0)</f>
        <v>0</v>
      </c>
      <c r="AE1554">
        <f>SUMPRODUCT(ABS(Rebate_Industry!AE40:AE47))*(Rebate_Industry!AE6=0)</f>
        <v>0</v>
      </c>
    </row>
    <row r="1555" spans="1:35" x14ac:dyDescent="0.45">
      <c r="A1555" t="s">
        <v>2432</v>
      </c>
      <c r="D1555">
        <v>1</v>
      </c>
      <c r="E1555" t="s">
        <v>2167</v>
      </c>
      <c r="F1555">
        <f t="shared" ref="F1555:F1560" si="359">SUM(L1555:AE1555)</f>
        <v>0</v>
      </c>
      <c r="I1555">
        <v>0</v>
      </c>
      <c r="L1555">
        <f>SUMPRODUCT((Rebate_Industry!L50:L57&lt;-0.000000001)+(Rebate_Industry!L50:L57&gt;Rebate_Industry!L20:L27+0.000000001))</f>
        <v>0</v>
      </c>
      <c r="M1555">
        <f>SUMPRODUCT((Rebate_Industry!M50:M57&lt;-0.000000001)+(Rebate_Industry!M50:M57&gt;Rebate_Industry!M20:M27+0.000000001))</f>
        <v>0</v>
      </c>
      <c r="N1555">
        <f>SUMPRODUCT((Rebate_Industry!N50:N57&lt;-0.000000001)+(Rebate_Industry!N50:N57&gt;Rebate_Industry!N20:N27+0.000000001))</f>
        <v>0</v>
      </c>
      <c r="O1555">
        <f>SUMPRODUCT((Rebate_Industry!O50:O57&lt;-0.000000001)+(Rebate_Industry!O50:O57&gt;Rebate_Industry!O20:O27+0.000000001))</f>
        <v>0</v>
      </c>
      <c r="P1555">
        <f>SUMPRODUCT((Rebate_Industry!P50:P57&lt;-0.000000001)+(Rebate_Industry!P50:P57&gt;Rebate_Industry!P20:P27+0.000000001))</f>
        <v>0</v>
      </c>
      <c r="Q1555">
        <f>SUMPRODUCT((Rebate_Industry!Q50:Q57&lt;-0.000000001)+(Rebate_Industry!Q50:Q57&gt;Rebate_Industry!Q20:Q27+0.000000001))</f>
        <v>0</v>
      </c>
      <c r="R1555">
        <f>SUMPRODUCT((Rebate_Industry!R50:R57&lt;-0.000000001)+(Rebate_Industry!R50:R57&gt;Rebate_Industry!R20:R27+0.000000001))</f>
        <v>0</v>
      </c>
      <c r="S1555">
        <f>SUMPRODUCT((Rebate_Industry!S50:S57&lt;-0.000000001)+(Rebate_Industry!S50:S57&gt;Rebate_Industry!S20:S27+0.000000001))</f>
        <v>0</v>
      </c>
      <c r="T1555">
        <f>SUMPRODUCT((Rebate_Industry!T50:T57&lt;-0.000000001)+(Rebate_Industry!T50:T57&gt;Rebate_Industry!T20:T27+0.000000001))</f>
        <v>0</v>
      </c>
      <c r="U1555">
        <f>SUMPRODUCT((Rebate_Industry!U50:U57&lt;-0.000000001)+(Rebate_Industry!U50:U57&gt;Rebate_Industry!U20:U27+0.000000001))</f>
        <v>0</v>
      </c>
      <c r="V1555">
        <f>SUMPRODUCT((Rebate_Industry!V50:V57&lt;-0.000000001)+(Rebate_Industry!V50:V57&gt;Rebate_Industry!V20:V27+0.000000001))</f>
        <v>0</v>
      </c>
      <c r="W1555">
        <f>SUMPRODUCT((Rebate_Industry!W50:W57&lt;-0.000000001)+(Rebate_Industry!W50:W57&gt;Rebate_Industry!W20:W27+0.000000001))</f>
        <v>0</v>
      </c>
      <c r="X1555">
        <f>SUMPRODUCT((Rebate_Industry!X50:X57&lt;-0.000000001)+(Rebate_Industry!X50:X57&gt;Rebate_Industry!X20:X27+0.000000001))</f>
        <v>0</v>
      </c>
      <c r="Y1555">
        <f>SUMPRODUCT((Rebate_Industry!Y50:Y57&lt;-0.000000001)+(Rebate_Industry!Y50:Y57&gt;Rebate_Industry!Y20:Y27+0.000000001))</f>
        <v>0</v>
      </c>
      <c r="Z1555">
        <f>SUMPRODUCT((Rebate_Industry!Z50:Z57&lt;-0.000000001)+(Rebate_Industry!Z50:Z57&gt;Rebate_Industry!Z20:Z27+0.000000001))</f>
        <v>0</v>
      </c>
      <c r="AA1555">
        <f>SUMPRODUCT((Rebate_Industry!AA50:AA57&lt;-0.000000001)+(Rebate_Industry!AA50:AA57&gt;Rebate_Industry!AA20:AA27+0.000000001))</f>
        <v>0</v>
      </c>
      <c r="AB1555">
        <f>SUMPRODUCT((Rebate_Industry!AB50:AB57&lt;-0.000000001)+(Rebate_Industry!AB50:AB57&gt;Rebate_Industry!AB20:AB27+0.000000001))</f>
        <v>0</v>
      </c>
      <c r="AC1555">
        <f>SUMPRODUCT((Rebate_Industry!AC50:AC57&lt;-0.000000001)+(Rebate_Industry!AC50:AC57&gt;Rebate_Industry!AC20:AC27+0.000000001))</f>
        <v>0</v>
      </c>
      <c r="AD1555">
        <f>SUMPRODUCT((Rebate_Industry!AD50:AD57&lt;-0.000000001)+(Rebate_Industry!AD50:AD57&gt;Rebate_Industry!AD20:AD27+0.000000001))</f>
        <v>0</v>
      </c>
      <c r="AE1555">
        <f>SUMPRODUCT((Rebate_Industry!AE50:AE57&lt;-0.000000001)+(Rebate_Industry!AE50:AE57&gt;Rebate_Industry!AE20:AE27+0.000000001))</f>
        <v>0</v>
      </c>
    </row>
    <row r="1556" spans="1:35" x14ac:dyDescent="0.45">
      <c r="A1556" t="s">
        <v>2433</v>
      </c>
      <c r="D1556">
        <v>1</v>
      </c>
      <c r="E1556" t="s">
        <v>2167</v>
      </c>
      <c r="F1556">
        <f t="shared" si="359"/>
        <v>0</v>
      </c>
      <c r="I1556">
        <v>0</v>
      </c>
      <c r="L1556">
        <f>SUMPRODUCT((Rebate_Industry!L84:L92&gt;Mitigation_Industry!L17:L25+0.000000001)+(Rebate_Industry!L84:L92&lt;Mitigation_Industry!L7:L15-0.000000001))</f>
        <v>0</v>
      </c>
      <c r="M1556">
        <f>SUMPRODUCT((Rebate_Industry!M84:M92&gt;Mitigation_Industry!M17:M25+0.000000001)+(Rebate_Industry!M84:M92&lt;Mitigation_Industry!M7:M15-0.000000001))</f>
        <v>0</v>
      </c>
      <c r="N1556">
        <f>SUMPRODUCT((Rebate_Industry!N84:N92&gt;Mitigation_Industry!N17:N25+0.000000001)+(Rebate_Industry!N84:N92&lt;Mitigation_Industry!N7:N15-0.000000001))</f>
        <v>0</v>
      </c>
      <c r="O1556">
        <f>SUMPRODUCT((Rebate_Industry!O84:O92&gt;Mitigation_Industry!O17:O25+0.000000001)+(Rebate_Industry!O84:O92&lt;Mitigation_Industry!O7:O15-0.000000001))</f>
        <v>0</v>
      </c>
      <c r="P1556">
        <f>SUMPRODUCT((Rebate_Industry!P84:P92&gt;Mitigation_Industry!P17:P25+0.000000001)+(Rebate_Industry!P84:P92&lt;Mitigation_Industry!P7:P15-0.000000001))</f>
        <v>0</v>
      </c>
      <c r="Q1556">
        <f>SUMPRODUCT((Rebate_Industry!Q84:Q92&gt;Mitigation_Industry!Q17:Q25+0.000000001)+(Rebate_Industry!Q84:Q92&lt;Mitigation_Industry!Q7:Q15-0.000000001))</f>
        <v>0</v>
      </c>
      <c r="R1556">
        <f>SUMPRODUCT((Rebate_Industry!R84:R92&gt;Mitigation_Industry!R17:R25+0.000000001)+(Rebate_Industry!R84:R92&lt;Mitigation_Industry!R7:R15-0.000000001))</f>
        <v>0</v>
      </c>
      <c r="S1556">
        <f>SUMPRODUCT((Rebate_Industry!S84:S92&gt;Mitigation_Industry!S17:S25+0.000000001)+(Rebate_Industry!S84:S92&lt;Mitigation_Industry!S7:S15-0.000000001))</f>
        <v>0</v>
      </c>
      <c r="T1556">
        <f>SUMPRODUCT((Rebate_Industry!T84:T92&gt;Mitigation_Industry!T17:T25+0.000000001)+(Rebate_Industry!T84:T92&lt;Mitigation_Industry!T7:T15-0.000000001))</f>
        <v>0</v>
      </c>
      <c r="U1556">
        <f>SUMPRODUCT((Rebate_Industry!U84:U92&gt;Mitigation_Industry!U17:U25+0.000000001)+(Rebate_Industry!U84:U92&lt;Mitigation_Industry!U7:U15-0.000000001))</f>
        <v>0</v>
      </c>
      <c r="V1556">
        <f>SUMPRODUCT((Rebate_Industry!V84:V92&gt;Mitigation_Industry!V17:V25+0.000000001)+(Rebate_Industry!V84:V92&lt;Mitigation_Industry!V7:V15-0.000000001))</f>
        <v>0</v>
      </c>
      <c r="W1556">
        <f>SUMPRODUCT((Rebate_Industry!W84:W92&gt;Mitigation_Industry!W17:W25+0.000000001)+(Rebate_Industry!W84:W92&lt;Mitigation_Industry!W7:W15-0.000000001))</f>
        <v>0</v>
      </c>
      <c r="X1556">
        <f>SUMPRODUCT((Rebate_Industry!X84:X92&gt;Mitigation_Industry!X17:X25+0.000000001)+(Rebate_Industry!X84:X92&lt;Mitigation_Industry!X7:X15-0.000000001))</f>
        <v>0</v>
      </c>
      <c r="Y1556">
        <f>SUMPRODUCT((Rebate_Industry!Y84:Y92&gt;Mitigation_Industry!Y17:Y25+0.000000001)+(Rebate_Industry!Y84:Y92&lt;Mitigation_Industry!Y7:Y15-0.000000001))</f>
        <v>0</v>
      </c>
      <c r="Z1556">
        <f>SUMPRODUCT((Rebate_Industry!Z84:Z92&gt;Mitigation_Industry!Z17:Z25+0.000000001)+(Rebate_Industry!Z84:Z92&lt;Mitigation_Industry!Z7:Z15-0.000000001))</f>
        <v>0</v>
      </c>
      <c r="AA1556">
        <f>SUMPRODUCT((Rebate_Industry!AA84:AA92&gt;Mitigation_Industry!AA17:AA25+0.000000001)+(Rebate_Industry!AA84:AA92&lt;Mitigation_Industry!AA7:AA15-0.000000001))</f>
        <v>0</v>
      </c>
      <c r="AB1556">
        <f>SUMPRODUCT((Rebate_Industry!AB84:AB92&gt;Mitigation_Industry!AB17:AB25+0.000000001)+(Rebate_Industry!AB84:AB92&lt;Mitigation_Industry!AB7:AB15-0.000000001))</f>
        <v>0</v>
      </c>
      <c r="AC1556">
        <f>SUMPRODUCT((Rebate_Industry!AC84:AC92&gt;Mitigation_Industry!AC17:AC25+0.000000001)+(Rebate_Industry!AC84:AC92&lt;Mitigation_Industry!AC7:AC15-0.000000001))</f>
        <v>0</v>
      </c>
      <c r="AD1556">
        <f>SUMPRODUCT((Rebate_Industry!AD84:AD92&gt;Mitigation_Industry!AD17:AD25+0.000000001)+(Rebate_Industry!AD84:AD92&lt;Mitigation_Industry!AD7:AD15-0.000000001))</f>
        <v>0</v>
      </c>
      <c r="AE1556">
        <f>SUMPRODUCT((Rebate_Industry!AE84:AE92&gt;Mitigation_Industry!AE17:AE25+0.000000001)+(Rebate_Industry!AE84:AE92&lt;Mitigation_Industry!AE7:AE15-0.000000001))</f>
        <v>0</v>
      </c>
    </row>
    <row r="1557" spans="1:35" x14ac:dyDescent="0.45">
      <c r="A1557" t="s">
        <v>2434</v>
      </c>
      <c r="D1557">
        <v>1</v>
      </c>
      <c r="E1557" t="s">
        <v>2167</v>
      </c>
      <c r="F1557">
        <f t="shared" si="359"/>
        <v>0</v>
      </c>
      <c r="I1557">
        <v>0</v>
      </c>
      <c r="L1557">
        <f>SUMPRODUCT((Rebate_Industry!L98:L106&gt;Mitigation_Industry!L77:L85+0.000000001)+(Rebate_Industry!L98:L106&lt;Mitigation_Industry!L67:L75-0.000000001))</f>
        <v>0</v>
      </c>
      <c r="M1557">
        <f>SUMPRODUCT((Rebate_Industry!M98:M106&gt;Mitigation_Industry!M77:M85+0.000000001)+(Rebate_Industry!M98:M106&lt;Mitigation_Industry!M67:M75-0.000000001))</f>
        <v>0</v>
      </c>
      <c r="N1557">
        <f>SUMPRODUCT((Rebate_Industry!N98:N106&gt;Mitigation_Industry!N77:N85+0.000000001)+(Rebate_Industry!N98:N106&lt;Mitigation_Industry!N67:N75-0.000000001))</f>
        <v>0</v>
      </c>
      <c r="O1557">
        <f>SUMPRODUCT((Rebate_Industry!O98:O106&gt;Mitigation_Industry!O77:O85+0.000000001)+(Rebate_Industry!O98:O106&lt;Mitigation_Industry!O67:O75-0.000000001))</f>
        <v>0</v>
      </c>
      <c r="P1557">
        <f>SUMPRODUCT((Rebate_Industry!P98:P106&gt;Mitigation_Industry!P77:P85+0.000000001)+(Rebate_Industry!P98:P106&lt;Mitigation_Industry!P67:P75-0.000000001))</f>
        <v>0</v>
      </c>
      <c r="Q1557">
        <f>SUMPRODUCT((Rebate_Industry!Q98:Q106&gt;Mitigation_Industry!Q77:Q85+0.000000001)+(Rebate_Industry!Q98:Q106&lt;Mitigation_Industry!Q67:Q75-0.000000001))</f>
        <v>0</v>
      </c>
      <c r="R1557">
        <f>SUMPRODUCT((Rebate_Industry!R98:R106&gt;Mitigation_Industry!R77:R85+0.000000001)+(Rebate_Industry!R98:R106&lt;Mitigation_Industry!R67:R75-0.000000001))</f>
        <v>0</v>
      </c>
      <c r="S1557">
        <f>SUMPRODUCT((Rebate_Industry!S98:S106&gt;Mitigation_Industry!S77:S85+0.000000001)+(Rebate_Industry!S98:S106&lt;Mitigation_Industry!S67:S75-0.000000001))</f>
        <v>0</v>
      </c>
      <c r="T1557">
        <f>SUMPRODUCT((Rebate_Industry!T98:T106&gt;Mitigation_Industry!T77:T85+0.000000001)+(Rebate_Industry!T98:T106&lt;Mitigation_Industry!T67:T75-0.000000001))</f>
        <v>0</v>
      </c>
      <c r="U1557">
        <f>SUMPRODUCT((Rebate_Industry!U98:U106&gt;Mitigation_Industry!U77:U85+0.000000001)+(Rebate_Industry!U98:U106&lt;Mitigation_Industry!U67:U75-0.000000001))</f>
        <v>0</v>
      </c>
      <c r="V1557">
        <f>SUMPRODUCT((Rebate_Industry!V98:V106&gt;Mitigation_Industry!V77:V85+0.000000001)+(Rebate_Industry!V98:V106&lt;Mitigation_Industry!V67:V75-0.000000001))</f>
        <v>0</v>
      </c>
      <c r="W1557">
        <f>SUMPRODUCT((Rebate_Industry!W98:W106&gt;Mitigation_Industry!W77:W85+0.000000001)+(Rebate_Industry!W98:W106&lt;Mitigation_Industry!W67:W75-0.000000001))</f>
        <v>0</v>
      </c>
      <c r="X1557">
        <f>SUMPRODUCT((Rebate_Industry!X98:X106&gt;Mitigation_Industry!X77:X85+0.000000001)+(Rebate_Industry!X98:X106&lt;Mitigation_Industry!X67:X75-0.000000001))</f>
        <v>0</v>
      </c>
      <c r="Y1557">
        <f>SUMPRODUCT((Rebate_Industry!Y98:Y106&gt;Mitigation_Industry!Y77:Y85+0.000000001)+(Rebate_Industry!Y98:Y106&lt;Mitigation_Industry!Y67:Y75-0.000000001))</f>
        <v>0</v>
      </c>
      <c r="Z1557">
        <f>SUMPRODUCT((Rebate_Industry!Z98:Z106&gt;Mitigation_Industry!Z77:Z85+0.000000001)+(Rebate_Industry!Z98:Z106&lt;Mitigation_Industry!Z67:Z75-0.000000001))</f>
        <v>0</v>
      </c>
      <c r="AA1557">
        <f>SUMPRODUCT((Rebate_Industry!AA98:AA106&gt;Mitigation_Industry!AA77:AA85+0.000000001)+(Rebate_Industry!AA98:AA106&lt;Mitigation_Industry!AA67:AA75-0.000000001))</f>
        <v>0</v>
      </c>
      <c r="AB1557">
        <f>SUMPRODUCT((Rebate_Industry!AB98:AB106&gt;Mitigation_Industry!AB77:AB85+0.000000001)+(Rebate_Industry!AB98:AB106&lt;Mitigation_Industry!AB67:AB75-0.000000001))</f>
        <v>0</v>
      </c>
      <c r="AC1557">
        <f>SUMPRODUCT((Rebate_Industry!AC98:AC106&gt;Mitigation_Industry!AC77:AC85+0.000000001)+(Rebate_Industry!AC98:AC106&lt;Mitigation_Industry!AC67:AC75-0.000000001))</f>
        <v>0</v>
      </c>
      <c r="AD1557">
        <f>SUMPRODUCT((Rebate_Industry!AD98:AD106&gt;Mitigation_Industry!AD77:AD85+0.000000001)+(Rebate_Industry!AD98:AD106&lt;Mitigation_Industry!AD67:AD75-0.000000001))</f>
        <v>0</v>
      </c>
      <c r="AE1557">
        <f>SUMPRODUCT((Rebate_Industry!AE98:AE106&gt;Mitigation_Industry!AE77:AE85+0.000000001)+(Rebate_Industry!AE98:AE106&lt;Mitigation_Industry!AE67:AE75-0.000000001))</f>
        <v>0</v>
      </c>
    </row>
    <row r="1558" spans="1:35" x14ac:dyDescent="0.45">
      <c r="A1558" t="s">
        <v>2435</v>
      </c>
      <c r="D1558">
        <v>1</v>
      </c>
      <c r="E1558" t="s">
        <v>2167</v>
      </c>
      <c r="F1558">
        <f t="shared" si="359"/>
        <v>0</v>
      </c>
      <c r="I1558">
        <v>0</v>
      </c>
      <c r="L1558">
        <f>SUMPRODUCT((Rebate_Industry!L112:L120&gt;Mitigation_Industry!L137:L145+0.000000001)+(Rebate_Industry!L112:L120&lt;Mitigation_Industry!L127:L135-0.000000001))</f>
        <v>0</v>
      </c>
      <c r="M1558">
        <f>SUMPRODUCT((Rebate_Industry!M112:M120&gt;Mitigation_Industry!M137:M145+0.000000001)+(Rebate_Industry!M112:M120&lt;Mitigation_Industry!M127:M135-0.000000001))</f>
        <v>0</v>
      </c>
      <c r="N1558">
        <f>SUMPRODUCT((Rebate_Industry!N112:N120&gt;Mitigation_Industry!N137:N145+0.000000001)+(Rebate_Industry!N112:N120&lt;Mitigation_Industry!N127:N135-0.000000001))</f>
        <v>0</v>
      </c>
      <c r="O1558">
        <f>SUMPRODUCT((Rebate_Industry!O112:O120&gt;Mitigation_Industry!O137:O145+0.000000001)+(Rebate_Industry!O112:O120&lt;Mitigation_Industry!O127:O135-0.000000001))</f>
        <v>0</v>
      </c>
      <c r="P1558">
        <f>SUMPRODUCT((Rebate_Industry!P112:P120&gt;Mitigation_Industry!P137:P145+0.000000001)+(Rebate_Industry!P112:P120&lt;Mitigation_Industry!P127:P135-0.000000001))</f>
        <v>0</v>
      </c>
      <c r="Q1558">
        <f>SUMPRODUCT((Rebate_Industry!Q112:Q120&gt;Mitigation_Industry!Q137:Q145+0.000000001)+(Rebate_Industry!Q112:Q120&lt;Mitigation_Industry!Q127:Q135-0.000000001))</f>
        <v>0</v>
      </c>
      <c r="R1558">
        <f>SUMPRODUCT((Rebate_Industry!R112:R120&gt;Mitigation_Industry!R137:R145+0.000000001)+(Rebate_Industry!R112:R120&lt;Mitigation_Industry!R127:R135-0.000000001))</f>
        <v>0</v>
      </c>
      <c r="S1558">
        <f>SUMPRODUCT((Rebate_Industry!S112:S120&gt;Mitigation_Industry!S137:S145+0.000000001)+(Rebate_Industry!S112:S120&lt;Mitigation_Industry!S127:S135-0.000000001))</f>
        <v>0</v>
      </c>
      <c r="T1558">
        <f>SUMPRODUCT((Rebate_Industry!T112:T120&gt;Mitigation_Industry!T137:T145+0.000000001)+(Rebate_Industry!T112:T120&lt;Mitigation_Industry!T127:T135-0.000000001))</f>
        <v>0</v>
      </c>
      <c r="U1558">
        <f>SUMPRODUCT((Rebate_Industry!U112:U120&gt;Mitigation_Industry!U137:U145+0.000000001)+(Rebate_Industry!U112:U120&lt;Mitigation_Industry!U127:U135-0.000000001))</f>
        <v>0</v>
      </c>
      <c r="V1558">
        <f>SUMPRODUCT((Rebate_Industry!V112:V120&gt;Mitigation_Industry!V137:V145+0.000000001)+(Rebate_Industry!V112:V120&lt;Mitigation_Industry!V127:V135-0.000000001))</f>
        <v>0</v>
      </c>
      <c r="W1558">
        <f>SUMPRODUCT((Rebate_Industry!W112:W120&gt;Mitigation_Industry!W137:W145+0.000000001)+(Rebate_Industry!W112:W120&lt;Mitigation_Industry!W127:W135-0.000000001))</f>
        <v>0</v>
      </c>
      <c r="X1558">
        <f>SUMPRODUCT((Rebate_Industry!X112:X120&gt;Mitigation_Industry!X137:X145+0.000000001)+(Rebate_Industry!X112:X120&lt;Mitigation_Industry!X127:X135-0.000000001))</f>
        <v>0</v>
      </c>
      <c r="Y1558">
        <f>SUMPRODUCT((Rebate_Industry!Y112:Y120&gt;Mitigation_Industry!Y137:Y145+0.000000001)+(Rebate_Industry!Y112:Y120&lt;Mitigation_Industry!Y127:Y135-0.000000001))</f>
        <v>0</v>
      </c>
      <c r="Z1558">
        <f>SUMPRODUCT((Rebate_Industry!Z112:Z120&gt;Mitigation_Industry!Z137:Z145+0.000000001)+(Rebate_Industry!Z112:Z120&lt;Mitigation_Industry!Z127:Z135-0.000000001))</f>
        <v>0</v>
      </c>
      <c r="AA1558">
        <f>SUMPRODUCT((Rebate_Industry!AA112:AA120&gt;Mitigation_Industry!AA137:AA145+0.000000001)+(Rebate_Industry!AA112:AA120&lt;Mitigation_Industry!AA127:AA135-0.000000001))</f>
        <v>0</v>
      </c>
      <c r="AB1558">
        <f>SUMPRODUCT((Rebate_Industry!AB112:AB120&gt;Mitigation_Industry!AB137:AB145+0.000000001)+(Rebate_Industry!AB112:AB120&lt;Mitigation_Industry!AB127:AB135-0.000000001))</f>
        <v>0</v>
      </c>
      <c r="AC1558">
        <f>SUMPRODUCT((Rebate_Industry!AC112:AC120&gt;Mitigation_Industry!AC137:AC145+0.000000001)+(Rebate_Industry!AC112:AC120&lt;Mitigation_Industry!AC127:AC135-0.000000001))</f>
        <v>0</v>
      </c>
      <c r="AD1558">
        <f>SUMPRODUCT((Rebate_Industry!AD112:AD120&gt;Mitigation_Industry!AD137:AD145+0.000000001)+(Rebate_Industry!AD112:AD120&lt;Mitigation_Industry!AD127:AD135-0.000000001))</f>
        <v>0</v>
      </c>
      <c r="AE1558">
        <f>SUMPRODUCT((Rebate_Industry!AE112:AE120&gt;Mitigation_Industry!AE137:AE145+0.000000001)+(Rebate_Industry!AE112:AE120&lt;Mitigation_Industry!AE127:AE135-0.000000001))</f>
        <v>0</v>
      </c>
    </row>
    <row r="1559" spans="1:35" x14ac:dyDescent="0.45">
      <c r="A1559" t="s">
        <v>2436</v>
      </c>
      <c r="D1559">
        <v>1</v>
      </c>
      <c r="E1559" t="s">
        <v>2167</v>
      </c>
      <c r="F1559">
        <f t="shared" si="359"/>
        <v>0</v>
      </c>
      <c r="I1559">
        <v>0</v>
      </c>
      <c r="L1559">
        <f>SUMPRODUCT((Rebate_Industry!L126:L134&gt;Mitigation_Industry!L197:L205+0.000000001)+(Rebate_Industry!L126:L134&lt;Mitigation_Industry!L187:L195-0.000000001))</f>
        <v>0</v>
      </c>
      <c r="M1559">
        <f>SUMPRODUCT((Rebate_Industry!M126:M134&gt;Mitigation_Industry!M197:M205+0.000000001)+(Rebate_Industry!M126:M134&lt;Mitigation_Industry!M187:M195-0.000000001))</f>
        <v>0</v>
      </c>
      <c r="N1559">
        <f>SUMPRODUCT((Rebate_Industry!N126:N134&gt;Mitigation_Industry!N197:N205+0.000000001)+(Rebate_Industry!N126:N134&lt;Mitigation_Industry!N187:N195-0.000000001))</f>
        <v>0</v>
      </c>
      <c r="O1559">
        <f>SUMPRODUCT((Rebate_Industry!O126:O134&gt;Mitigation_Industry!O197:O205+0.000000001)+(Rebate_Industry!O126:O134&lt;Mitigation_Industry!O187:O195-0.000000001))</f>
        <v>0</v>
      </c>
      <c r="P1559">
        <f>SUMPRODUCT((Rebate_Industry!P126:P134&gt;Mitigation_Industry!P197:P205+0.000000001)+(Rebate_Industry!P126:P134&lt;Mitigation_Industry!P187:P195-0.000000001))</f>
        <v>0</v>
      </c>
      <c r="Q1559">
        <f>SUMPRODUCT((Rebate_Industry!Q126:Q134&gt;Mitigation_Industry!Q197:Q205+0.000000001)+(Rebate_Industry!Q126:Q134&lt;Mitigation_Industry!Q187:Q195-0.000000001))</f>
        <v>0</v>
      </c>
      <c r="R1559">
        <f>SUMPRODUCT((Rebate_Industry!R126:R134&gt;Mitigation_Industry!R197:R205+0.000000001)+(Rebate_Industry!R126:R134&lt;Mitigation_Industry!R187:R195-0.000000001))</f>
        <v>0</v>
      </c>
      <c r="S1559">
        <f>SUMPRODUCT((Rebate_Industry!S126:S134&gt;Mitigation_Industry!S197:S205+0.000000001)+(Rebate_Industry!S126:S134&lt;Mitigation_Industry!S187:S195-0.000000001))</f>
        <v>0</v>
      </c>
      <c r="T1559">
        <f>SUMPRODUCT((Rebate_Industry!T126:T134&gt;Mitigation_Industry!T197:T205+0.000000001)+(Rebate_Industry!T126:T134&lt;Mitigation_Industry!T187:T195-0.000000001))</f>
        <v>0</v>
      </c>
      <c r="U1559">
        <f>SUMPRODUCT((Rebate_Industry!U126:U134&gt;Mitigation_Industry!U197:U205+0.000000001)+(Rebate_Industry!U126:U134&lt;Mitigation_Industry!U187:U195-0.000000001))</f>
        <v>0</v>
      </c>
      <c r="V1559">
        <f>SUMPRODUCT((Rebate_Industry!V126:V134&gt;Mitigation_Industry!V197:V205+0.000000001)+(Rebate_Industry!V126:V134&lt;Mitigation_Industry!V187:V195-0.000000001))</f>
        <v>0</v>
      </c>
      <c r="W1559">
        <f>SUMPRODUCT((Rebate_Industry!W126:W134&gt;Mitigation_Industry!W197:W205+0.000000001)+(Rebate_Industry!W126:W134&lt;Mitigation_Industry!W187:W195-0.000000001))</f>
        <v>0</v>
      </c>
      <c r="X1559">
        <f>SUMPRODUCT((Rebate_Industry!X126:X134&gt;Mitigation_Industry!X197:X205+0.000000001)+(Rebate_Industry!X126:X134&lt;Mitigation_Industry!X187:X195-0.000000001))</f>
        <v>0</v>
      </c>
      <c r="Y1559">
        <f>SUMPRODUCT((Rebate_Industry!Y126:Y134&gt;Mitigation_Industry!Y197:Y205+0.000000001)+(Rebate_Industry!Y126:Y134&lt;Mitigation_Industry!Y187:Y195-0.000000001))</f>
        <v>0</v>
      </c>
      <c r="Z1559">
        <f>SUMPRODUCT((Rebate_Industry!Z126:Z134&gt;Mitigation_Industry!Z197:Z205+0.000000001)+(Rebate_Industry!Z126:Z134&lt;Mitigation_Industry!Z187:Z195-0.000000001))</f>
        <v>0</v>
      </c>
      <c r="AA1559">
        <f>SUMPRODUCT((Rebate_Industry!AA126:AA134&gt;Mitigation_Industry!AA197:AA205+0.000000001)+(Rebate_Industry!AA126:AA134&lt;Mitigation_Industry!AA187:AA195-0.000000001))</f>
        <v>0</v>
      </c>
      <c r="AB1559">
        <f>SUMPRODUCT((Rebate_Industry!AB126:AB134&gt;Mitigation_Industry!AB197:AB205+0.000000001)+(Rebate_Industry!AB126:AB134&lt;Mitigation_Industry!AB187:AB195-0.000000001))</f>
        <v>0</v>
      </c>
      <c r="AC1559">
        <f>SUMPRODUCT((Rebate_Industry!AC126:AC134&gt;Mitigation_Industry!AC197:AC205+0.000000001)+(Rebate_Industry!AC126:AC134&lt;Mitigation_Industry!AC187:AC195-0.000000001))</f>
        <v>0</v>
      </c>
      <c r="AD1559">
        <f>SUMPRODUCT((Rebate_Industry!AD126:AD134&gt;Mitigation_Industry!AD197:AD205+0.000000001)+(Rebate_Industry!AD126:AD134&lt;Mitigation_Industry!AD187:AD195-0.000000001))</f>
        <v>0</v>
      </c>
      <c r="AE1559">
        <f>SUMPRODUCT((Rebate_Industry!AE126:AE134&gt;Mitigation_Industry!AE197:AE205+0.000000001)+(Rebate_Industry!AE126:AE134&lt;Mitigation_Industry!AE187:AE195-0.000000001))</f>
        <v>0</v>
      </c>
    </row>
    <row r="1560" spans="1:35" x14ac:dyDescent="0.45">
      <c r="A1560" t="s">
        <v>2437</v>
      </c>
      <c r="D1560">
        <v>1</v>
      </c>
      <c r="E1560" t="s">
        <v>2167</v>
      </c>
      <c r="F1560">
        <f t="shared" si="359"/>
        <v>0</v>
      </c>
      <c r="I1560">
        <v>0</v>
      </c>
      <c r="L1560">
        <f>(Rebate_Industry!L83&lt;0)+(Rebate_Industry!L83&gt;1)+(Rebate_Industry!L97&lt;0)+(Rebate_Industry!L97&gt;1)+(Rebate_Industry!L111&lt;0)+(Rebate_Industry!L111&gt;1)+(Rebate_Industry!L125&lt;0)+(Rebate_Industry!L125&gt;1)</f>
        <v>0</v>
      </c>
      <c r="M1560">
        <f>(Rebate_Industry!M83&lt;0)+(Rebate_Industry!M83&gt;1)+(Rebate_Industry!M97&lt;0)+(Rebate_Industry!M97&gt;1)+(Rebate_Industry!M111&lt;0)+(Rebate_Industry!M111&gt;1)+(Rebate_Industry!M125&lt;0)+(Rebate_Industry!M125&gt;1)</f>
        <v>0</v>
      </c>
      <c r="N1560">
        <f>(Rebate_Industry!N83&lt;0)+(Rebate_Industry!N83&gt;1)+(Rebate_Industry!N97&lt;0)+(Rebate_Industry!N97&gt;1)+(Rebate_Industry!N111&lt;0)+(Rebate_Industry!N111&gt;1)+(Rebate_Industry!N125&lt;0)+(Rebate_Industry!N125&gt;1)</f>
        <v>0</v>
      </c>
      <c r="O1560">
        <f>(Rebate_Industry!O83&lt;0)+(Rebate_Industry!O83&gt;1)+(Rebate_Industry!O97&lt;0)+(Rebate_Industry!O97&gt;1)+(Rebate_Industry!O111&lt;0)+(Rebate_Industry!O111&gt;1)+(Rebate_Industry!O125&lt;0)+(Rebate_Industry!O125&gt;1)</f>
        <v>0</v>
      </c>
      <c r="P1560">
        <f>(Rebate_Industry!P83&lt;0)+(Rebate_Industry!P83&gt;1)+(Rebate_Industry!P97&lt;0)+(Rebate_Industry!P97&gt;1)+(Rebate_Industry!P111&lt;0)+(Rebate_Industry!P111&gt;1)+(Rebate_Industry!P125&lt;0)+(Rebate_Industry!P125&gt;1)</f>
        <v>0</v>
      </c>
      <c r="Q1560">
        <f>(Rebate_Industry!Q83&lt;0)+(Rebate_Industry!Q83&gt;1)+(Rebate_Industry!Q97&lt;0)+(Rebate_Industry!Q97&gt;1)+(Rebate_Industry!Q111&lt;0)+(Rebate_Industry!Q111&gt;1)+(Rebate_Industry!Q125&lt;0)+(Rebate_Industry!Q125&gt;1)</f>
        <v>0</v>
      </c>
      <c r="R1560">
        <f>(Rebate_Industry!R83&lt;0)+(Rebate_Industry!R83&gt;1)+(Rebate_Industry!R97&lt;0)+(Rebate_Industry!R97&gt;1)+(Rebate_Industry!R111&lt;0)+(Rebate_Industry!R111&gt;1)+(Rebate_Industry!R125&lt;0)+(Rebate_Industry!R125&gt;1)</f>
        <v>0</v>
      </c>
      <c r="S1560">
        <f>(Rebate_Industry!S83&lt;0)+(Rebate_Industry!S83&gt;1)+(Rebate_Industry!S97&lt;0)+(Rebate_Industry!S97&gt;1)+(Rebate_Industry!S111&lt;0)+(Rebate_Industry!S111&gt;1)+(Rebate_Industry!S125&lt;0)+(Rebate_Industry!S125&gt;1)</f>
        <v>0</v>
      </c>
      <c r="T1560">
        <f>(Rebate_Industry!T83&lt;0)+(Rebate_Industry!T83&gt;1)+(Rebate_Industry!T97&lt;0)+(Rebate_Industry!T97&gt;1)+(Rebate_Industry!T111&lt;0)+(Rebate_Industry!T111&gt;1)+(Rebate_Industry!T125&lt;0)+(Rebate_Industry!T125&gt;1)</f>
        <v>0</v>
      </c>
      <c r="U1560">
        <f>(Rebate_Industry!U83&lt;0)+(Rebate_Industry!U83&gt;1)+(Rebate_Industry!U97&lt;0)+(Rebate_Industry!U97&gt;1)+(Rebate_Industry!U111&lt;0)+(Rebate_Industry!U111&gt;1)+(Rebate_Industry!U125&lt;0)+(Rebate_Industry!U125&gt;1)</f>
        <v>0</v>
      </c>
      <c r="V1560">
        <f>(Rebate_Industry!V83&lt;0)+(Rebate_Industry!V83&gt;1)+(Rebate_Industry!V97&lt;0)+(Rebate_Industry!V97&gt;1)+(Rebate_Industry!V111&lt;0)+(Rebate_Industry!V111&gt;1)+(Rebate_Industry!V125&lt;0)+(Rebate_Industry!V125&gt;1)</f>
        <v>0</v>
      </c>
      <c r="W1560">
        <f>(Rebate_Industry!W83&lt;0)+(Rebate_Industry!W83&gt;1)+(Rebate_Industry!W97&lt;0)+(Rebate_Industry!W97&gt;1)+(Rebate_Industry!W111&lt;0)+(Rebate_Industry!W111&gt;1)+(Rebate_Industry!W125&lt;0)+(Rebate_Industry!W125&gt;1)</f>
        <v>0</v>
      </c>
      <c r="X1560">
        <f>(Rebate_Industry!X83&lt;0)+(Rebate_Industry!X83&gt;1)+(Rebate_Industry!X97&lt;0)+(Rebate_Industry!X97&gt;1)+(Rebate_Industry!X111&lt;0)+(Rebate_Industry!X111&gt;1)+(Rebate_Industry!X125&lt;0)+(Rebate_Industry!X125&gt;1)</f>
        <v>0</v>
      </c>
      <c r="Y1560">
        <f>(Rebate_Industry!Y83&lt;0)+(Rebate_Industry!Y83&gt;1)+(Rebate_Industry!Y97&lt;0)+(Rebate_Industry!Y97&gt;1)+(Rebate_Industry!Y111&lt;0)+(Rebate_Industry!Y111&gt;1)+(Rebate_Industry!Y125&lt;0)+(Rebate_Industry!Y125&gt;1)</f>
        <v>0</v>
      </c>
      <c r="Z1560">
        <f>(Rebate_Industry!Z83&lt;0)+(Rebate_Industry!Z83&gt;1)+(Rebate_Industry!Z97&lt;0)+(Rebate_Industry!Z97&gt;1)+(Rebate_Industry!Z111&lt;0)+(Rebate_Industry!Z111&gt;1)+(Rebate_Industry!Z125&lt;0)+(Rebate_Industry!Z125&gt;1)</f>
        <v>0</v>
      </c>
      <c r="AA1560">
        <f>(Rebate_Industry!AA83&lt;0)+(Rebate_Industry!AA83&gt;1)+(Rebate_Industry!AA97&lt;0)+(Rebate_Industry!AA97&gt;1)+(Rebate_Industry!AA111&lt;0)+(Rebate_Industry!AA111&gt;1)+(Rebate_Industry!AA125&lt;0)+(Rebate_Industry!AA125&gt;1)</f>
        <v>0</v>
      </c>
      <c r="AB1560">
        <f>(Rebate_Industry!AB83&lt;0)+(Rebate_Industry!AB83&gt;1)+(Rebate_Industry!AB97&lt;0)+(Rebate_Industry!AB97&gt;1)+(Rebate_Industry!AB111&lt;0)+(Rebate_Industry!AB111&gt;1)+(Rebate_Industry!AB125&lt;0)+(Rebate_Industry!AB125&gt;1)</f>
        <v>0</v>
      </c>
      <c r="AC1560">
        <f>(Rebate_Industry!AC83&lt;0)+(Rebate_Industry!AC83&gt;1)+(Rebate_Industry!AC97&lt;0)+(Rebate_Industry!AC97&gt;1)+(Rebate_Industry!AC111&lt;0)+(Rebate_Industry!AC111&gt;1)+(Rebate_Industry!AC125&lt;0)+(Rebate_Industry!AC125&gt;1)</f>
        <v>0</v>
      </c>
      <c r="AD1560">
        <f>(Rebate_Industry!AD83&lt;0)+(Rebate_Industry!AD83&gt;1)+(Rebate_Industry!AD97&lt;0)+(Rebate_Industry!AD97&gt;1)+(Rebate_Industry!AD111&lt;0)+(Rebate_Industry!AD111&gt;1)+(Rebate_Industry!AD125&lt;0)+(Rebate_Industry!AD125&gt;1)</f>
        <v>0</v>
      </c>
      <c r="AE1560">
        <f>(Rebate_Industry!AE83&lt;0)+(Rebate_Industry!AE83&gt;1)+(Rebate_Industry!AE97&lt;0)+(Rebate_Industry!AE97&gt;1)+(Rebate_Industry!AE111&lt;0)+(Rebate_Industry!AE111&gt;1)+(Rebate_Industry!AE125&lt;0)+(Rebate_Industry!AE125&gt;1)</f>
        <v>0</v>
      </c>
    </row>
    <row r="1561" spans="1:35" x14ac:dyDescent="0.45">
      <c r="A1561" t="s">
        <v>2438</v>
      </c>
      <c r="D1561">
        <v>1</v>
      </c>
      <c r="E1561" t="s">
        <v>1161</v>
      </c>
      <c r="F1561">
        <f>MAX(MAX(L1561:AE1561),-MIN(L1561:AE1561))</f>
        <v>0</v>
      </c>
      <c r="I1561">
        <v>0</v>
      </c>
      <c r="L1561">
        <f>Rebate_Industry!L78-SUM(Rebate_Industry!L70:L77)</f>
        <v>0</v>
      </c>
      <c r="M1561">
        <f>Rebate_Industry!M78-SUM(Rebate_Industry!M70:M77)</f>
        <v>0</v>
      </c>
      <c r="N1561">
        <f>Rebate_Industry!N78-SUM(Rebate_Industry!N70:N77)</f>
        <v>0</v>
      </c>
      <c r="O1561">
        <f>Rebate_Industry!O78-SUM(Rebate_Industry!O70:O77)</f>
        <v>0</v>
      </c>
      <c r="P1561">
        <f>Rebate_Industry!P78-SUM(Rebate_Industry!P70:P77)</f>
        <v>0</v>
      </c>
      <c r="Q1561">
        <f>Rebate_Industry!Q78-SUM(Rebate_Industry!Q70:Q77)</f>
        <v>0</v>
      </c>
      <c r="R1561">
        <f>Rebate_Industry!R78-SUM(Rebate_Industry!R70:R77)</f>
        <v>0</v>
      </c>
      <c r="S1561">
        <f>Rebate_Industry!S78-SUM(Rebate_Industry!S70:S77)</f>
        <v>0</v>
      </c>
      <c r="T1561">
        <f>Rebate_Industry!T78-SUM(Rebate_Industry!T70:T77)</f>
        <v>0</v>
      </c>
      <c r="U1561">
        <f>Rebate_Industry!U78-SUM(Rebate_Industry!U70:U77)</f>
        <v>0</v>
      </c>
      <c r="V1561">
        <f>Rebate_Industry!V78-SUM(Rebate_Industry!V70:V77)</f>
        <v>0</v>
      </c>
      <c r="W1561">
        <f>Rebate_Industry!W78-SUM(Rebate_Industry!W70:W77)</f>
        <v>0</v>
      </c>
      <c r="X1561">
        <f>Rebate_Industry!X78-SUM(Rebate_Industry!X70:X77)</f>
        <v>0</v>
      </c>
      <c r="Y1561">
        <f>Rebate_Industry!Y78-SUM(Rebate_Industry!Y70:Y77)</f>
        <v>0</v>
      </c>
      <c r="Z1561">
        <f>Rebate_Industry!Z78-SUM(Rebate_Industry!Z70:Z77)</f>
        <v>0</v>
      </c>
      <c r="AA1561">
        <f>Rebate_Industry!AA78-SUM(Rebate_Industry!AA70:AA77)</f>
        <v>0</v>
      </c>
      <c r="AB1561">
        <f>Rebate_Industry!AB78-SUM(Rebate_Industry!AB70:AB77)</f>
        <v>0</v>
      </c>
      <c r="AC1561">
        <f>Rebate_Industry!AC78-SUM(Rebate_Industry!AC70:AC77)</f>
        <v>0</v>
      </c>
      <c r="AD1561">
        <f>Rebate_Industry!AD78-SUM(Rebate_Industry!AD70:AD77)</f>
        <v>0</v>
      </c>
      <c r="AE1561">
        <f>Rebate_Industry!AE78-SUM(Rebate_Industry!AE70:AE77)</f>
        <v>0</v>
      </c>
    </row>
    <row r="1562" spans="1:35" x14ac:dyDescent="0.45">
      <c r="A1562" t="s">
        <v>2439</v>
      </c>
      <c r="D1562">
        <v>1</v>
      </c>
      <c r="E1562" t="s">
        <v>1161</v>
      </c>
      <c r="F1562">
        <f>MAX(MAX(L1562:AE1562),-MIN(L1562:AE1562))</f>
        <v>0</v>
      </c>
      <c r="I1562">
        <v>0</v>
      </c>
      <c r="L1562">
        <f>Rebate_Industry!L78-(Rebate_Industry!L81+Rebate_Industry!L95+Rebate_Industry!L109+Rebate_Industry!L123)</f>
        <v>0</v>
      </c>
      <c r="M1562">
        <f>Rebate_Industry!M78-(Rebate_Industry!M81+Rebate_Industry!M95+Rebate_Industry!M109+Rebate_Industry!M123)</f>
        <v>0</v>
      </c>
      <c r="N1562">
        <f>Rebate_Industry!N78-(Rebate_Industry!N81+Rebate_Industry!N95+Rebate_Industry!N109+Rebate_Industry!N123)</f>
        <v>0</v>
      </c>
      <c r="O1562">
        <f>Rebate_Industry!O78-(Rebate_Industry!O81+Rebate_Industry!O95+Rebate_Industry!O109+Rebate_Industry!O123)</f>
        <v>0</v>
      </c>
      <c r="P1562">
        <f>Rebate_Industry!P78-(Rebate_Industry!P81+Rebate_Industry!P95+Rebate_Industry!P109+Rebate_Industry!P123)</f>
        <v>0</v>
      </c>
      <c r="Q1562">
        <f>Rebate_Industry!Q78-(Rebate_Industry!Q81+Rebate_Industry!Q95+Rebate_Industry!Q109+Rebate_Industry!Q123)</f>
        <v>0</v>
      </c>
      <c r="R1562">
        <f>Rebate_Industry!R78-(Rebate_Industry!R81+Rebate_Industry!R95+Rebate_Industry!R109+Rebate_Industry!R123)</f>
        <v>0</v>
      </c>
      <c r="S1562">
        <f>Rebate_Industry!S78-(Rebate_Industry!S81+Rebate_Industry!S95+Rebate_Industry!S109+Rebate_Industry!S123)</f>
        <v>0</v>
      </c>
      <c r="T1562">
        <f>Rebate_Industry!T78-(Rebate_Industry!T81+Rebate_Industry!T95+Rebate_Industry!T109+Rebate_Industry!T123)</f>
        <v>0</v>
      </c>
      <c r="U1562">
        <f>Rebate_Industry!U78-(Rebate_Industry!U81+Rebate_Industry!U95+Rebate_Industry!U109+Rebate_Industry!U123)</f>
        <v>0</v>
      </c>
      <c r="V1562">
        <f>Rebate_Industry!V78-(Rebate_Industry!V81+Rebate_Industry!V95+Rebate_Industry!V109+Rebate_Industry!V123)</f>
        <v>0</v>
      </c>
      <c r="W1562">
        <f>Rebate_Industry!W78-(Rebate_Industry!W81+Rebate_Industry!W95+Rebate_Industry!W109+Rebate_Industry!W123)</f>
        <v>0</v>
      </c>
      <c r="X1562">
        <f>Rebate_Industry!X78-(Rebate_Industry!X81+Rebate_Industry!X95+Rebate_Industry!X109+Rebate_Industry!X123)</f>
        <v>0</v>
      </c>
      <c r="Y1562">
        <f>Rebate_Industry!Y78-(Rebate_Industry!Y81+Rebate_Industry!Y95+Rebate_Industry!Y109+Rebate_Industry!Y123)</f>
        <v>0</v>
      </c>
      <c r="Z1562">
        <f>Rebate_Industry!Z78-(Rebate_Industry!Z81+Rebate_Industry!Z95+Rebate_Industry!Z109+Rebate_Industry!Z123)</f>
        <v>0</v>
      </c>
      <c r="AA1562">
        <f>Rebate_Industry!AA78-(Rebate_Industry!AA81+Rebate_Industry!AA95+Rebate_Industry!AA109+Rebate_Industry!AA123)</f>
        <v>0</v>
      </c>
      <c r="AB1562">
        <f>Rebate_Industry!AB78-(Rebate_Industry!AB81+Rebate_Industry!AB95+Rebate_Industry!AB109+Rebate_Industry!AB123)</f>
        <v>0</v>
      </c>
      <c r="AC1562">
        <f>Rebate_Industry!AC78-(Rebate_Industry!AC81+Rebate_Industry!AC95+Rebate_Industry!AC109+Rebate_Industry!AC123)</f>
        <v>0</v>
      </c>
      <c r="AD1562">
        <f>Rebate_Industry!AD78-(Rebate_Industry!AD81+Rebate_Industry!AD95+Rebate_Industry!AD109+Rebate_Industry!AD123)</f>
        <v>0</v>
      </c>
      <c r="AE1562">
        <f>Rebate_Industry!AE78-(Rebate_Industry!AE81+Rebate_Industry!AE95+Rebate_Industry!AE109+Rebate_Industry!AE123)</f>
        <v>0</v>
      </c>
    </row>
    <row r="1563" spans="1:35" x14ac:dyDescent="0.45">
      <c r="A1563" t="s">
        <v>2440</v>
      </c>
      <c r="D1563">
        <v>1</v>
      </c>
      <c r="E1563" t="s">
        <v>1161</v>
      </c>
      <c r="F1563">
        <f>MAX(MAX(L1563:AE1563),-MIN(L1563:AE1563))</f>
        <v>0</v>
      </c>
      <c r="I1563">
        <v>0</v>
      </c>
      <c r="L1563">
        <f>Rebate_Industry!L139-(Rebate_Industry!L137-Rebate_Industry!L78)</f>
        <v>0</v>
      </c>
      <c r="M1563">
        <f>Rebate_Industry!M139-(Rebate_Industry!M137-Rebate_Industry!M78)</f>
        <v>0</v>
      </c>
      <c r="N1563">
        <f>Rebate_Industry!N139-(Rebate_Industry!N137-Rebate_Industry!N78)</f>
        <v>0</v>
      </c>
      <c r="O1563">
        <f>Rebate_Industry!O139-(Rebate_Industry!O137-Rebate_Industry!O78)</f>
        <v>0</v>
      </c>
      <c r="P1563">
        <f>Rebate_Industry!P139-(Rebate_Industry!P137-Rebate_Industry!P78)</f>
        <v>0</v>
      </c>
      <c r="Q1563">
        <f>Rebate_Industry!Q139-(Rebate_Industry!Q137-Rebate_Industry!Q78)</f>
        <v>0</v>
      </c>
      <c r="R1563">
        <f>Rebate_Industry!R139-(Rebate_Industry!R137-Rebate_Industry!R78)</f>
        <v>0</v>
      </c>
      <c r="S1563">
        <f>Rebate_Industry!S139-(Rebate_Industry!S137-Rebate_Industry!S78)</f>
        <v>0</v>
      </c>
      <c r="T1563">
        <f>Rebate_Industry!T139-(Rebate_Industry!T137-Rebate_Industry!T78)</f>
        <v>0</v>
      </c>
      <c r="U1563">
        <f>Rebate_Industry!U139-(Rebate_Industry!U137-Rebate_Industry!U78)</f>
        <v>0</v>
      </c>
      <c r="V1563">
        <f>Rebate_Industry!V139-(Rebate_Industry!V137-Rebate_Industry!V78)</f>
        <v>0</v>
      </c>
      <c r="W1563">
        <f>Rebate_Industry!W139-(Rebate_Industry!W137-Rebate_Industry!W78)</f>
        <v>0</v>
      </c>
      <c r="X1563">
        <f>Rebate_Industry!X139-(Rebate_Industry!X137-Rebate_Industry!X78)</f>
        <v>0</v>
      </c>
      <c r="Y1563">
        <f>Rebate_Industry!Y139-(Rebate_Industry!Y137-Rebate_Industry!Y78)</f>
        <v>0</v>
      </c>
      <c r="Z1563">
        <f>Rebate_Industry!Z139-(Rebate_Industry!Z137-Rebate_Industry!Z78)</f>
        <v>0</v>
      </c>
      <c r="AA1563">
        <f>Rebate_Industry!AA139-(Rebate_Industry!AA137-Rebate_Industry!AA78)</f>
        <v>0</v>
      </c>
      <c r="AB1563">
        <f>Rebate_Industry!AB139-(Rebate_Industry!AB137-Rebate_Industry!AB78)</f>
        <v>0</v>
      </c>
      <c r="AC1563">
        <f>Rebate_Industry!AC139-(Rebate_Industry!AC137-Rebate_Industry!AC78)</f>
        <v>0</v>
      </c>
      <c r="AD1563">
        <f>Rebate_Industry!AD139-(Rebate_Industry!AD137-Rebate_Industry!AD78)</f>
        <v>0</v>
      </c>
      <c r="AE1563">
        <f>Rebate_Industry!AE139-(Rebate_Industry!AE137-Rebate_Industry!AE78)</f>
        <v>0</v>
      </c>
    </row>
    <row r="1564" spans="1:35" x14ac:dyDescent="0.45">
      <c r="A1564" t="s">
        <v>2431</v>
      </c>
      <c r="D1564">
        <v>2</v>
      </c>
      <c r="E1564" t="s">
        <v>1161</v>
      </c>
      <c r="F1564">
        <f>MAX(MAX(L1564:AE1564),-MIN(L1564:AE1564))</f>
        <v>0</v>
      </c>
      <c r="I1564">
        <v>0</v>
      </c>
      <c r="L1564">
        <f>SUMPRODUCT(ABS(Rebate_Industry!L179:L186))*(Rebate_Industry!L145=0)</f>
        <v>0</v>
      </c>
      <c r="M1564">
        <f>SUMPRODUCT(ABS(Rebate_Industry!M179:M186))*(Rebate_Industry!M145=0)</f>
        <v>0</v>
      </c>
      <c r="N1564">
        <f>SUMPRODUCT(ABS(Rebate_Industry!N179:N186))*(Rebate_Industry!N145=0)</f>
        <v>0</v>
      </c>
      <c r="O1564">
        <f>SUMPRODUCT(ABS(Rebate_Industry!O179:O186))*(Rebate_Industry!O145=0)</f>
        <v>0</v>
      </c>
      <c r="P1564">
        <f>SUMPRODUCT(ABS(Rebate_Industry!P179:P186))*(Rebate_Industry!P145=0)</f>
        <v>0</v>
      </c>
      <c r="Q1564">
        <f>SUMPRODUCT(ABS(Rebate_Industry!Q179:Q186))*(Rebate_Industry!Q145=0)</f>
        <v>0</v>
      </c>
      <c r="R1564">
        <f>SUMPRODUCT(ABS(Rebate_Industry!R179:R186))*(Rebate_Industry!R145=0)</f>
        <v>0</v>
      </c>
      <c r="S1564">
        <f>SUMPRODUCT(ABS(Rebate_Industry!S179:S186))*(Rebate_Industry!S145=0)</f>
        <v>0</v>
      </c>
      <c r="T1564">
        <f>SUMPRODUCT(ABS(Rebate_Industry!T179:T186))*(Rebate_Industry!T145=0)</f>
        <v>0</v>
      </c>
      <c r="U1564">
        <f>SUMPRODUCT(ABS(Rebate_Industry!U179:U186))*(Rebate_Industry!U145=0)</f>
        <v>0</v>
      </c>
      <c r="V1564">
        <f>SUMPRODUCT(ABS(Rebate_Industry!V179:V186))*(Rebate_Industry!V145=0)</f>
        <v>0</v>
      </c>
      <c r="W1564">
        <f>SUMPRODUCT(ABS(Rebate_Industry!W179:W186))*(Rebate_Industry!W145=0)</f>
        <v>0</v>
      </c>
      <c r="X1564">
        <f>SUMPRODUCT(ABS(Rebate_Industry!X179:X186))*(Rebate_Industry!X145=0)</f>
        <v>0</v>
      </c>
      <c r="Y1564">
        <f>SUMPRODUCT(ABS(Rebate_Industry!Y179:Y186))*(Rebate_Industry!Y145=0)</f>
        <v>0</v>
      </c>
      <c r="Z1564">
        <f>SUMPRODUCT(ABS(Rebate_Industry!Z179:Z186))*(Rebate_Industry!Z145=0)</f>
        <v>0</v>
      </c>
      <c r="AA1564">
        <f>SUMPRODUCT(ABS(Rebate_Industry!AA179:AA186))*(Rebate_Industry!AA145=0)</f>
        <v>0</v>
      </c>
      <c r="AB1564">
        <f>SUMPRODUCT(ABS(Rebate_Industry!AB179:AB186))*(Rebate_Industry!AB145=0)</f>
        <v>0</v>
      </c>
      <c r="AC1564">
        <f>SUMPRODUCT(ABS(Rebate_Industry!AC179:AC186))*(Rebate_Industry!AC145=0)</f>
        <v>0</v>
      </c>
      <c r="AD1564">
        <f>SUMPRODUCT(ABS(Rebate_Industry!AD179:AD186))*(Rebate_Industry!AD145=0)</f>
        <v>0</v>
      </c>
      <c r="AE1564">
        <f>SUMPRODUCT(ABS(Rebate_Industry!AE179:AE186))*(Rebate_Industry!AE145=0)</f>
        <v>0</v>
      </c>
    </row>
    <row r="1565" spans="1:35" x14ac:dyDescent="0.45">
      <c r="A1565" t="s">
        <v>2432</v>
      </c>
      <c r="D1565">
        <v>2</v>
      </c>
      <c r="E1565" t="s">
        <v>2167</v>
      </c>
      <c r="F1565">
        <f t="shared" ref="F1565:F1570" si="360">SUM(L1565:AE1565)</f>
        <v>0</v>
      </c>
      <c r="I1565">
        <v>0</v>
      </c>
      <c r="L1565">
        <f>SUMPRODUCT((Rebate_Industry!L189:L196&lt;-0.000000001)+(Rebate_Industry!L189:L196&gt;Rebate_Industry!L159:L166+0.000000001))</f>
        <v>0</v>
      </c>
      <c r="M1565">
        <f>SUMPRODUCT((Rebate_Industry!M189:M196&lt;-0.000000001)+(Rebate_Industry!M189:M196&gt;Rebate_Industry!M159:M166+0.000000001))</f>
        <v>0</v>
      </c>
      <c r="N1565">
        <f>SUMPRODUCT((Rebate_Industry!N189:N196&lt;-0.000000001)+(Rebate_Industry!N189:N196&gt;Rebate_Industry!N159:N166+0.000000001))</f>
        <v>0</v>
      </c>
      <c r="O1565">
        <f>SUMPRODUCT((Rebate_Industry!O189:O196&lt;-0.000000001)+(Rebate_Industry!O189:O196&gt;Rebate_Industry!O159:O166+0.000000001))</f>
        <v>0</v>
      </c>
      <c r="P1565">
        <f>SUMPRODUCT((Rebate_Industry!P189:P196&lt;-0.000000001)+(Rebate_Industry!P189:P196&gt;Rebate_Industry!P159:P166+0.000000001))</f>
        <v>0</v>
      </c>
      <c r="Q1565">
        <f>SUMPRODUCT((Rebate_Industry!Q189:Q196&lt;-0.000000001)+(Rebate_Industry!Q189:Q196&gt;Rebate_Industry!Q159:Q166+0.000000001))</f>
        <v>0</v>
      </c>
      <c r="R1565">
        <f>SUMPRODUCT((Rebate_Industry!R189:R196&lt;-0.000000001)+(Rebate_Industry!R189:R196&gt;Rebate_Industry!R159:R166+0.000000001))</f>
        <v>0</v>
      </c>
      <c r="S1565">
        <f>SUMPRODUCT((Rebate_Industry!S189:S196&lt;-0.000000001)+(Rebate_Industry!S189:S196&gt;Rebate_Industry!S159:S166+0.000000001))</f>
        <v>0</v>
      </c>
      <c r="T1565">
        <f>SUMPRODUCT((Rebate_Industry!T189:T196&lt;-0.000000001)+(Rebate_Industry!T189:T196&gt;Rebate_Industry!T159:T166+0.000000001))</f>
        <v>0</v>
      </c>
      <c r="U1565">
        <f>SUMPRODUCT((Rebate_Industry!U189:U196&lt;-0.000000001)+(Rebate_Industry!U189:U196&gt;Rebate_Industry!U159:U166+0.000000001))</f>
        <v>0</v>
      </c>
      <c r="V1565">
        <f>SUMPRODUCT((Rebate_Industry!V189:V196&lt;-0.000000001)+(Rebate_Industry!V189:V196&gt;Rebate_Industry!V159:V166+0.000000001))</f>
        <v>0</v>
      </c>
      <c r="W1565">
        <f>SUMPRODUCT((Rebate_Industry!W189:W196&lt;-0.000000001)+(Rebate_Industry!W189:W196&gt;Rebate_Industry!W159:W166+0.000000001))</f>
        <v>0</v>
      </c>
      <c r="X1565">
        <f>SUMPRODUCT((Rebate_Industry!X189:X196&lt;-0.000000001)+(Rebate_Industry!X189:X196&gt;Rebate_Industry!X159:X166+0.000000001))</f>
        <v>0</v>
      </c>
      <c r="Y1565">
        <f>SUMPRODUCT((Rebate_Industry!Y189:Y196&lt;-0.000000001)+(Rebate_Industry!Y189:Y196&gt;Rebate_Industry!Y159:Y166+0.000000001))</f>
        <v>0</v>
      </c>
      <c r="Z1565">
        <f>SUMPRODUCT((Rebate_Industry!Z189:Z196&lt;-0.000000001)+(Rebate_Industry!Z189:Z196&gt;Rebate_Industry!Z159:Z166+0.000000001))</f>
        <v>0</v>
      </c>
      <c r="AA1565">
        <f>SUMPRODUCT((Rebate_Industry!AA189:AA196&lt;-0.000000001)+(Rebate_Industry!AA189:AA196&gt;Rebate_Industry!AA159:AA166+0.000000001))</f>
        <v>0</v>
      </c>
      <c r="AB1565">
        <f>SUMPRODUCT((Rebate_Industry!AB189:AB196&lt;-0.000000001)+(Rebate_Industry!AB189:AB196&gt;Rebate_Industry!AB159:AB166+0.000000001))</f>
        <v>0</v>
      </c>
      <c r="AC1565">
        <f>SUMPRODUCT((Rebate_Industry!AC189:AC196&lt;-0.000000001)+(Rebate_Industry!AC189:AC196&gt;Rebate_Industry!AC159:AC166+0.000000001))</f>
        <v>0</v>
      </c>
      <c r="AD1565">
        <f>SUMPRODUCT((Rebate_Industry!AD189:AD196&lt;-0.000000001)+(Rebate_Industry!AD189:AD196&gt;Rebate_Industry!AD159:AD166+0.000000001))</f>
        <v>0</v>
      </c>
      <c r="AE1565">
        <f>SUMPRODUCT((Rebate_Industry!AE189:AE196&lt;-0.000000001)+(Rebate_Industry!AE189:AE196&gt;Rebate_Industry!AE159:AE166+0.000000001))</f>
        <v>0</v>
      </c>
    </row>
    <row r="1566" spans="1:35" x14ac:dyDescent="0.45">
      <c r="A1566" t="s">
        <v>2433</v>
      </c>
      <c r="D1566">
        <v>2</v>
      </c>
      <c r="E1566" t="s">
        <v>2167</v>
      </c>
      <c r="F1566">
        <f t="shared" si="360"/>
        <v>0</v>
      </c>
      <c r="I1566">
        <v>0</v>
      </c>
      <c r="L1566">
        <f>SUMPRODUCT((Rebate_Industry!L223:L231&gt;Mitigation_Industry!L416:L424+0.000000001)+(Rebate_Industry!L223:L231&lt;Mitigation_Industry!L406:L414-0.000000001))</f>
        <v>0</v>
      </c>
      <c r="M1566">
        <f>SUMPRODUCT((Rebate_Industry!M223:M231&gt;Mitigation_Industry!M416:M424+0.000000001)+(Rebate_Industry!M223:M231&lt;Mitigation_Industry!M406:M414-0.000000001))</f>
        <v>0</v>
      </c>
      <c r="N1566">
        <f>SUMPRODUCT((Rebate_Industry!N223:N231&gt;Mitigation_Industry!N416:N424+0.000000001)+(Rebate_Industry!N223:N231&lt;Mitigation_Industry!N406:N414-0.000000001))</f>
        <v>0</v>
      </c>
      <c r="O1566">
        <f>SUMPRODUCT((Rebate_Industry!O223:O231&gt;Mitigation_Industry!O416:O424+0.000000001)+(Rebate_Industry!O223:O231&lt;Mitigation_Industry!O406:O414-0.000000001))</f>
        <v>0</v>
      </c>
      <c r="P1566">
        <f>SUMPRODUCT((Rebate_Industry!P223:P231&gt;Mitigation_Industry!P416:P424+0.000000001)+(Rebate_Industry!P223:P231&lt;Mitigation_Industry!P406:P414-0.000000001))</f>
        <v>0</v>
      </c>
      <c r="Q1566">
        <f>SUMPRODUCT((Rebate_Industry!Q223:Q231&gt;Mitigation_Industry!Q416:Q424+0.000000001)+(Rebate_Industry!Q223:Q231&lt;Mitigation_Industry!Q406:Q414-0.000000001))</f>
        <v>0</v>
      </c>
      <c r="R1566">
        <f>SUMPRODUCT((Rebate_Industry!R223:R231&gt;Mitigation_Industry!R416:R424+0.000000001)+(Rebate_Industry!R223:R231&lt;Mitigation_Industry!R406:R414-0.000000001))</f>
        <v>0</v>
      </c>
      <c r="S1566">
        <f>SUMPRODUCT((Rebate_Industry!S223:S231&gt;Mitigation_Industry!S416:S424+0.000000001)+(Rebate_Industry!S223:S231&lt;Mitigation_Industry!S406:S414-0.000000001))</f>
        <v>0</v>
      </c>
      <c r="T1566">
        <f>SUMPRODUCT((Rebate_Industry!T223:T231&gt;Mitigation_Industry!T416:T424+0.000000001)+(Rebate_Industry!T223:T231&lt;Mitigation_Industry!T406:T414-0.000000001))</f>
        <v>0</v>
      </c>
      <c r="U1566">
        <f>SUMPRODUCT((Rebate_Industry!U223:U231&gt;Mitigation_Industry!U416:U424+0.000000001)+(Rebate_Industry!U223:U231&lt;Mitigation_Industry!U406:U414-0.000000001))</f>
        <v>0</v>
      </c>
      <c r="V1566">
        <f>SUMPRODUCT((Rebate_Industry!V223:V231&gt;Mitigation_Industry!V416:V424+0.000000001)+(Rebate_Industry!V223:V231&lt;Mitigation_Industry!V406:V414-0.000000001))</f>
        <v>0</v>
      </c>
      <c r="W1566">
        <f>SUMPRODUCT((Rebate_Industry!W223:W231&gt;Mitigation_Industry!W416:W424+0.000000001)+(Rebate_Industry!W223:W231&lt;Mitigation_Industry!W406:W414-0.000000001))</f>
        <v>0</v>
      </c>
      <c r="X1566">
        <f>SUMPRODUCT((Rebate_Industry!X223:X231&gt;Mitigation_Industry!X416:X424+0.000000001)+(Rebate_Industry!X223:X231&lt;Mitigation_Industry!X406:X414-0.000000001))</f>
        <v>0</v>
      </c>
      <c r="Y1566">
        <f>SUMPRODUCT((Rebate_Industry!Y223:Y231&gt;Mitigation_Industry!Y416:Y424+0.000000001)+(Rebate_Industry!Y223:Y231&lt;Mitigation_Industry!Y406:Y414-0.000000001))</f>
        <v>0</v>
      </c>
      <c r="Z1566">
        <f>SUMPRODUCT((Rebate_Industry!Z223:Z231&gt;Mitigation_Industry!Z416:Z424+0.000000001)+(Rebate_Industry!Z223:Z231&lt;Mitigation_Industry!Z406:Z414-0.000000001))</f>
        <v>0</v>
      </c>
      <c r="AA1566">
        <f>SUMPRODUCT((Rebate_Industry!AA223:AA231&gt;Mitigation_Industry!AA416:AA424+0.000000001)+(Rebate_Industry!AA223:AA231&lt;Mitigation_Industry!AA406:AA414-0.000000001))</f>
        <v>0</v>
      </c>
      <c r="AB1566">
        <f>SUMPRODUCT((Rebate_Industry!AB223:AB231&gt;Mitigation_Industry!AB416:AB424+0.000000001)+(Rebate_Industry!AB223:AB231&lt;Mitigation_Industry!AB406:AB414-0.000000001))</f>
        <v>0</v>
      </c>
      <c r="AC1566">
        <f>SUMPRODUCT((Rebate_Industry!AC223:AC231&gt;Mitigation_Industry!AC416:AC424+0.000000001)+(Rebate_Industry!AC223:AC231&lt;Mitigation_Industry!AC406:AC414-0.000000001))</f>
        <v>0</v>
      </c>
      <c r="AD1566">
        <f>SUMPRODUCT((Rebate_Industry!AD223:AD231&gt;Mitigation_Industry!AD416:AD424+0.000000001)+(Rebate_Industry!AD223:AD231&lt;Mitigation_Industry!AD406:AD414-0.000000001))</f>
        <v>0</v>
      </c>
      <c r="AE1566">
        <f>SUMPRODUCT((Rebate_Industry!AE223:AE231&gt;Mitigation_Industry!AE416:AE424+0.000000001)+(Rebate_Industry!AE223:AE231&lt;Mitigation_Industry!AE406:AE414-0.000000001))</f>
        <v>0</v>
      </c>
    </row>
    <row r="1567" spans="1:35" x14ac:dyDescent="0.45">
      <c r="A1567" t="s">
        <v>2434</v>
      </c>
      <c r="D1567">
        <v>2</v>
      </c>
      <c r="E1567" t="s">
        <v>2167</v>
      </c>
      <c r="F1567">
        <f t="shared" si="360"/>
        <v>0</v>
      </c>
      <c r="I1567">
        <v>0</v>
      </c>
      <c r="L1567">
        <f>SUMPRODUCT((Rebate_Industry!L237:L245&gt;Mitigation_Industry!L476:L484+0.000000001)+(Rebate_Industry!L237:L245&lt;Mitigation_Industry!L466:L474-0.000000001))</f>
        <v>0</v>
      </c>
      <c r="M1567">
        <f>SUMPRODUCT((Rebate_Industry!M237:M245&gt;Mitigation_Industry!M476:M484+0.000000001)+(Rebate_Industry!M237:M245&lt;Mitigation_Industry!M466:M474-0.000000001))</f>
        <v>0</v>
      </c>
      <c r="N1567">
        <f>SUMPRODUCT((Rebate_Industry!N237:N245&gt;Mitigation_Industry!N476:N484+0.000000001)+(Rebate_Industry!N237:N245&lt;Mitigation_Industry!N466:N474-0.000000001))</f>
        <v>0</v>
      </c>
      <c r="O1567">
        <f>SUMPRODUCT((Rebate_Industry!O237:O245&gt;Mitigation_Industry!O476:O484+0.000000001)+(Rebate_Industry!O237:O245&lt;Mitigation_Industry!O466:O474-0.000000001))</f>
        <v>0</v>
      </c>
      <c r="P1567">
        <f>SUMPRODUCT((Rebate_Industry!P237:P245&gt;Mitigation_Industry!P476:P484+0.000000001)+(Rebate_Industry!P237:P245&lt;Mitigation_Industry!P466:P474-0.000000001))</f>
        <v>0</v>
      </c>
      <c r="Q1567">
        <f>SUMPRODUCT((Rebate_Industry!Q237:Q245&gt;Mitigation_Industry!Q476:Q484+0.000000001)+(Rebate_Industry!Q237:Q245&lt;Mitigation_Industry!Q466:Q474-0.000000001))</f>
        <v>0</v>
      </c>
      <c r="R1567">
        <f>SUMPRODUCT((Rebate_Industry!R237:R245&gt;Mitigation_Industry!R476:R484+0.000000001)+(Rebate_Industry!R237:R245&lt;Mitigation_Industry!R466:R474-0.000000001))</f>
        <v>0</v>
      </c>
      <c r="S1567">
        <f>SUMPRODUCT((Rebate_Industry!S237:S245&gt;Mitigation_Industry!S476:S484+0.000000001)+(Rebate_Industry!S237:S245&lt;Mitigation_Industry!S466:S474-0.000000001))</f>
        <v>0</v>
      </c>
      <c r="T1567">
        <f>SUMPRODUCT((Rebate_Industry!T237:T245&gt;Mitigation_Industry!T476:T484+0.000000001)+(Rebate_Industry!T237:T245&lt;Mitigation_Industry!T466:T474-0.000000001))</f>
        <v>0</v>
      </c>
      <c r="U1567">
        <f>SUMPRODUCT((Rebate_Industry!U237:U245&gt;Mitigation_Industry!U476:U484+0.000000001)+(Rebate_Industry!U237:U245&lt;Mitigation_Industry!U466:U474-0.000000001))</f>
        <v>0</v>
      </c>
      <c r="V1567">
        <f>SUMPRODUCT((Rebate_Industry!V237:V245&gt;Mitigation_Industry!V476:V484+0.000000001)+(Rebate_Industry!V237:V245&lt;Mitigation_Industry!V466:V474-0.000000001))</f>
        <v>0</v>
      </c>
      <c r="W1567">
        <f>SUMPRODUCT((Rebate_Industry!W237:W245&gt;Mitigation_Industry!W476:W484+0.000000001)+(Rebate_Industry!W237:W245&lt;Mitigation_Industry!W466:W474-0.000000001))</f>
        <v>0</v>
      </c>
      <c r="X1567">
        <f>SUMPRODUCT((Rebate_Industry!X237:X245&gt;Mitigation_Industry!X476:X484+0.000000001)+(Rebate_Industry!X237:X245&lt;Mitigation_Industry!X466:X474-0.000000001))</f>
        <v>0</v>
      </c>
      <c r="Y1567">
        <f>SUMPRODUCT((Rebate_Industry!Y237:Y245&gt;Mitigation_Industry!Y476:Y484+0.000000001)+(Rebate_Industry!Y237:Y245&lt;Mitigation_Industry!Y466:Y474-0.000000001))</f>
        <v>0</v>
      </c>
      <c r="Z1567">
        <f>SUMPRODUCT((Rebate_Industry!Z237:Z245&gt;Mitigation_Industry!Z476:Z484+0.000000001)+(Rebate_Industry!Z237:Z245&lt;Mitigation_Industry!Z466:Z474-0.000000001))</f>
        <v>0</v>
      </c>
      <c r="AA1567">
        <f>SUMPRODUCT((Rebate_Industry!AA237:AA245&gt;Mitigation_Industry!AA476:AA484+0.000000001)+(Rebate_Industry!AA237:AA245&lt;Mitigation_Industry!AA466:AA474-0.000000001))</f>
        <v>0</v>
      </c>
      <c r="AB1567">
        <f>SUMPRODUCT((Rebate_Industry!AB237:AB245&gt;Mitigation_Industry!AB476:AB484+0.000000001)+(Rebate_Industry!AB237:AB245&lt;Mitigation_Industry!AB466:AB474-0.000000001))</f>
        <v>0</v>
      </c>
      <c r="AC1567">
        <f>SUMPRODUCT((Rebate_Industry!AC237:AC245&gt;Mitigation_Industry!AC476:AC484+0.000000001)+(Rebate_Industry!AC237:AC245&lt;Mitigation_Industry!AC466:AC474-0.000000001))</f>
        <v>0</v>
      </c>
      <c r="AD1567">
        <f>SUMPRODUCT((Rebate_Industry!AD237:AD245&gt;Mitigation_Industry!AD476:AD484+0.000000001)+(Rebate_Industry!AD237:AD245&lt;Mitigation_Industry!AD466:AD474-0.000000001))</f>
        <v>0</v>
      </c>
      <c r="AE1567">
        <f>SUMPRODUCT((Rebate_Industry!AE237:AE245&gt;Mitigation_Industry!AE476:AE484+0.000000001)+(Rebate_Industry!AE237:AE245&lt;Mitigation_Industry!AE466:AE474-0.000000001))</f>
        <v>0</v>
      </c>
    </row>
    <row r="1568" spans="1:35" x14ac:dyDescent="0.45">
      <c r="A1568" t="s">
        <v>2435</v>
      </c>
      <c r="D1568">
        <v>2</v>
      </c>
      <c r="E1568" t="s">
        <v>2167</v>
      </c>
      <c r="F1568">
        <f t="shared" si="360"/>
        <v>0</v>
      </c>
      <c r="I1568">
        <v>0</v>
      </c>
      <c r="L1568">
        <f>SUMPRODUCT((Rebate_Industry!L251:L259&gt;Mitigation_Industry!L536:L544+0.000000001)+(Rebate_Industry!L251:L259&lt;Mitigation_Industry!L526:L534-0.000000001))</f>
        <v>0</v>
      </c>
      <c r="M1568">
        <f>SUMPRODUCT((Rebate_Industry!M251:M259&gt;Mitigation_Industry!M536:M544+0.000000001)+(Rebate_Industry!M251:M259&lt;Mitigation_Industry!M526:M534-0.000000001))</f>
        <v>0</v>
      </c>
      <c r="N1568">
        <f>SUMPRODUCT((Rebate_Industry!N251:N259&gt;Mitigation_Industry!N536:N544+0.000000001)+(Rebate_Industry!N251:N259&lt;Mitigation_Industry!N526:N534-0.000000001))</f>
        <v>0</v>
      </c>
      <c r="O1568">
        <f>SUMPRODUCT((Rebate_Industry!O251:O259&gt;Mitigation_Industry!O536:O544+0.000000001)+(Rebate_Industry!O251:O259&lt;Mitigation_Industry!O526:O534-0.000000001))</f>
        <v>0</v>
      </c>
      <c r="P1568">
        <f>SUMPRODUCT((Rebate_Industry!P251:P259&gt;Mitigation_Industry!P536:P544+0.000000001)+(Rebate_Industry!P251:P259&lt;Mitigation_Industry!P526:P534-0.000000001))</f>
        <v>0</v>
      </c>
      <c r="Q1568">
        <f>SUMPRODUCT((Rebate_Industry!Q251:Q259&gt;Mitigation_Industry!Q536:Q544+0.000000001)+(Rebate_Industry!Q251:Q259&lt;Mitigation_Industry!Q526:Q534-0.000000001))</f>
        <v>0</v>
      </c>
      <c r="R1568">
        <f>SUMPRODUCT((Rebate_Industry!R251:R259&gt;Mitigation_Industry!R536:R544+0.000000001)+(Rebate_Industry!R251:R259&lt;Mitigation_Industry!R526:R534-0.000000001))</f>
        <v>0</v>
      </c>
      <c r="S1568">
        <f>SUMPRODUCT((Rebate_Industry!S251:S259&gt;Mitigation_Industry!S536:S544+0.000000001)+(Rebate_Industry!S251:S259&lt;Mitigation_Industry!S526:S534-0.000000001))</f>
        <v>0</v>
      </c>
      <c r="T1568">
        <f>SUMPRODUCT((Rebate_Industry!T251:T259&gt;Mitigation_Industry!T536:T544+0.000000001)+(Rebate_Industry!T251:T259&lt;Mitigation_Industry!T526:T534-0.000000001))</f>
        <v>0</v>
      </c>
      <c r="U1568">
        <f>SUMPRODUCT((Rebate_Industry!U251:U259&gt;Mitigation_Industry!U536:U544+0.000000001)+(Rebate_Industry!U251:U259&lt;Mitigation_Industry!U526:U534-0.000000001))</f>
        <v>0</v>
      </c>
      <c r="V1568">
        <f>SUMPRODUCT((Rebate_Industry!V251:V259&gt;Mitigation_Industry!V536:V544+0.000000001)+(Rebate_Industry!V251:V259&lt;Mitigation_Industry!V526:V534-0.000000001))</f>
        <v>0</v>
      </c>
      <c r="W1568">
        <f>SUMPRODUCT((Rebate_Industry!W251:W259&gt;Mitigation_Industry!W536:W544+0.000000001)+(Rebate_Industry!W251:W259&lt;Mitigation_Industry!W526:W534-0.000000001))</f>
        <v>0</v>
      </c>
      <c r="X1568">
        <f>SUMPRODUCT((Rebate_Industry!X251:X259&gt;Mitigation_Industry!X536:X544+0.000000001)+(Rebate_Industry!X251:X259&lt;Mitigation_Industry!X526:X534-0.000000001))</f>
        <v>0</v>
      </c>
      <c r="Y1568">
        <f>SUMPRODUCT((Rebate_Industry!Y251:Y259&gt;Mitigation_Industry!Y536:Y544+0.000000001)+(Rebate_Industry!Y251:Y259&lt;Mitigation_Industry!Y526:Y534-0.000000001))</f>
        <v>0</v>
      </c>
      <c r="Z1568">
        <f>SUMPRODUCT((Rebate_Industry!Z251:Z259&gt;Mitigation_Industry!Z536:Z544+0.000000001)+(Rebate_Industry!Z251:Z259&lt;Mitigation_Industry!Z526:Z534-0.000000001))</f>
        <v>0</v>
      </c>
      <c r="AA1568">
        <f>SUMPRODUCT((Rebate_Industry!AA251:AA259&gt;Mitigation_Industry!AA536:AA544+0.000000001)+(Rebate_Industry!AA251:AA259&lt;Mitigation_Industry!AA526:AA534-0.000000001))</f>
        <v>0</v>
      </c>
      <c r="AB1568">
        <f>SUMPRODUCT((Rebate_Industry!AB251:AB259&gt;Mitigation_Industry!AB536:AB544+0.000000001)+(Rebate_Industry!AB251:AB259&lt;Mitigation_Industry!AB526:AB534-0.000000001))</f>
        <v>0</v>
      </c>
      <c r="AC1568">
        <f>SUMPRODUCT((Rebate_Industry!AC251:AC259&gt;Mitigation_Industry!AC536:AC544+0.000000001)+(Rebate_Industry!AC251:AC259&lt;Mitigation_Industry!AC526:AC534-0.000000001))</f>
        <v>0</v>
      </c>
      <c r="AD1568">
        <f>SUMPRODUCT((Rebate_Industry!AD251:AD259&gt;Mitigation_Industry!AD536:AD544+0.000000001)+(Rebate_Industry!AD251:AD259&lt;Mitigation_Industry!AD526:AD534-0.000000001))</f>
        <v>0</v>
      </c>
      <c r="AE1568">
        <f>SUMPRODUCT((Rebate_Industry!AE251:AE259&gt;Mitigation_Industry!AE536:AE544+0.000000001)+(Rebate_Industry!AE251:AE259&lt;Mitigation_Industry!AE526:AE534-0.000000001))</f>
        <v>0</v>
      </c>
    </row>
    <row r="1569" spans="1:31" x14ac:dyDescent="0.45">
      <c r="A1569" t="s">
        <v>2436</v>
      </c>
      <c r="D1569">
        <v>2</v>
      </c>
      <c r="E1569" t="s">
        <v>2167</v>
      </c>
      <c r="F1569">
        <f t="shared" si="360"/>
        <v>0</v>
      </c>
      <c r="I1569">
        <v>0</v>
      </c>
      <c r="L1569">
        <f>SUMPRODUCT((Rebate_Industry!L265:L273&gt;Mitigation_Industry!L596:L604+0.000000001)+(Rebate_Industry!L265:L273&lt;Mitigation_Industry!L586:L594-0.000000001))</f>
        <v>0</v>
      </c>
      <c r="M1569">
        <f>SUMPRODUCT((Rebate_Industry!M265:M273&gt;Mitigation_Industry!M596:M604+0.000000001)+(Rebate_Industry!M265:M273&lt;Mitigation_Industry!M586:M594-0.000000001))</f>
        <v>0</v>
      </c>
      <c r="N1569">
        <f>SUMPRODUCT((Rebate_Industry!N265:N273&gt;Mitigation_Industry!N596:N604+0.000000001)+(Rebate_Industry!N265:N273&lt;Mitigation_Industry!N586:N594-0.000000001))</f>
        <v>0</v>
      </c>
      <c r="O1569">
        <f>SUMPRODUCT((Rebate_Industry!O265:O273&gt;Mitigation_Industry!O596:O604+0.000000001)+(Rebate_Industry!O265:O273&lt;Mitigation_Industry!O586:O594-0.000000001))</f>
        <v>0</v>
      </c>
      <c r="P1569">
        <f>SUMPRODUCT((Rebate_Industry!P265:P273&gt;Mitigation_Industry!P596:P604+0.000000001)+(Rebate_Industry!P265:P273&lt;Mitigation_Industry!P586:P594-0.000000001))</f>
        <v>0</v>
      </c>
      <c r="Q1569">
        <f>SUMPRODUCT((Rebate_Industry!Q265:Q273&gt;Mitigation_Industry!Q596:Q604+0.000000001)+(Rebate_Industry!Q265:Q273&lt;Mitigation_Industry!Q586:Q594-0.000000001))</f>
        <v>0</v>
      </c>
      <c r="R1569">
        <f>SUMPRODUCT((Rebate_Industry!R265:R273&gt;Mitigation_Industry!R596:R604+0.000000001)+(Rebate_Industry!R265:R273&lt;Mitigation_Industry!R586:R594-0.000000001))</f>
        <v>0</v>
      </c>
      <c r="S1569">
        <f>SUMPRODUCT((Rebate_Industry!S265:S273&gt;Mitigation_Industry!S596:S604+0.000000001)+(Rebate_Industry!S265:S273&lt;Mitigation_Industry!S586:S594-0.000000001))</f>
        <v>0</v>
      </c>
      <c r="T1569">
        <f>SUMPRODUCT((Rebate_Industry!T265:T273&gt;Mitigation_Industry!T596:T604+0.000000001)+(Rebate_Industry!T265:T273&lt;Mitigation_Industry!T586:T594-0.000000001))</f>
        <v>0</v>
      </c>
      <c r="U1569">
        <f>SUMPRODUCT((Rebate_Industry!U265:U273&gt;Mitigation_Industry!U596:U604+0.000000001)+(Rebate_Industry!U265:U273&lt;Mitigation_Industry!U586:U594-0.000000001))</f>
        <v>0</v>
      </c>
      <c r="V1569">
        <f>SUMPRODUCT((Rebate_Industry!V265:V273&gt;Mitigation_Industry!V596:V604+0.000000001)+(Rebate_Industry!V265:V273&lt;Mitigation_Industry!V586:V594-0.000000001))</f>
        <v>0</v>
      </c>
      <c r="W1569">
        <f>SUMPRODUCT((Rebate_Industry!W265:W273&gt;Mitigation_Industry!W596:W604+0.000000001)+(Rebate_Industry!W265:W273&lt;Mitigation_Industry!W586:W594-0.000000001))</f>
        <v>0</v>
      </c>
      <c r="X1569">
        <f>SUMPRODUCT((Rebate_Industry!X265:X273&gt;Mitigation_Industry!X596:X604+0.000000001)+(Rebate_Industry!X265:X273&lt;Mitigation_Industry!X586:X594-0.000000001))</f>
        <v>0</v>
      </c>
      <c r="Y1569">
        <f>SUMPRODUCT((Rebate_Industry!Y265:Y273&gt;Mitigation_Industry!Y596:Y604+0.000000001)+(Rebate_Industry!Y265:Y273&lt;Mitigation_Industry!Y586:Y594-0.000000001))</f>
        <v>0</v>
      </c>
      <c r="Z1569">
        <f>SUMPRODUCT((Rebate_Industry!Z265:Z273&gt;Mitigation_Industry!Z596:Z604+0.000000001)+(Rebate_Industry!Z265:Z273&lt;Mitigation_Industry!Z586:Z594-0.000000001))</f>
        <v>0</v>
      </c>
      <c r="AA1569">
        <f>SUMPRODUCT((Rebate_Industry!AA265:AA273&gt;Mitigation_Industry!AA596:AA604+0.000000001)+(Rebate_Industry!AA265:AA273&lt;Mitigation_Industry!AA586:AA594-0.000000001))</f>
        <v>0</v>
      </c>
      <c r="AB1569">
        <f>SUMPRODUCT((Rebate_Industry!AB265:AB273&gt;Mitigation_Industry!AB596:AB604+0.000000001)+(Rebate_Industry!AB265:AB273&lt;Mitigation_Industry!AB586:AB594-0.000000001))</f>
        <v>0</v>
      </c>
      <c r="AC1569">
        <f>SUMPRODUCT((Rebate_Industry!AC265:AC273&gt;Mitigation_Industry!AC596:AC604+0.000000001)+(Rebate_Industry!AC265:AC273&lt;Mitigation_Industry!AC586:AC594-0.000000001))</f>
        <v>0</v>
      </c>
      <c r="AD1569">
        <f>SUMPRODUCT((Rebate_Industry!AD265:AD273&gt;Mitigation_Industry!AD596:AD604+0.000000001)+(Rebate_Industry!AD265:AD273&lt;Mitigation_Industry!AD586:AD594-0.000000001))</f>
        <v>0</v>
      </c>
      <c r="AE1569">
        <f>SUMPRODUCT((Rebate_Industry!AE265:AE273&gt;Mitigation_Industry!AE596:AE604+0.000000001)+(Rebate_Industry!AE265:AE273&lt;Mitigation_Industry!AE586:AE594-0.000000001))</f>
        <v>0</v>
      </c>
    </row>
    <row r="1570" spans="1:31" x14ac:dyDescent="0.45">
      <c r="A1570" t="s">
        <v>2437</v>
      </c>
      <c r="D1570">
        <v>2</v>
      </c>
      <c r="E1570" t="s">
        <v>2167</v>
      </c>
      <c r="F1570">
        <f t="shared" si="360"/>
        <v>0</v>
      </c>
      <c r="I1570">
        <v>0</v>
      </c>
      <c r="L1570">
        <f>(Rebate_Industry!L222&lt;0)+(Rebate_Industry!L222&gt;1)+(Rebate_Industry!L236&lt;0)+(Rebate_Industry!L236&gt;1)+(Rebate_Industry!L250&lt;0)+(Rebate_Industry!L250&gt;1)+(Rebate_Industry!L264&lt;0)+(Rebate_Industry!L264&gt;1)</f>
        <v>0</v>
      </c>
      <c r="M1570">
        <f>(Rebate_Industry!M222&lt;0)+(Rebate_Industry!M222&gt;1)+(Rebate_Industry!M236&lt;0)+(Rebate_Industry!M236&gt;1)+(Rebate_Industry!M250&lt;0)+(Rebate_Industry!M250&gt;1)+(Rebate_Industry!M264&lt;0)+(Rebate_Industry!M264&gt;1)</f>
        <v>0</v>
      </c>
      <c r="N1570">
        <f>(Rebate_Industry!N222&lt;0)+(Rebate_Industry!N222&gt;1)+(Rebate_Industry!N236&lt;0)+(Rebate_Industry!N236&gt;1)+(Rebate_Industry!N250&lt;0)+(Rebate_Industry!N250&gt;1)+(Rebate_Industry!N264&lt;0)+(Rebate_Industry!N264&gt;1)</f>
        <v>0</v>
      </c>
      <c r="O1570">
        <f>(Rebate_Industry!O222&lt;0)+(Rebate_Industry!O222&gt;1)+(Rebate_Industry!O236&lt;0)+(Rebate_Industry!O236&gt;1)+(Rebate_Industry!O250&lt;0)+(Rebate_Industry!O250&gt;1)+(Rebate_Industry!O264&lt;0)+(Rebate_Industry!O264&gt;1)</f>
        <v>0</v>
      </c>
      <c r="P1570">
        <f>(Rebate_Industry!P222&lt;0)+(Rebate_Industry!P222&gt;1)+(Rebate_Industry!P236&lt;0)+(Rebate_Industry!P236&gt;1)+(Rebate_Industry!P250&lt;0)+(Rebate_Industry!P250&gt;1)+(Rebate_Industry!P264&lt;0)+(Rebate_Industry!P264&gt;1)</f>
        <v>0</v>
      </c>
      <c r="Q1570">
        <f>(Rebate_Industry!Q222&lt;0)+(Rebate_Industry!Q222&gt;1)+(Rebate_Industry!Q236&lt;0)+(Rebate_Industry!Q236&gt;1)+(Rebate_Industry!Q250&lt;0)+(Rebate_Industry!Q250&gt;1)+(Rebate_Industry!Q264&lt;0)+(Rebate_Industry!Q264&gt;1)</f>
        <v>0</v>
      </c>
      <c r="R1570">
        <f>(Rebate_Industry!R222&lt;0)+(Rebate_Industry!R222&gt;1)+(Rebate_Industry!R236&lt;0)+(Rebate_Industry!R236&gt;1)+(Rebate_Industry!R250&lt;0)+(Rebate_Industry!R250&gt;1)+(Rebate_Industry!R264&lt;0)+(Rebate_Industry!R264&gt;1)</f>
        <v>0</v>
      </c>
      <c r="S1570">
        <f>(Rebate_Industry!S222&lt;0)+(Rebate_Industry!S222&gt;1)+(Rebate_Industry!S236&lt;0)+(Rebate_Industry!S236&gt;1)+(Rebate_Industry!S250&lt;0)+(Rebate_Industry!S250&gt;1)+(Rebate_Industry!S264&lt;0)+(Rebate_Industry!S264&gt;1)</f>
        <v>0</v>
      </c>
      <c r="T1570">
        <f>(Rebate_Industry!T222&lt;0)+(Rebate_Industry!T222&gt;1)+(Rebate_Industry!T236&lt;0)+(Rebate_Industry!T236&gt;1)+(Rebate_Industry!T250&lt;0)+(Rebate_Industry!T250&gt;1)+(Rebate_Industry!T264&lt;0)+(Rebate_Industry!T264&gt;1)</f>
        <v>0</v>
      </c>
      <c r="U1570">
        <f>(Rebate_Industry!U222&lt;0)+(Rebate_Industry!U222&gt;1)+(Rebate_Industry!U236&lt;0)+(Rebate_Industry!U236&gt;1)+(Rebate_Industry!U250&lt;0)+(Rebate_Industry!U250&gt;1)+(Rebate_Industry!U264&lt;0)+(Rebate_Industry!U264&gt;1)</f>
        <v>0</v>
      </c>
      <c r="V1570">
        <f>(Rebate_Industry!V222&lt;0)+(Rebate_Industry!V222&gt;1)+(Rebate_Industry!V236&lt;0)+(Rebate_Industry!V236&gt;1)+(Rebate_Industry!V250&lt;0)+(Rebate_Industry!V250&gt;1)+(Rebate_Industry!V264&lt;0)+(Rebate_Industry!V264&gt;1)</f>
        <v>0</v>
      </c>
      <c r="W1570">
        <f>(Rebate_Industry!W222&lt;0)+(Rebate_Industry!W222&gt;1)+(Rebate_Industry!W236&lt;0)+(Rebate_Industry!W236&gt;1)+(Rebate_Industry!W250&lt;0)+(Rebate_Industry!W250&gt;1)+(Rebate_Industry!W264&lt;0)+(Rebate_Industry!W264&gt;1)</f>
        <v>0</v>
      </c>
      <c r="X1570">
        <f>(Rebate_Industry!X222&lt;0)+(Rebate_Industry!X222&gt;1)+(Rebate_Industry!X236&lt;0)+(Rebate_Industry!X236&gt;1)+(Rebate_Industry!X250&lt;0)+(Rebate_Industry!X250&gt;1)+(Rebate_Industry!X264&lt;0)+(Rebate_Industry!X264&gt;1)</f>
        <v>0</v>
      </c>
      <c r="Y1570">
        <f>(Rebate_Industry!Y222&lt;0)+(Rebate_Industry!Y222&gt;1)+(Rebate_Industry!Y236&lt;0)+(Rebate_Industry!Y236&gt;1)+(Rebate_Industry!Y250&lt;0)+(Rebate_Industry!Y250&gt;1)+(Rebate_Industry!Y264&lt;0)+(Rebate_Industry!Y264&gt;1)</f>
        <v>0</v>
      </c>
      <c r="Z1570">
        <f>(Rebate_Industry!Z222&lt;0)+(Rebate_Industry!Z222&gt;1)+(Rebate_Industry!Z236&lt;0)+(Rebate_Industry!Z236&gt;1)+(Rebate_Industry!Z250&lt;0)+(Rebate_Industry!Z250&gt;1)+(Rebate_Industry!Z264&lt;0)+(Rebate_Industry!Z264&gt;1)</f>
        <v>0</v>
      </c>
      <c r="AA1570">
        <f>(Rebate_Industry!AA222&lt;0)+(Rebate_Industry!AA222&gt;1)+(Rebate_Industry!AA236&lt;0)+(Rebate_Industry!AA236&gt;1)+(Rebate_Industry!AA250&lt;0)+(Rebate_Industry!AA250&gt;1)+(Rebate_Industry!AA264&lt;0)+(Rebate_Industry!AA264&gt;1)</f>
        <v>0</v>
      </c>
      <c r="AB1570">
        <f>(Rebate_Industry!AB222&lt;0)+(Rebate_Industry!AB222&gt;1)+(Rebate_Industry!AB236&lt;0)+(Rebate_Industry!AB236&gt;1)+(Rebate_Industry!AB250&lt;0)+(Rebate_Industry!AB250&gt;1)+(Rebate_Industry!AB264&lt;0)+(Rebate_Industry!AB264&gt;1)</f>
        <v>0</v>
      </c>
      <c r="AC1570">
        <f>(Rebate_Industry!AC222&lt;0)+(Rebate_Industry!AC222&gt;1)+(Rebate_Industry!AC236&lt;0)+(Rebate_Industry!AC236&gt;1)+(Rebate_Industry!AC250&lt;0)+(Rebate_Industry!AC250&gt;1)+(Rebate_Industry!AC264&lt;0)+(Rebate_Industry!AC264&gt;1)</f>
        <v>0</v>
      </c>
      <c r="AD1570">
        <f>(Rebate_Industry!AD222&lt;0)+(Rebate_Industry!AD222&gt;1)+(Rebate_Industry!AD236&lt;0)+(Rebate_Industry!AD236&gt;1)+(Rebate_Industry!AD250&lt;0)+(Rebate_Industry!AD250&gt;1)+(Rebate_Industry!AD264&lt;0)+(Rebate_Industry!AD264&gt;1)</f>
        <v>0</v>
      </c>
      <c r="AE1570">
        <f>(Rebate_Industry!AE222&lt;0)+(Rebate_Industry!AE222&gt;1)+(Rebate_Industry!AE236&lt;0)+(Rebate_Industry!AE236&gt;1)+(Rebate_Industry!AE250&lt;0)+(Rebate_Industry!AE250&gt;1)+(Rebate_Industry!AE264&lt;0)+(Rebate_Industry!AE264&gt;1)</f>
        <v>0</v>
      </c>
    </row>
    <row r="1571" spans="1:31" x14ac:dyDescent="0.45">
      <c r="A1571" t="s">
        <v>2438</v>
      </c>
      <c r="D1571">
        <v>2</v>
      </c>
      <c r="E1571" t="s">
        <v>1161</v>
      </c>
      <c r="F1571">
        <f t="shared" ref="F1571:F1585" si="361">MAX(MAX(L1571:AE1571),-MIN(L1571:AE1571))</f>
        <v>0</v>
      </c>
      <c r="I1571">
        <v>0</v>
      </c>
      <c r="L1571">
        <f>Rebate_Industry!L217-SUM(Rebate_Industry!L209:L216)</f>
        <v>0</v>
      </c>
      <c r="M1571">
        <f>Rebate_Industry!M217-SUM(Rebate_Industry!M209:M216)</f>
        <v>0</v>
      </c>
      <c r="N1571">
        <f>Rebate_Industry!N217-SUM(Rebate_Industry!N209:N216)</f>
        <v>0</v>
      </c>
      <c r="O1571">
        <f>Rebate_Industry!O217-SUM(Rebate_Industry!O209:O216)</f>
        <v>0</v>
      </c>
      <c r="P1571">
        <f>Rebate_Industry!P217-SUM(Rebate_Industry!P209:P216)</f>
        <v>0</v>
      </c>
      <c r="Q1571">
        <f>Rebate_Industry!Q217-SUM(Rebate_Industry!Q209:Q216)</f>
        <v>0</v>
      </c>
      <c r="R1571">
        <f>Rebate_Industry!R217-SUM(Rebate_Industry!R209:R216)</f>
        <v>0</v>
      </c>
      <c r="S1571">
        <f>Rebate_Industry!S217-SUM(Rebate_Industry!S209:S216)</f>
        <v>0</v>
      </c>
      <c r="T1571">
        <f>Rebate_Industry!T217-SUM(Rebate_Industry!T209:T216)</f>
        <v>0</v>
      </c>
      <c r="U1571">
        <f>Rebate_Industry!U217-SUM(Rebate_Industry!U209:U216)</f>
        <v>0</v>
      </c>
      <c r="V1571">
        <f>Rebate_Industry!V217-SUM(Rebate_Industry!V209:V216)</f>
        <v>0</v>
      </c>
      <c r="W1571">
        <f>Rebate_Industry!W217-SUM(Rebate_Industry!W209:W216)</f>
        <v>0</v>
      </c>
      <c r="X1571">
        <f>Rebate_Industry!X217-SUM(Rebate_Industry!X209:X216)</f>
        <v>0</v>
      </c>
      <c r="Y1571">
        <f>Rebate_Industry!Y217-SUM(Rebate_Industry!Y209:Y216)</f>
        <v>0</v>
      </c>
      <c r="Z1571">
        <f>Rebate_Industry!Z217-SUM(Rebate_Industry!Z209:Z216)</f>
        <v>0</v>
      </c>
      <c r="AA1571">
        <f>Rebate_Industry!AA217-SUM(Rebate_Industry!AA209:AA216)</f>
        <v>0</v>
      </c>
      <c r="AB1571">
        <f>Rebate_Industry!AB217-SUM(Rebate_Industry!AB209:AB216)</f>
        <v>0</v>
      </c>
      <c r="AC1571">
        <f>Rebate_Industry!AC217-SUM(Rebate_Industry!AC209:AC216)</f>
        <v>0</v>
      </c>
      <c r="AD1571">
        <f>Rebate_Industry!AD217-SUM(Rebate_Industry!AD209:AD216)</f>
        <v>0</v>
      </c>
      <c r="AE1571">
        <f>Rebate_Industry!AE217-SUM(Rebate_Industry!AE209:AE216)</f>
        <v>0</v>
      </c>
    </row>
    <row r="1572" spans="1:31" x14ac:dyDescent="0.45">
      <c r="A1572" t="s">
        <v>2439</v>
      </c>
      <c r="D1572">
        <v>2</v>
      </c>
      <c r="E1572" t="s">
        <v>1161</v>
      </c>
      <c r="F1572">
        <f t="shared" si="361"/>
        <v>0</v>
      </c>
      <c r="I1572">
        <v>0</v>
      </c>
      <c r="L1572">
        <f>Rebate_Industry!L217-(Rebate_Industry!L220+Rebate_Industry!L234+Rebate_Industry!L248+Rebate_Industry!L262)</f>
        <v>0</v>
      </c>
      <c r="M1572">
        <f>Rebate_Industry!M217-(Rebate_Industry!M220+Rebate_Industry!M234+Rebate_Industry!M248+Rebate_Industry!M262)</f>
        <v>0</v>
      </c>
      <c r="N1572">
        <f>Rebate_Industry!N217-(Rebate_Industry!N220+Rebate_Industry!N234+Rebate_Industry!N248+Rebate_Industry!N262)</f>
        <v>0</v>
      </c>
      <c r="O1572">
        <f>Rebate_Industry!O217-(Rebate_Industry!O220+Rebate_Industry!O234+Rebate_Industry!O248+Rebate_Industry!O262)</f>
        <v>0</v>
      </c>
      <c r="P1572">
        <f>Rebate_Industry!P217-(Rebate_Industry!P220+Rebate_Industry!P234+Rebate_Industry!P248+Rebate_Industry!P262)</f>
        <v>0</v>
      </c>
      <c r="Q1572">
        <f>Rebate_Industry!Q217-(Rebate_Industry!Q220+Rebate_Industry!Q234+Rebate_Industry!Q248+Rebate_Industry!Q262)</f>
        <v>0</v>
      </c>
      <c r="R1572">
        <f>Rebate_Industry!R217-(Rebate_Industry!R220+Rebate_Industry!R234+Rebate_Industry!R248+Rebate_Industry!R262)</f>
        <v>0</v>
      </c>
      <c r="S1572">
        <f>Rebate_Industry!S217-(Rebate_Industry!S220+Rebate_Industry!S234+Rebate_Industry!S248+Rebate_Industry!S262)</f>
        <v>0</v>
      </c>
      <c r="T1572">
        <f>Rebate_Industry!T217-(Rebate_Industry!T220+Rebate_Industry!T234+Rebate_Industry!T248+Rebate_Industry!T262)</f>
        <v>0</v>
      </c>
      <c r="U1572">
        <f>Rebate_Industry!U217-(Rebate_Industry!U220+Rebate_Industry!U234+Rebate_Industry!U248+Rebate_Industry!U262)</f>
        <v>0</v>
      </c>
      <c r="V1572">
        <f>Rebate_Industry!V217-(Rebate_Industry!V220+Rebate_Industry!V234+Rebate_Industry!V248+Rebate_Industry!V262)</f>
        <v>0</v>
      </c>
      <c r="W1572">
        <f>Rebate_Industry!W217-(Rebate_Industry!W220+Rebate_Industry!W234+Rebate_Industry!W248+Rebate_Industry!W262)</f>
        <v>0</v>
      </c>
      <c r="X1572">
        <f>Rebate_Industry!X217-(Rebate_Industry!X220+Rebate_Industry!X234+Rebate_Industry!X248+Rebate_Industry!X262)</f>
        <v>0</v>
      </c>
      <c r="Y1572">
        <f>Rebate_Industry!Y217-(Rebate_Industry!Y220+Rebate_Industry!Y234+Rebate_Industry!Y248+Rebate_Industry!Y262)</f>
        <v>0</v>
      </c>
      <c r="Z1572">
        <f>Rebate_Industry!Z217-(Rebate_Industry!Z220+Rebate_Industry!Z234+Rebate_Industry!Z248+Rebate_Industry!Z262)</f>
        <v>0</v>
      </c>
      <c r="AA1572">
        <f>Rebate_Industry!AA217-(Rebate_Industry!AA220+Rebate_Industry!AA234+Rebate_Industry!AA248+Rebate_Industry!AA262)</f>
        <v>0</v>
      </c>
      <c r="AB1572">
        <f>Rebate_Industry!AB217-(Rebate_Industry!AB220+Rebate_Industry!AB234+Rebate_Industry!AB248+Rebate_Industry!AB262)</f>
        <v>0</v>
      </c>
      <c r="AC1572">
        <f>Rebate_Industry!AC217-(Rebate_Industry!AC220+Rebate_Industry!AC234+Rebate_Industry!AC248+Rebate_Industry!AC262)</f>
        <v>0</v>
      </c>
      <c r="AD1572">
        <f>Rebate_Industry!AD217-(Rebate_Industry!AD220+Rebate_Industry!AD234+Rebate_Industry!AD248+Rebate_Industry!AD262)</f>
        <v>0</v>
      </c>
      <c r="AE1572">
        <f>Rebate_Industry!AE217-(Rebate_Industry!AE220+Rebate_Industry!AE234+Rebate_Industry!AE248+Rebate_Industry!AE262)</f>
        <v>0</v>
      </c>
    </row>
    <row r="1573" spans="1:31" x14ac:dyDescent="0.45">
      <c r="A1573" t="s">
        <v>2440</v>
      </c>
      <c r="D1573">
        <v>2</v>
      </c>
      <c r="E1573" t="s">
        <v>1161</v>
      </c>
      <c r="F1573">
        <f t="shared" si="361"/>
        <v>0</v>
      </c>
      <c r="I1573">
        <v>0</v>
      </c>
      <c r="L1573">
        <f>Rebate_Industry!L278-(Rebate_Industry!L276-Rebate_Industry!L217)</f>
        <v>0</v>
      </c>
      <c r="M1573">
        <f>Rebate_Industry!M278-(Rebate_Industry!M276-Rebate_Industry!M217)</f>
        <v>0</v>
      </c>
      <c r="N1573">
        <f>Rebate_Industry!N278-(Rebate_Industry!N276-Rebate_Industry!N217)</f>
        <v>0</v>
      </c>
      <c r="O1573">
        <f>Rebate_Industry!O278-(Rebate_Industry!O276-Rebate_Industry!O217)</f>
        <v>0</v>
      </c>
      <c r="P1573">
        <f>Rebate_Industry!P278-(Rebate_Industry!P276-Rebate_Industry!P217)</f>
        <v>0</v>
      </c>
      <c r="Q1573">
        <f>Rebate_Industry!Q278-(Rebate_Industry!Q276-Rebate_Industry!Q217)</f>
        <v>0</v>
      </c>
      <c r="R1573">
        <f>Rebate_Industry!R278-(Rebate_Industry!R276-Rebate_Industry!R217)</f>
        <v>0</v>
      </c>
      <c r="S1573">
        <f>Rebate_Industry!S278-(Rebate_Industry!S276-Rebate_Industry!S217)</f>
        <v>0</v>
      </c>
      <c r="T1573">
        <f>Rebate_Industry!T278-(Rebate_Industry!T276-Rebate_Industry!T217)</f>
        <v>0</v>
      </c>
      <c r="U1573">
        <f>Rebate_Industry!U278-(Rebate_Industry!U276-Rebate_Industry!U217)</f>
        <v>0</v>
      </c>
      <c r="V1573">
        <f>Rebate_Industry!V278-(Rebate_Industry!V276-Rebate_Industry!V217)</f>
        <v>0</v>
      </c>
      <c r="W1573">
        <f>Rebate_Industry!W278-(Rebate_Industry!W276-Rebate_Industry!W217)</f>
        <v>0</v>
      </c>
      <c r="X1573">
        <f>Rebate_Industry!X278-(Rebate_Industry!X276-Rebate_Industry!X217)</f>
        <v>0</v>
      </c>
      <c r="Y1573">
        <f>Rebate_Industry!Y278-(Rebate_Industry!Y276-Rebate_Industry!Y217)</f>
        <v>0</v>
      </c>
      <c r="Z1573">
        <f>Rebate_Industry!Z278-(Rebate_Industry!Z276-Rebate_Industry!Z217)</f>
        <v>0</v>
      </c>
      <c r="AA1573">
        <f>Rebate_Industry!AA278-(Rebate_Industry!AA276-Rebate_Industry!AA217)</f>
        <v>0</v>
      </c>
      <c r="AB1573">
        <f>Rebate_Industry!AB278-(Rebate_Industry!AB276-Rebate_Industry!AB217)</f>
        <v>0</v>
      </c>
      <c r="AC1573">
        <f>Rebate_Industry!AC278-(Rebate_Industry!AC276-Rebate_Industry!AC217)</f>
        <v>0</v>
      </c>
      <c r="AD1573">
        <f>Rebate_Industry!AD278-(Rebate_Industry!AD276-Rebate_Industry!AD217)</f>
        <v>0</v>
      </c>
      <c r="AE1573">
        <f>Rebate_Industry!AE278-(Rebate_Industry!AE276-Rebate_Industry!AE217)</f>
        <v>0</v>
      </c>
    </row>
    <row r="1574" spans="1:31" x14ac:dyDescent="0.45">
      <c r="A1574" t="s">
        <v>2889</v>
      </c>
      <c r="D1574">
        <v>2</v>
      </c>
      <c r="E1574" t="s">
        <v>1161</v>
      </c>
      <c r="F1574">
        <f t="shared" si="361"/>
        <v>2.8421709430404007E-14</v>
      </c>
      <c r="I1574">
        <v>0</v>
      </c>
      <c r="L1574">
        <f>IF(Scenarios!$J$27=0,SUM(Mitigation_Industry!L426:L434)-INDEX(L$1604:L$1663,MATCH("v1:shp:2:irn:"&amp;Settings!$B$10,$A$1604:$A$1663,0)),0)</f>
        <v>1.4210854715202004E-14</v>
      </c>
      <c r="M1574">
        <f>IF(Scenarios!$J$27=0,SUM(Mitigation_Industry!M426:M434)-INDEX(M$1604:M$1663,MATCH("v1:shp:2:irn:"&amp;Settings!$B$10,$A$1604:$A$1663,0)),0)</f>
        <v>0</v>
      </c>
      <c r="N1574">
        <f>IF(Scenarios!$J$27=0,SUM(Mitigation_Industry!N426:N434)-INDEX(N$1604:N$1663,MATCH("v1:shp:2:irn:"&amp;Settings!$B$10,$A$1604:$A$1663,0)),0)</f>
        <v>0</v>
      </c>
      <c r="O1574">
        <f>IF(Scenarios!$J$27=0,SUM(Mitigation_Industry!O426:O434)-INDEX(O$1604:O$1663,MATCH("v1:shp:2:irn:"&amp;Settings!$B$10,$A$1604:$A$1663,0)),0)</f>
        <v>0</v>
      </c>
      <c r="P1574">
        <f>IF(Scenarios!$J$27=0,SUM(Mitigation_Industry!P426:P434)-INDEX(P$1604:P$1663,MATCH("v1:shp:2:irn:"&amp;Settings!$B$10,$A$1604:$A$1663,0)),0)</f>
        <v>-7.1054273576010019E-15</v>
      </c>
      <c r="Q1574">
        <f>IF(Scenarios!$J$27=0,SUM(Mitigation_Industry!Q426:Q434)-INDEX(Q$1604:Q$1663,MATCH("v1:shp:2:irn:"&amp;Settings!$B$10,$A$1604:$A$1663,0)),0)</f>
        <v>0</v>
      </c>
      <c r="R1574">
        <f>IF(Scenarios!$J$27=0,SUM(Mitigation_Industry!R426:R434)-INDEX(R$1604:R$1663,MATCH("v1:shp:2:irn:"&amp;Settings!$B$10,$A$1604:$A$1663,0)),0)</f>
        <v>-7.1054273576010019E-15</v>
      </c>
      <c r="S1574">
        <f>IF(Scenarios!$J$27=0,SUM(Mitigation_Industry!S426:S434)-INDEX(S$1604:S$1663,MATCH("v1:shp:2:irn:"&amp;Settings!$B$10,$A$1604:$A$1663,0)),0)</f>
        <v>0</v>
      </c>
      <c r="T1574">
        <f>IF(Scenarios!$J$27=0,SUM(Mitigation_Industry!T426:T434)-INDEX(T$1604:T$1663,MATCH("v1:shp:2:irn:"&amp;Settings!$B$10,$A$1604:$A$1663,0)),0)</f>
        <v>-1.4210854715202004E-14</v>
      </c>
      <c r="U1574">
        <f>IF(Scenarios!$J$27=0,SUM(Mitigation_Industry!U426:U434)-INDEX(U$1604:U$1663,MATCH("v1:shp:2:irn:"&amp;Settings!$B$10,$A$1604:$A$1663,0)),0)</f>
        <v>0</v>
      </c>
      <c r="V1574">
        <f>IF(Scenarios!$J$27=0,SUM(Mitigation_Industry!V426:V434)-INDEX(V$1604:V$1663,MATCH("v1:shp:2:irn:"&amp;Settings!$B$10,$A$1604:$A$1663,0)),0)</f>
        <v>0</v>
      </c>
      <c r="W1574">
        <f>IF(Scenarios!$J$27=0,SUM(Mitigation_Industry!W426:W434)-INDEX(W$1604:W$1663,MATCH("v1:shp:2:irn:"&amp;Settings!$B$10,$A$1604:$A$1663,0)),0)</f>
        <v>0</v>
      </c>
      <c r="X1574">
        <f>IF(Scenarios!$J$27=0,SUM(Mitigation_Industry!X426:X434)-INDEX(X$1604:X$1663,MATCH("v1:shp:2:irn:"&amp;Settings!$B$10,$A$1604:$A$1663,0)),0)</f>
        <v>0</v>
      </c>
      <c r="Y1574">
        <f>IF(Scenarios!$J$27=0,SUM(Mitigation_Industry!Y426:Y434)-INDEX(Y$1604:Y$1663,MATCH("v1:shp:2:irn:"&amp;Settings!$B$10,$A$1604:$A$1663,0)),0)</f>
        <v>-1.4210854715202004E-14</v>
      </c>
      <c r="Z1574">
        <f>IF(Scenarios!$J$27=0,SUM(Mitigation_Industry!Z426:Z434)-INDEX(Z$1604:Z$1663,MATCH("v1:shp:2:irn:"&amp;Settings!$B$10,$A$1604:$A$1663,0)),0)</f>
        <v>-1.4210854715202004E-14</v>
      </c>
      <c r="AA1574">
        <f>IF(Scenarios!$J$27=0,SUM(Mitigation_Industry!AA426:AA434)-INDEX(AA$1604:AA$1663,MATCH("v1:shp:2:irn:"&amp;Settings!$B$10,$A$1604:$A$1663,0)),0)</f>
        <v>0</v>
      </c>
      <c r="AB1574">
        <f>IF(Scenarios!$J$27=0,SUM(Mitigation_Industry!AB426:AB434)-INDEX(AB$1604:AB$1663,MATCH("v1:shp:2:irn:"&amp;Settings!$B$10,$A$1604:$A$1663,0)),0)</f>
        <v>2.8421709430404007E-14</v>
      </c>
      <c r="AC1574">
        <f>IF(Scenarios!$J$27=0,SUM(Mitigation_Industry!AC426:AC434)-INDEX(AC$1604:AC$1663,MATCH("v1:shp:2:irn:"&amp;Settings!$B$10,$A$1604:$A$1663,0)),0)</f>
        <v>0</v>
      </c>
      <c r="AD1574">
        <f>IF(Scenarios!$J$27=0,SUM(Mitigation_Industry!AD426:AD434)-INDEX(AD$1604:AD$1663,MATCH("v1:shp:2:irn:"&amp;Settings!$B$10,$A$1604:$A$1663,0)),0)</f>
        <v>2.8421709430404007E-14</v>
      </c>
      <c r="AE1574">
        <f>IF(Scenarios!$J$27=0,SUM(Mitigation_Industry!AE426:AE434)-INDEX(AE$1604:AE$1663,MATCH("v1:shp:2:irn:"&amp;Settings!$B$10,$A$1604:$A$1663,0)),0)</f>
        <v>0</v>
      </c>
    </row>
    <row r="1575" spans="1:31" x14ac:dyDescent="0.45">
      <c r="A1575" t="s">
        <v>2890</v>
      </c>
      <c r="D1575">
        <v>2</v>
      </c>
      <c r="E1575" t="s">
        <v>1161</v>
      </c>
      <c r="F1575">
        <f t="shared" si="361"/>
        <v>2.8421709430404007E-14</v>
      </c>
      <c r="I1575">
        <v>0</v>
      </c>
      <c r="L1575">
        <f>IF(Scenarios!$J$27=0,SUM(Mitigation_Industry!L486:L494)-INDEX(L$1604:L$1663,MATCH("v1:shp:2:cem:"&amp;Settings!$B$10,$A$1604:$A$1663,0)),0)</f>
        <v>1.4210854715202004E-14</v>
      </c>
      <c r="M1575">
        <f>IF(Scenarios!$J$27=0,SUM(Mitigation_Industry!M486:M494)-INDEX(M$1604:M$1663,MATCH("v1:shp:2:cem:"&amp;Settings!$B$10,$A$1604:$A$1663,0)),0)</f>
        <v>0</v>
      </c>
      <c r="N1575">
        <f>IF(Scenarios!$J$27=0,SUM(Mitigation_Industry!N486:N494)-INDEX(N$1604:N$1663,MATCH("v1:shp:2:cem:"&amp;Settings!$B$10,$A$1604:$A$1663,0)),0)</f>
        <v>0</v>
      </c>
      <c r="O1575">
        <f>IF(Scenarios!$J$27=0,SUM(Mitigation_Industry!O486:O494)-INDEX(O$1604:O$1663,MATCH("v1:shp:2:cem:"&amp;Settings!$B$10,$A$1604:$A$1663,0)),0)</f>
        <v>0</v>
      </c>
      <c r="P1575">
        <f>IF(Scenarios!$J$27=0,SUM(Mitigation_Industry!P486:P494)-INDEX(P$1604:P$1663,MATCH("v1:shp:2:cem:"&amp;Settings!$B$10,$A$1604:$A$1663,0)),0)</f>
        <v>-7.1054273576010019E-15</v>
      </c>
      <c r="Q1575">
        <f>IF(Scenarios!$J$27=0,SUM(Mitigation_Industry!Q486:Q494)-INDEX(Q$1604:Q$1663,MATCH("v1:shp:2:cem:"&amp;Settings!$B$10,$A$1604:$A$1663,0)),0)</f>
        <v>0</v>
      </c>
      <c r="R1575">
        <f>IF(Scenarios!$J$27=0,SUM(Mitigation_Industry!R486:R494)-INDEX(R$1604:R$1663,MATCH("v1:shp:2:cem:"&amp;Settings!$B$10,$A$1604:$A$1663,0)),0)</f>
        <v>-7.1054273576010019E-15</v>
      </c>
      <c r="S1575">
        <f>IF(Scenarios!$J$27=0,SUM(Mitigation_Industry!S486:S494)-INDEX(S$1604:S$1663,MATCH("v1:shp:2:cem:"&amp;Settings!$B$10,$A$1604:$A$1663,0)),0)</f>
        <v>0</v>
      </c>
      <c r="T1575">
        <f>IF(Scenarios!$J$27=0,SUM(Mitigation_Industry!T486:T494)-INDEX(T$1604:T$1663,MATCH("v1:shp:2:cem:"&amp;Settings!$B$10,$A$1604:$A$1663,0)),0)</f>
        <v>-1.4210854715202004E-14</v>
      </c>
      <c r="U1575">
        <f>IF(Scenarios!$J$27=0,SUM(Mitigation_Industry!U486:U494)-INDEX(U$1604:U$1663,MATCH("v1:shp:2:cem:"&amp;Settings!$B$10,$A$1604:$A$1663,0)),0)</f>
        <v>0</v>
      </c>
      <c r="V1575">
        <f>IF(Scenarios!$J$27=0,SUM(Mitigation_Industry!V486:V494)-INDEX(V$1604:V$1663,MATCH("v1:shp:2:cem:"&amp;Settings!$B$10,$A$1604:$A$1663,0)),0)</f>
        <v>0</v>
      </c>
      <c r="W1575">
        <f>IF(Scenarios!$J$27=0,SUM(Mitigation_Industry!W486:W494)-INDEX(W$1604:W$1663,MATCH("v1:shp:2:cem:"&amp;Settings!$B$10,$A$1604:$A$1663,0)),0)</f>
        <v>0</v>
      </c>
      <c r="X1575">
        <f>IF(Scenarios!$J$27=0,SUM(Mitigation_Industry!X486:X494)-INDEX(X$1604:X$1663,MATCH("v1:shp:2:cem:"&amp;Settings!$B$10,$A$1604:$A$1663,0)),0)</f>
        <v>0</v>
      </c>
      <c r="Y1575">
        <f>IF(Scenarios!$J$27=0,SUM(Mitigation_Industry!Y486:Y494)-INDEX(Y$1604:Y$1663,MATCH("v1:shp:2:cem:"&amp;Settings!$B$10,$A$1604:$A$1663,0)),0)</f>
        <v>-1.4210854715202004E-14</v>
      </c>
      <c r="Z1575">
        <f>IF(Scenarios!$J$27=0,SUM(Mitigation_Industry!Z486:Z494)-INDEX(Z$1604:Z$1663,MATCH("v1:shp:2:cem:"&amp;Settings!$B$10,$A$1604:$A$1663,0)),0)</f>
        <v>-1.4210854715202004E-14</v>
      </c>
      <c r="AA1575">
        <f>IF(Scenarios!$J$27=0,SUM(Mitigation_Industry!AA486:AA494)-INDEX(AA$1604:AA$1663,MATCH("v1:shp:2:cem:"&amp;Settings!$B$10,$A$1604:$A$1663,0)),0)</f>
        <v>0</v>
      </c>
      <c r="AB1575">
        <f>IF(Scenarios!$J$27=0,SUM(Mitigation_Industry!AB486:AB494)-INDEX(AB$1604:AB$1663,MATCH("v1:shp:2:cem:"&amp;Settings!$B$10,$A$1604:$A$1663,0)),0)</f>
        <v>2.8421709430404007E-14</v>
      </c>
      <c r="AC1575">
        <f>IF(Scenarios!$J$27=0,SUM(Mitigation_Industry!AC486:AC494)-INDEX(AC$1604:AC$1663,MATCH("v1:shp:2:cem:"&amp;Settings!$B$10,$A$1604:$A$1663,0)),0)</f>
        <v>0</v>
      </c>
      <c r="AD1575">
        <f>IF(Scenarios!$J$27=0,SUM(Mitigation_Industry!AD486:AD494)-INDEX(AD$1604:AD$1663,MATCH("v1:shp:2:cem:"&amp;Settings!$B$10,$A$1604:$A$1663,0)),0)</f>
        <v>2.8421709430404007E-14</v>
      </c>
      <c r="AE1575">
        <f>IF(Scenarios!$J$27=0,SUM(Mitigation_Industry!AE486:AE494)-INDEX(AE$1604:AE$1663,MATCH("v1:shp:2:cem:"&amp;Settings!$B$10,$A$1604:$A$1663,0)),0)</f>
        <v>0</v>
      </c>
    </row>
    <row r="1576" spans="1:31" x14ac:dyDescent="0.45">
      <c r="A1576" t="s">
        <v>2891</v>
      </c>
      <c r="D1576">
        <v>2</v>
      </c>
      <c r="E1576" t="s">
        <v>1161</v>
      </c>
      <c r="F1576">
        <f t="shared" si="361"/>
        <v>2.8421709430404007E-14</v>
      </c>
      <c r="I1576">
        <v>0</v>
      </c>
      <c r="L1576">
        <f>IF(Scenarios!$J$27=0,SUM(Mitigation_Industry!L546:L554)-INDEX(L$1604:L$1663,MATCH("v1:shp:2:nfm:"&amp;Settings!$B$10,$A$1604:$A$1663,0)),0)</f>
        <v>1.4210854715202004E-14</v>
      </c>
      <c r="M1576">
        <f>IF(Scenarios!$J$27=0,SUM(Mitigation_Industry!M546:M554)-INDEX(M$1604:M$1663,MATCH("v1:shp:2:nfm:"&amp;Settings!$B$10,$A$1604:$A$1663,0)),0)</f>
        <v>0</v>
      </c>
      <c r="N1576">
        <f>IF(Scenarios!$J$27=0,SUM(Mitigation_Industry!N546:N554)-INDEX(N$1604:N$1663,MATCH("v1:shp:2:nfm:"&amp;Settings!$B$10,$A$1604:$A$1663,0)),0)</f>
        <v>0</v>
      </c>
      <c r="O1576">
        <f>IF(Scenarios!$J$27=0,SUM(Mitigation_Industry!O546:O554)-INDEX(O$1604:O$1663,MATCH("v1:shp:2:nfm:"&amp;Settings!$B$10,$A$1604:$A$1663,0)),0)</f>
        <v>0</v>
      </c>
      <c r="P1576">
        <f>IF(Scenarios!$J$27=0,SUM(Mitigation_Industry!P546:P554)-INDEX(P$1604:P$1663,MATCH("v1:shp:2:nfm:"&amp;Settings!$B$10,$A$1604:$A$1663,0)),0)</f>
        <v>-7.1054273576010019E-15</v>
      </c>
      <c r="Q1576">
        <f>IF(Scenarios!$J$27=0,SUM(Mitigation_Industry!Q546:Q554)-INDEX(Q$1604:Q$1663,MATCH("v1:shp:2:nfm:"&amp;Settings!$B$10,$A$1604:$A$1663,0)),0)</f>
        <v>0</v>
      </c>
      <c r="R1576">
        <f>IF(Scenarios!$J$27=0,SUM(Mitigation_Industry!R546:R554)-INDEX(R$1604:R$1663,MATCH("v1:shp:2:nfm:"&amp;Settings!$B$10,$A$1604:$A$1663,0)),0)</f>
        <v>-7.1054273576010019E-15</v>
      </c>
      <c r="S1576">
        <f>IF(Scenarios!$J$27=0,SUM(Mitigation_Industry!S546:S554)-INDEX(S$1604:S$1663,MATCH("v1:shp:2:nfm:"&amp;Settings!$B$10,$A$1604:$A$1663,0)),0)</f>
        <v>0</v>
      </c>
      <c r="T1576">
        <f>IF(Scenarios!$J$27=0,SUM(Mitigation_Industry!T546:T554)-INDEX(T$1604:T$1663,MATCH("v1:shp:2:nfm:"&amp;Settings!$B$10,$A$1604:$A$1663,0)),0)</f>
        <v>-1.4210854715202004E-14</v>
      </c>
      <c r="U1576">
        <f>IF(Scenarios!$J$27=0,SUM(Mitigation_Industry!U546:U554)-INDEX(U$1604:U$1663,MATCH("v1:shp:2:nfm:"&amp;Settings!$B$10,$A$1604:$A$1663,0)),0)</f>
        <v>0</v>
      </c>
      <c r="V1576">
        <f>IF(Scenarios!$J$27=0,SUM(Mitigation_Industry!V546:V554)-INDEX(V$1604:V$1663,MATCH("v1:shp:2:nfm:"&amp;Settings!$B$10,$A$1604:$A$1663,0)),0)</f>
        <v>0</v>
      </c>
      <c r="W1576">
        <f>IF(Scenarios!$J$27=0,SUM(Mitigation_Industry!W546:W554)-INDEX(W$1604:W$1663,MATCH("v1:shp:2:nfm:"&amp;Settings!$B$10,$A$1604:$A$1663,0)),0)</f>
        <v>0</v>
      </c>
      <c r="X1576">
        <f>IF(Scenarios!$J$27=0,SUM(Mitigation_Industry!X546:X554)-INDEX(X$1604:X$1663,MATCH("v1:shp:2:nfm:"&amp;Settings!$B$10,$A$1604:$A$1663,0)),0)</f>
        <v>0</v>
      </c>
      <c r="Y1576">
        <f>IF(Scenarios!$J$27=0,SUM(Mitigation_Industry!Y546:Y554)-INDEX(Y$1604:Y$1663,MATCH("v1:shp:2:nfm:"&amp;Settings!$B$10,$A$1604:$A$1663,0)),0)</f>
        <v>-1.4210854715202004E-14</v>
      </c>
      <c r="Z1576">
        <f>IF(Scenarios!$J$27=0,SUM(Mitigation_Industry!Z546:Z554)-INDEX(Z$1604:Z$1663,MATCH("v1:shp:2:nfm:"&amp;Settings!$B$10,$A$1604:$A$1663,0)),0)</f>
        <v>-1.4210854715202004E-14</v>
      </c>
      <c r="AA1576">
        <f>IF(Scenarios!$J$27=0,SUM(Mitigation_Industry!AA546:AA554)-INDEX(AA$1604:AA$1663,MATCH("v1:shp:2:nfm:"&amp;Settings!$B$10,$A$1604:$A$1663,0)),0)</f>
        <v>0</v>
      </c>
      <c r="AB1576">
        <f>IF(Scenarios!$J$27=0,SUM(Mitigation_Industry!AB546:AB554)-INDEX(AB$1604:AB$1663,MATCH("v1:shp:2:nfm:"&amp;Settings!$B$10,$A$1604:$A$1663,0)),0)</f>
        <v>2.8421709430404007E-14</v>
      </c>
      <c r="AC1576">
        <f>IF(Scenarios!$J$27=0,SUM(Mitigation_Industry!AC546:AC554)-INDEX(AC$1604:AC$1663,MATCH("v1:shp:2:nfm:"&amp;Settings!$B$10,$A$1604:$A$1663,0)),0)</f>
        <v>0</v>
      </c>
      <c r="AD1576">
        <f>IF(Scenarios!$J$27=0,SUM(Mitigation_Industry!AD546:AD554)-INDEX(AD$1604:AD$1663,MATCH("v1:shp:2:nfm:"&amp;Settings!$B$10,$A$1604:$A$1663,0)),0)</f>
        <v>2.8421709430404007E-14</v>
      </c>
      <c r="AE1576">
        <f>IF(Scenarios!$J$27=0,SUM(Mitigation_Industry!AE546:AE554)-INDEX(AE$1604:AE$1663,MATCH("v1:shp:2:nfm:"&amp;Settings!$B$10,$A$1604:$A$1663,0)),0)</f>
        <v>0</v>
      </c>
    </row>
    <row r="1577" spans="1:31" x14ac:dyDescent="0.45">
      <c r="A1577" t="s">
        <v>2892</v>
      </c>
      <c r="D1577">
        <v>2</v>
      </c>
      <c r="E1577" t="s">
        <v>1161</v>
      </c>
      <c r="F1577">
        <f t="shared" si="361"/>
        <v>2.8421709430404007E-14</v>
      </c>
      <c r="I1577">
        <v>0</v>
      </c>
      <c r="L1577">
        <f>IF(Scenarios!$J$27=0,SUM(Mitigation_Industry!L606:L614)-INDEX(L$1604:L$1663,MATCH("v1:shp:2:mch:"&amp;Settings!$B$10,$A$1604:$A$1663,0)),0)</f>
        <v>1.4210854715202004E-14</v>
      </c>
      <c r="M1577">
        <f>IF(Scenarios!$J$27=0,SUM(Mitigation_Industry!M606:M614)-INDEX(M$1604:M$1663,MATCH("v1:shp:2:mch:"&amp;Settings!$B$10,$A$1604:$A$1663,0)),0)</f>
        <v>0</v>
      </c>
      <c r="N1577">
        <f>IF(Scenarios!$J$27=0,SUM(Mitigation_Industry!N606:N614)-INDEX(N$1604:N$1663,MATCH("v1:shp:2:mch:"&amp;Settings!$B$10,$A$1604:$A$1663,0)),0)</f>
        <v>0</v>
      </c>
      <c r="O1577">
        <f>IF(Scenarios!$J$27=0,SUM(Mitigation_Industry!O606:O614)-INDEX(O$1604:O$1663,MATCH("v1:shp:2:mch:"&amp;Settings!$B$10,$A$1604:$A$1663,0)),0)</f>
        <v>0</v>
      </c>
      <c r="P1577">
        <f>IF(Scenarios!$J$27=0,SUM(Mitigation_Industry!P606:P614)-INDEX(P$1604:P$1663,MATCH("v1:shp:2:mch:"&amp;Settings!$B$10,$A$1604:$A$1663,0)),0)</f>
        <v>-7.1054273576010019E-15</v>
      </c>
      <c r="Q1577">
        <f>IF(Scenarios!$J$27=0,SUM(Mitigation_Industry!Q606:Q614)-INDEX(Q$1604:Q$1663,MATCH("v1:shp:2:mch:"&amp;Settings!$B$10,$A$1604:$A$1663,0)),0)</f>
        <v>0</v>
      </c>
      <c r="R1577">
        <f>IF(Scenarios!$J$27=0,SUM(Mitigation_Industry!R606:R614)-INDEX(R$1604:R$1663,MATCH("v1:shp:2:mch:"&amp;Settings!$B$10,$A$1604:$A$1663,0)),0)</f>
        <v>-7.1054273576010019E-15</v>
      </c>
      <c r="S1577">
        <f>IF(Scenarios!$J$27=0,SUM(Mitigation_Industry!S606:S614)-INDEX(S$1604:S$1663,MATCH("v1:shp:2:mch:"&amp;Settings!$B$10,$A$1604:$A$1663,0)),0)</f>
        <v>0</v>
      </c>
      <c r="T1577">
        <f>IF(Scenarios!$J$27=0,SUM(Mitigation_Industry!T606:T614)-INDEX(T$1604:T$1663,MATCH("v1:shp:2:mch:"&amp;Settings!$B$10,$A$1604:$A$1663,0)),0)</f>
        <v>-1.4210854715202004E-14</v>
      </c>
      <c r="U1577">
        <f>IF(Scenarios!$J$27=0,SUM(Mitigation_Industry!U606:U614)-INDEX(U$1604:U$1663,MATCH("v1:shp:2:mch:"&amp;Settings!$B$10,$A$1604:$A$1663,0)),0)</f>
        <v>0</v>
      </c>
      <c r="V1577">
        <f>IF(Scenarios!$J$27=0,SUM(Mitigation_Industry!V606:V614)-INDEX(V$1604:V$1663,MATCH("v1:shp:2:mch:"&amp;Settings!$B$10,$A$1604:$A$1663,0)),0)</f>
        <v>0</v>
      </c>
      <c r="W1577">
        <f>IF(Scenarios!$J$27=0,SUM(Mitigation_Industry!W606:W614)-INDEX(W$1604:W$1663,MATCH("v1:shp:2:mch:"&amp;Settings!$B$10,$A$1604:$A$1663,0)),0)</f>
        <v>0</v>
      </c>
      <c r="X1577">
        <f>IF(Scenarios!$J$27=0,SUM(Mitigation_Industry!X606:X614)-INDEX(X$1604:X$1663,MATCH("v1:shp:2:mch:"&amp;Settings!$B$10,$A$1604:$A$1663,0)),0)</f>
        <v>0</v>
      </c>
      <c r="Y1577">
        <f>IF(Scenarios!$J$27=0,SUM(Mitigation_Industry!Y606:Y614)-INDEX(Y$1604:Y$1663,MATCH("v1:shp:2:mch:"&amp;Settings!$B$10,$A$1604:$A$1663,0)),0)</f>
        <v>-1.4210854715202004E-14</v>
      </c>
      <c r="Z1577">
        <f>IF(Scenarios!$J$27=0,SUM(Mitigation_Industry!Z606:Z614)-INDEX(Z$1604:Z$1663,MATCH("v1:shp:2:mch:"&amp;Settings!$B$10,$A$1604:$A$1663,0)),0)</f>
        <v>-1.4210854715202004E-14</v>
      </c>
      <c r="AA1577">
        <f>IF(Scenarios!$J$27=0,SUM(Mitigation_Industry!AA606:AA614)-INDEX(AA$1604:AA$1663,MATCH("v1:shp:2:mch:"&amp;Settings!$B$10,$A$1604:$A$1663,0)),0)</f>
        <v>0</v>
      </c>
      <c r="AB1577">
        <f>IF(Scenarios!$J$27=0,SUM(Mitigation_Industry!AB606:AB614)-INDEX(AB$1604:AB$1663,MATCH("v1:shp:2:mch:"&amp;Settings!$B$10,$A$1604:$A$1663,0)),0)</f>
        <v>2.8421709430404007E-14</v>
      </c>
      <c r="AC1577">
        <f>IF(Scenarios!$J$27=0,SUM(Mitigation_Industry!AC606:AC614)-INDEX(AC$1604:AC$1663,MATCH("v1:shp:2:mch:"&amp;Settings!$B$10,$A$1604:$A$1663,0)),0)</f>
        <v>0</v>
      </c>
      <c r="AD1577">
        <f>IF(Scenarios!$J$27=0,SUM(Mitigation_Industry!AD606:AD614)-INDEX(AD$1604:AD$1663,MATCH("v1:shp:2:mch:"&amp;Settings!$B$10,$A$1604:$A$1663,0)),0)</f>
        <v>2.8421709430404007E-14</v>
      </c>
      <c r="AE1577">
        <f>IF(Scenarios!$J$27=0,SUM(Mitigation_Industry!AE606:AE614)-INDEX(AE$1604:AE$1663,MATCH("v1:shp:2:mch:"&amp;Settings!$B$10,$A$1604:$A$1663,0)),0)</f>
        <v>0</v>
      </c>
    </row>
    <row r="1578" spans="1:31" x14ac:dyDescent="0.45">
      <c r="A1578" t="s">
        <v>2441</v>
      </c>
      <c r="D1578">
        <v>1</v>
      </c>
      <c r="E1578" t="s">
        <v>1161</v>
      </c>
      <c r="F1578">
        <f t="shared" si="361"/>
        <v>0</v>
      </c>
      <c r="I1578">
        <v>0</v>
      </c>
      <c r="L1578">
        <f>Mitigation_Industry!L63-INDEX(L$1604:L$1663,MATCH("v1:ener:1:irn:",$A$1604:$A$1663,0))</f>
        <v>0</v>
      </c>
      <c r="M1578">
        <f>Mitigation_Industry!M63-INDEX(M$1604:M$1663,MATCH("v1:ener:1:irn:",$A$1604:$A$1663,0))</f>
        <v>0</v>
      </c>
      <c r="N1578">
        <f>Mitigation_Industry!N63-INDEX(N$1604:N$1663,MATCH("v1:ener:1:irn:",$A$1604:$A$1663,0))</f>
        <v>0</v>
      </c>
      <c r="O1578">
        <f>Mitigation_Industry!O63-INDEX(O$1604:O$1663,MATCH("v1:ener:1:irn:",$A$1604:$A$1663,0))</f>
        <v>0</v>
      </c>
      <c r="P1578">
        <f>Mitigation_Industry!P63-INDEX(P$1604:P$1663,MATCH("v1:ener:1:irn:",$A$1604:$A$1663,0))</f>
        <v>0</v>
      </c>
      <c r="Q1578">
        <f>Mitigation_Industry!Q63-INDEX(Q$1604:Q$1663,MATCH("v1:ener:1:irn:",$A$1604:$A$1663,0))</f>
        <v>0</v>
      </c>
      <c r="R1578">
        <f>Mitigation_Industry!R63-INDEX(R$1604:R$1663,MATCH("v1:ener:1:irn:",$A$1604:$A$1663,0))</f>
        <v>0</v>
      </c>
      <c r="S1578">
        <f>Mitigation_Industry!S63-INDEX(S$1604:S$1663,MATCH("v1:ener:1:irn:",$A$1604:$A$1663,0))</f>
        <v>0</v>
      </c>
      <c r="T1578">
        <f>Mitigation_Industry!T63-INDEX(T$1604:T$1663,MATCH("v1:ener:1:irn:",$A$1604:$A$1663,0))</f>
        <v>0</v>
      </c>
      <c r="U1578">
        <f>Mitigation_Industry!U63-INDEX(U$1604:U$1663,MATCH("v1:ener:1:irn:",$A$1604:$A$1663,0))</f>
        <v>0</v>
      </c>
      <c r="V1578">
        <f>Mitigation_Industry!V63-INDEX(V$1604:V$1663,MATCH("v1:ener:1:irn:",$A$1604:$A$1663,0))</f>
        <v>0</v>
      </c>
      <c r="W1578">
        <f>Mitigation_Industry!W63-INDEX(W$1604:W$1663,MATCH("v1:ener:1:irn:",$A$1604:$A$1663,0))</f>
        <v>0</v>
      </c>
      <c r="X1578">
        <f>Mitigation_Industry!X63-INDEX(X$1604:X$1663,MATCH("v1:ener:1:irn:",$A$1604:$A$1663,0))</f>
        <v>0</v>
      </c>
      <c r="Y1578">
        <f>Mitigation_Industry!Y63-INDEX(Y$1604:Y$1663,MATCH("v1:ener:1:irn:",$A$1604:$A$1663,0))</f>
        <v>0</v>
      </c>
      <c r="Z1578">
        <f>Mitigation_Industry!Z63-INDEX(Z$1604:Z$1663,MATCH("v1:ener:1:irn:",$A$1604:$A$1663,0))</f>
        <v>0</v>
      </c>
      <c r="AA1578">
        <f>Mitigation_Industry!AA63-INDEX(AA$1604:AA$1663,MATCH("v1:ener:1:irn:",$A$1604:$A$1663,0))</f>
        <v>0</v>
      </c>
      <c r="AB1578">
        <f>Mitigation_Industry!AB63-INDEX(AB$1604:AB$1663,MATCH("v1:ener:1:irn:",$A$1604:$A$1663,0))</f>
        <v>0</v>
      </c>
      <c r="AC1578">
        <f>Mitigation_Industry!AC63-INDEX(AC$1604:AC$1663,MATCH("v1:ener:1:irn:",$A$1604:$A$1663,0))</f>
        <v>0</v>
      </c>
      <c r="AD1578">
        <f>Mitigation_Industry!AD63-INDEX(AD$1604:AD$1663,MATCH("v1:ener:1:irn:",$A$1604:$A$1663,0))</f>
        <v>0</v>
      </c>
      <c r="AE1578">
        <f>Mitigation_Industry!AE63-INDEX(AE$1604:AE$1663,MATCH("v1:ener:1:irn:",$A$1604:$A$1663,0))</f>
        <v>0</v>
      </c>
    </row>
    <row r="1579" spans="1:31" x14ac:dyDescent="0.45">
      <c r="A1579" t="s">
        <v>2442</v>
      </c>
      <c r="D1579">
        <v>1</v>
      </c>
      <c r="E1579" t="s">
        <v>1161</v>
      </c>
      <c r="F1579">
        <f t="shared" si="361"/>
        <v>0</v>
      </c>
      <c r="I1579">
        <v>0</v>
      </c>
      <c r="L1579">
        <f>Mitigation_Industry!L123-INDEX(L$1604:L$1663,MATCH("v1:ener:1:cem:",$A$1604:$A$1663,0))</f>
        <v>0</v>
      </c>
      <c r="M1579">
        <f>Mitigation_Industry!M123-INDEX(M$1604:M$1663,MATCH("v1:ener:1:cem:",$A$1604:$A$1663,0))</f>
        <v>0</v>
      </c>
      <c r="N1579">
        <f>Mitigation_Industry!N123-INDEX(N$1604:N$1663,MATCH("v1:ener:1:cem:",$A$1604:$A$1663,0))</f>
        <v>0</v>
      </c>
      <c r="O1579">
        <f>Mitigation_Industry!O123-INDEX(O$1604:O$1663,MATCH("v1:ener:1:cem:",$A$1604:$A$1663,0))</f>
        <v>0</v>
      </c>
      <c r="P1579">
        <f>Mitigation_Industry!P123-INDEX(P$1604:P$1663,MATCH("v1:ener:1:cem:",$A$1604:$A$1663,0))</f>
        <v>0</v>
      </c>
      <c r="Q1579">
        <f>Mitigation_Industry!Q123-INDEX(Q$1604:Q$1663,MATCH("v1:ener:1:cem:",$A$1604:$A$1663,0))</f>
        <v>0</v>
      </c>
      <c r="R1579">
        <f>Mitigation_Industry!R123-INDEX(R$1604:R$1663,MATCH("v1:ener:1:cem:",$A$1604:$A$1663,0))</f>
        <v>0</v>
      </c>
      <c r="S1579">
        <f>Mitigation_Industry!S123-INDEX(S$1604:S$1663,MATCH("v1:ener:1:cem:",$A$1604:$A$1663,0))</f>
        <v>0</v>
      </c>
      <c r="T1579">
        <f>Mitigation_Industry!T123-INDEX(T$1604:T$1663,MATCH("v1:ener:1:cem:",$A$1604:$A$1663,0))</f>
        <v>0</v>
      </c>
      <c r="U1579">
        <f>Mitigation_Industry!U123-INDEX(U$1604:U$1663,MATCH("v1:ener:1:cem:",$A$1604:$A$1663,0))</f>
        <v>0</v>
      </c>
      <c r="V1579">
        <f>Mitigation_Industry!V123-INDEX(V$1604:V$1663,MATCH("v1:ener:1:cem:",$A$1604:$A$1663,0))</f>
        <v>0</v>
      </c>
      <c r="W1579">
        <f>Mitigation_Industry!W123-INDEX(W$1604:W$1663,MATCH("v1:ener:1:cem:",$A$1604:$A$1663,0))</f>
        <v>0</v>
      </c>
      <c r="X1579">
        <f>Mitigation_Industry!X123-INDEX(X$1604:X$1663,MATCH("v1:ener:1:cem:",$A$1604:$A$1663,0))</f>
        <v>0</v>
      </c>
      <c r="Y1579">
        <f>Mitigation_Industry!Y123-INDEX(Y$1604:Y$1663,MATCH("v1:ener:1:cem:",$A$1604:$A$1663,0))</f>
        <v>0</v>
      </c>
      <c r="Z1579">
        <f>Mitigation_Industry!Z123-INDEX(Z$1604:Z$1663,MATCH("v1:ener:1:cem:",$A$1604:$A$1663,0))</f>
        <v>0</v>
      </c>
      <c r="AA1579">
        <f>Mitigation_Industry!AA123-INDEX(AA$1604:AA$1663,MATCH("v1:ener:1:cem:",$A$1604:$A$1663,0))</f>
        <v>0</v>
      </c>
      <c r="AB1579">
        <f>Mitigation_Industry!AB123-INDEX(AB$1604:AB$1663,MATCH("v1:ener:1:cem:",$A$1604:$A$1663,0))</f>
        <v>0</v>
      </c>
      <c r="AC1579">
        <f>Mitigation_Industry!AC123-INDEX(AC$1604:AC$1663,MATCH("v1:ener:1:cem:",$A$1604:$A$1663,0))</f>
        <v>0</v>
      </c>
      <c r="AD1579">
        <f>Mitigation_Industry!AD123-INDEX(AD$1604:AD$1663,MATCH("v1:ener:1:cem:",$A$1604:$A$1663,0))</f>
        <v>0</v>
      </c>
      <c r="AE1579">
        <f>Mitigation_Industry!AE123-INDEX(AE$1604:AE$1663,MATCH("v1:ener:1:cem:",$A$1604:$A$1663,0))</f>
        <v>0</v>
      </c>
    </row>
    <row r="1580" spans="1:31" x14ac:dyDescent="0.45">
      <c r="A1580" t="s">
        <v>2443</v>
      </c>
      <c r="D1580">
        <v>1</v>
      </c>
      <c r="E1580" t="s">
        <v>1161</v>
      </c>
      <c r="F1580">
        <f t="shared" si="361"/>
        <v>0</v>
      </c>
      <c r="I1580">
        <v>0</v>
      </c>
      <c r="L1580">
        <f>Mitigation_Industry!L183-INDEX(L$1604:L$1663,MATCH("v1:ener:1:nfm:",$A$1604:$A$1663,0))</f>
        <v>0</v>
      </c>
      <c r="M1580">
        <f>Mitigation_Industry!M183-INDEX(M$1604:M$1663,MATCH("v1:ener:1:nfm:",$A$1604:$A$1663,0))</f>
        <v>0</v>
      </c>
      <c r="N1580">
        <f>Mitigation_Industry!N183-INDEX(N$1604:N$1663,MATCH("v1:ener:1:nfm:",$A$1604:$A$1663,0))</f>
        <v>0</v>
      </c>
      <c r="O1580">
        <f>Mitigation_Industry!O183-INDEX(O$1604:O$1663,MATCH("v1:ener:1:nfm:",$A$1604:$A$1663,0))</f>
        <v>0</v>
      </c>
      <c r="P1580">
        <f>Mitigation_Industry!P183-INDEX(P$1604:P$1663,MATCH("v1:ener:1:nfm:",$A$1604:$A$1663,0))</f>
        <v>0</v>
      </c>
      <c r="Q1580">
        <f>Mitigation_Industry!Q183-INDEX(Q$1604:Q$1663,MATCH("v1:ener:1:nfm:",$A$1604:$A$1663,0))</f>
        <v>0</v>
      </c>
      <c r="R1580">
        <f>Mitigation_Industry!R183-INDEX(R$1604:R$1663,MATCH("v1:ener:1:nfm:",$A$1604:$A$1663,0))</f>
        <v>0</v>
      </c>
      <c r="S1580">
        <f>Mitigation_Industry!S183-INDEX(S$1604:S$1663,MATCH("v1:ener:1:nfm:",$A$1604:$A$1663,0))</f>
        <v>0</v>
      </c>
      <c r="T1580">
        <f>Mitigation_Industry!T183-INDEX(T$1604:T$1663,MATCH("v1:ener:1:nfm:",$A$1604:$A$1663,0))</f>
        <v>0</v>
      </c>
      <c r="U1580">
        <f>Mitigation_Industry!U183-INDEX(U$1604:U$1663,MATCH("v1:ener:1:nfm:",$A$1604:$A$1663,0))</f>
        <v>0</v>
      </c>
      <c r="V1580">
        <f>Mitigation_Industry!V183-INDEX(V$1604:V$1663,MATCH("v1:ener:1:nfm:",$A$1604:$A$1663,0))</f>
        <v>0</v>
      </c>
      <c r="W1580">
        <f>Mitigation_Industry!W183-INDEX(W$1604:W$1663,MATCH("v1:ener:1:nfm:",$A$1604:$A$1663,0))</f>
        <v>0</v>
      </c>
      <c r="X1580">
        <f>Mitigation_Industry!X183-INDEX(X$1604:X$1663,MATCH("v1:ener:1:nfm:",$A$1604:$A$1663,0))</f>
        <v>0</v>
      </c>
      <c r="Y1580">
        <f>Mitigation_Industry!Y183-INDEX(Y$1604:Y$1663,MATCH("v1:ener:1:nfm:",$A$1604:$A$1663,0))</f>
        <v>0</v>
      </c>
      <c r="Z1580">
        <f>Mitigation_Industry!Z183-INDEX(Z$1604:Z$1663,MATCH("v1:ener:1:nfm:",$A$1604:$A$1663,0))</f>
        <v>0</v>
      </c>
      <c r="AA1580">
        <f>Mitigation_Industry!AA183-INDEX(AA$1604:AA$1663,MATCH("v1:ener:1:nfm:",$A$1604:$A$1663,0))</f>
        <v>0</v>
      </c>
      <c r="AB1580">
        <f>Mitigation_Industry!AB183-INDEX(AB$1604:AB$1663,MATCH("v1:ener:1:nfm:",$A$1604:$A$1663,0))</f>
        <v>0</v>
      </c>
      <c r="AC1580">
        <f>Mitigation_Industry!AC183-INDEX(AC$1604:AC$1663,MATCH("v1:ener:1:nfm:",$A$1604:$A$1663,0))</f>
        <v>0</v>
      </c>
      <c r="AD1580">
        <f>Mitigation_Industry!AD183-INDEX(AD$1604:AD$1663,MATCH("v1:ener:1:nfm:",$A$1604:$A$1663,0))</f>
        <v>0</v>
      </c>
      <c r="AE1580">
        <f>Mitigation_Industry!AE183-INDEX(AE$1604:AE$1663,MATCH("v1:ener:1:nfm:",$A$1604:$A$1663,0))</f>
        <v>0</v>
      </c>
    </row>
    <row r="1581" spans="1:31" x14ac:dyDescent="0.45">
      <c r="A1581" t="s">
        <v>2444</v>
      </c>
      <c r="D1581">
        <v>1</v>
      </c>
      <c r="E1581" t="s">
        <v>1161</v>
      </c>
      <c r="F1581">
        <f t="shared" si="361"/>
        <v>0</v>
      </c>
      <c r="I1581">
        <v>0</v>
      </c>
      <c r="L1581">
        <f>Mitigation_Industry!L243-INDEX(L$1604:L$1663,MATCH("v1:ener:1:mch:",$A$1604:$A$1663,0))</f>
        <v>0</v>
      </c>
      <c r="M1581">
        <f>Mitigation_Industry!M243-INDEX(M$1604:M$1663,MATCH("v1:ener:1:mch:",$A$1604:$A$1663,0))</f>
        <v>0</v>
      </c>
      <c r="N1581">
        <f>Mitigation_Industry!N243-INDEX(N$1604:N$1663,MATCH("v1:ener:1:mch:",$A$1604:$A$1663,0))</f>
        <v>0</v>
      </c>
      <c r="O1581">
        <f>Mitigation_Industry!O243-INDEX(O$1604:O$1663,MATCH("v1:ener:1:mch:",$A$1604:$A$1663,0))</f>
        <v>0</v>
      </c>
      <c r="P1581">
        <f>Mitigation_Industry!P243-INDEX(P$1604:P$1663,MATCH("v1:ener:1:mch:",$A$1604:$A$1663,0))</f>
        <v>0</v>
      </c>
      <c r="Q1581">
        <f>Mitigation_Industry!Q243-INDEX(Q$1604:Q$1663,MATCH("v1:ener:1:mch:",$A$1604:$A$1663,0))</f>
        <v>0</v>
      </c>
      <c r="R1581">
        <f>Mitigation_Industry!R243-INDEX(R$1604:R$1663,MATCH("v1:ener:1:mch:",$A$1604:$A$1663,0))</f>
        <v>0</v>
      </c>
      <c r="S1581">
        <f>Mitigation_Industry!S243-INDEX(S$1604:S$1663,MATCH("v1:ener:1:mch:",$A$1604:$A$1663,0))</f>
        <v>0</v>
      </c>
      <c r="T1581">
        <f>Mitigation_Industry!T243-INDEX(T$1604:T$1663,MATCH("v1:ener:1:mch:",$A$1604:$A$1663,0))</f>
        <v>0</v>
      </c>
      <c r="U1581">
        <f>Mitigation_Industry!U243-INDEX(U$1604:U$1663,MATCH("v1:ener:1:mch:",$A$1604:$A$1663,0))</f>
        <v>0</v>
      </c>
      <c r="V1581">
        <f>Mitigation_Industry!V243-INDEX(V$1604:V$1663,MATCH("v1:ener:1:mch:",$A$1604:$A$1663,0))</f>
        <v>0</v>
      </c>
      <c r="W1581">
        <f>Mitigation_Industry!W243-INDEX(W$1604:W$1663,MATCH("v1:ener:1:mch:",$A$1604:$A$1663,0))</f>
        <v>0</v>
      </c>
      <c r="X1581">
        <f>Mitigation_Industry!X243-INDEX(X$1604:X$1663,MATCH("v1:ener:1:mch:",$A$1604:$A$1663,0))</f>
        <v>0</v>
      </c>
      <c r="Y1581">
        <f>Mitigation_Industry!Y243-INDEX(Y$1604:Y$1663,MATCH("v1:ener:1:mch:",$A$1604:$A$1663,0))</f>
        <v>0</v>
      </c>
      <c r="Z1581">
        <f>Mitigation_Industry!Z243-INDEX(Z$1604:Z$1663,MATCH("v1:ener:1:mch:",$A$1604:$A$1663,0))</f>
        <v>0</v>
      </c>
      <c r="AA1581">
        <f>Mitigation_Industry!AA243-INDEX(AA$1604:AA$1663,MATCH("v1:ener:1:mch:",$A$1604:$A$1663,0))</f>
        <v>0</v>
      </c>
      <c r="AB1581">
        <f>Mitigation_Industry!AB243-INDEX(AB$1604:AB$1663,MATCH("v1:ener:1:mch:",$A$1604:$A$1663,0))</f>
        <v>0</v>
      </c>
      <c r="AC1581">
        <f>Mitigation_Industry!AC243-INDEX(AC$1604:AC$1663,MATCH("v1:ener:1:mch:",$A$1604:$A$1663,0))</f>
        <v>0</v>
      </c>
      <c r="AD1581">
        <f>Mitigation_Industry!AD243-INDEX(AD$1604:AD$1663,MATCH("v1:ener:1:mch:",$A$1604:$A$1663,0))</f>
        <v>0</v>
      </c>
      <c r="AE1581">
        <f>Mitigation_Industry!AE243-INDEX(AE$1604:AE$1663,MATCH("v1:ener:1:mch:",$A$1604:$A$1663,0))</f>
        <v>0</v>
      </c>
    </row>
    <row r="1582" spans="1:31" x14ac:dyDescent="0.45">
      <c r="A1582" t="s">
        <v>2893</v>
      </c>
      <c r="D1582">
        <v>2</v>
      </c>
      <c r="E1582" t="s">
        <v>1161</v>
      </c>
      <c r="F1582">
        <f t="shared" si="361"/>
        <v>0</v>
      </c>
      <c r="I1582">
        <v>0</v>
      </c>
      <c r="L1582">
        <f>IF(AND(Scenarios!$I$27=0,Scenarios!$J$27=0),Mitigation_Industry!L462-INDEX(L$1604:L$1663,MATCH("v1:ener:2:irn:"&amp;Settings!$B$10,$A$1604:$A$1663,0)),0)</f>
        <v>0</v>
      </c>
      <c r="M1582">
        <f>IF(AND(Scenarios!$I$27=0,Scenarios!$J$27=0),Mitigation_Industry!M462-INDEX(M$1604:M$1663,MATCH("v1:ener:2:irn:"&amp;Settings!$B$10,$A$1604:$A$1663,0)),0)</f>
        <v>0</v>
      </c>
      <c r="N1582">
        <f>IF(AND(Scenarios!$I$27=0,Scenarios!$J$27=0),Mitigation_Industry!N462-INDEX(N$1604:N$1663,MATCH("v1:ener:2:irn:"&amp;Settings!$B$10,$A$1604:$A$1663,0)),0)</f>
        <v>0</v>
      </c>
      <c r="O1582">
        <f>IF(AND(Scenarios!$I$27=0,Scenarios!$J$27=0),Mitigation_Industry!O462-INDEX(O$1604:O$1663,MATCH("v1:ener:2:irn:"&amp;Settings!$B$10,$A$1604:$A$1663,0)),0)</f>
        <v>0</v>
      </c>
      <c r="P1582">
        <f>IF(AND(Scenarios!$I$27=0,Scenarios!$J$27=0),Mitigation_Industry!P462-INDEX(P$1604:P$1663,MATCH("v1:ener:2:irn:"&amp;Settings!$B$10,$A$1604:$A$1663,0)),0)</f>
        <v>0</v>
      </c>
      <c r="Q1582">
        <f>IF(AND(Scenarios!$I$27=0,Scenarios!$J$27=0),Mitigation_Industry!Q462-INDEX(Q$1604:Q$1663,MATCH("v1:ener:2:irn:"&amp;Settings!$B$10,$A$1604:$A$1663,0)),0)</f>
        <v>0</v>
      </c>
      <c r="R1582">
        <f>IF(AND(Scenarios!$I$27=0,Scenarios!$J$27=0),Mitigation_Industry!R462-INDEX(R$1604:R$1663,MATCH("v1:ener:2:irn:"&amp;Settings!$B$10,$A$1604:$A$1663,0)),0)</f>
        <v>0</v>
      </c>
      <c r="S1582">
        <f>IF(AND(Scenarios!$I$27=0,Scenarios!$J$27=0),Mitigation_Industry!S462-INDEX(S$1604:S$1663,MATCH("v1:ener:2:irn:"&amp;Settings!$B$10,$A$1604:$A$1663,0)),0)</f>
        <v>0</v>
      </c>
      <c r="T1582">
        <f>IF(AND(Scenarios!$I$27=0,Scenarios!$J$27=0),Mitigation_Industry!T462-INDEX(T$1604:T$1663,MATCH("v1:ener:2:irn:"&amp;Settings!$B$10,$A$1604:$A$1663,0)),0)</f>
        <v>0</v>
      </c>
      <c r="U1582">
        <f>IF(AND(Scenarios!$I$27=0,Scenarios!$J$27=0),Mitigation_Industry!U462-INDEX(U$1604:U$1663,MATCH("v1:ener:2:irn:"&amp;Settings!$B$10,$A$1604:$A$1663,0)),0)</f>
        <v>0</v>
      </c>
      <c r="V1582">
        <f>IF(AND(Scenarios!$I$27=0,Scenarios!$J$27=0),Mitigation_Industry!V462-INDEX(V$1604:V$1663,MATCH("v1:ener:2:irn:"&amp;Settings!$B$10,$A$1604:$A$1663,0)),0)</f>
        <v>0</v>
      </c>
      <c r="W1582">
        <f>IF(AND(Scenarios!$I$27=0,Scenarios!$J$27=0),Mitigation_Industry!W462-INDEX(W$1604:W$1663,MATCH("v1:ener:2:irn:"&amp;Settings!$B$10,$A$1604:$A$1663,0)),0)</f>
        <v>0</v>
      </c>
      <c r="X1582">
        <f>IF(AND(Scenarios!$I$27=0,Scenarios!$J$27=0),Mitigation_Industry!X462-INDEX(X$1604:X$1663,MATCH("v1:ener:2:irn:"&amp;Settings!$B$10,$A$1604:$A$1663,0)),0)</f>
        <v>0</v>
      </c>
      <c r="Y1582">
        <f>IF(AND(Scenarios!$I$27=0,Scenarios!$J$27=0),Mitigation_Industry!Y462-INDEX(Y$1604:Y$1663,MATCH("v1:ener:2:irn:"&amp;Settings!$B$10,$A$1604:$A$1663,0)),0)</f>
        <v>0</v>
      </c>
      <c r="Z1582">
        <f>IF(AND(Scenarios!$I$27=0,Scenarios!$J$27=0),Mitigation_Industry!Z462-INDEX(Z$1604:Z$1663,MATCH("v1:ener:2:irn:"&amp;Settings!$B$10,$A$1604:$A$1663,0)),0)</f>
        <v>0</v>
      </c>
      <c r="AA1582">
        <f>IF(AND(Scenarios!$I$27=0,Scenarios!$J$27=0),Mitigation_Industry!AA462-INDEX(AA$1604:AA$1663,MATCH("v1:ener:2:irn:"&amp;Settings!$B$10,$A$1604:$A$1663,0)),0)</f>
        <v>0</v>
      </c>
      <c r="AB1582">
        <f>IF(AND(Scenarios!$I$27=0,Scenarios!$J$27=0),Mitigation_Industry!AB462-INDEX(AB$1604:AB$1663,MATCH("v1:ener:2:irn:"&amp;Settings!$B$10,$A$1604:$A$1663,0)),0)</f>
        <v>0</v>
      </c>
      <c r="AC1582">
        <f>IF(AND(Scenarios!$I$27=0,Scenarios!$J$27=0),Mitigation_Industry!AC462-INDEX(AC$1604:AC$1663,MATCH("v1:ener:2:irn:"&amp;Settings!$B$10,$A$1604:$A$1663,0)),0)</f>
        <v>0</v>
      </c>
      <c r="AD1582">
        <f>IF(AND(Scenarios!$I$27=0,Scenarios!$J$27=0),Mitigation_Industry!AD462-INDEX(AD$1604:AD$1663,MATCH("v1:ener:2:irn:"&amp;Settings!$B$10,$A$1604:$A$1663,0)),0)</f>
        <v>0</v>
      </c>
      <c r="AE1582">
        <f>IF(AND(Scenarios!$I$27=0,Scenarios!$J$27=0),Mitigation_Industry!AE462-INDEX(AE$1604:AE$1663,MATCH("v1:ener:2:irn:"&amp;Settings!$B$10,$A$1604:$A$1663,0)),0)</f>
        <v>0</v>
      </c>
    </row>
    <row r="1583" spans="1:31" x14ac:dyDescent="0.45">
      <c r="A1583" t="s">
        <v>2894</v>
      </c>
      <c r="D1583">
        <v>2</v>
      </c>
      <c r="E1583" t="s">
        <v>1161</v>
      </c>
      <c r="F1583">
        <f t="shared" si="361"/>
        <v>0</v>
      </c>
      <c r="I1583">
        <v>0</v>
      </c>
      <c r="L1583">
        <f>IF(AND(Scenarios!$I$27=0,Scenarios!$J$27=0),Mitigation_Industry!L522-INDEX(L$1604:L$1663,MATCH("v1:ener:2:cem:"&amp;Settings!$B$10,$A$1604:$A$1663,0)),0)</f>
        <v>0</v>
      </c>
      <c r="M1583">
        <f>IF(AND(Scenarios!$I$27=0,Scenarios!$J$27=0),Mitigation_Industry!M522-INDEX(M$1604:M$1663,MATCH("v1:ener:2:cem:"&amp;Settings!$B$10,$A$1604:$A$1663,0)),0)</f>
        <v>0</v>
      </c>
      <c r="N1583">
        <f>IF(AND(Scenarios!$I$27=0,Scenarios!$J$27=0),Mitigation_Industry!N522-INDEX(N$1604:N$1663,MATCH("v1:ener:2:cem:"&amp;Settings!$B$10,$A$1604:$A$1663,0)),0)</f>
        <v>0</v>
      </c>
      <c r="O1583">
        <f>IF(AND(Scenarios!$I$27=0,Scenarios!$J$27=0),Mitigation_Industry!O522-INDEX(O$1604:O$1663,MATCH("v1:ener:2:cem:"&amp;Settings!$B$10,$A$1604:$A$1663,0)),0)</f>
        <v>0</v>
      </c>
      <c r="P1583">
        <f>IF(AND(Scenarios!$I$27=0,Scenarios!$J$27=0),Mitigation_Industry!P522-INDEX(P$1604:P$1663,MATCH("v1:ener:2:cem:"&amp;Settings!$B$10,$A$1604:$A$1663,0)),0)</f>
        <v>0</v>
      </c>
      <c r="Q1583">
        <f>IF(AND(Scenarios!$I$27=0,Scenarios!$J$27=0),Mitigation_Industry!Q522-INDEX(Q$1604:Q$1663,MATCH("v1:ener:2:cem:"&amp;Settings!$B$10,$A$1604:$A$1663,0)),0)</f>
        <v>0</v>
      </c>
      <c r="R1583">
        <f>IF(AND(Scenarios!$I$27=0,Scenarios!$J$27=0),Mitigation_Industry!R522-INDEX(R$1604:R$1663,MATCH("v1:ener:2:cem:"&amp;Settings!$B$10,$A$1604:$A$1663,0)),0)</f>
        <v>0</v>
      </c>
      <c r="S1583">
        <f>IF(AND(Scenarios!$I$27=0,Scenarios!$J$27=0),Mitigation_Industry!S522-INDEX(S$1604:S$1663,MATCH("v1:ener:2:cem:"&amp;Settings!$B$10,$A$1604:$A$1663,0)),0)</f>
        <v>0</v>
      </c>
      <c r="T1583">
        <f>IF(AND(Scenarios!$I$27=0,Scenarios!$J$27=0),Mitigation_Industry!T522-INDEX(T$1604:T$1663,MATCH("v1:ener:2:cem:"&amp;Settings!$B$10,$A$1604:$A$1663,0)),0)</f>
        <v>0</v>
      </c>
      <c r="U1583">
        <f>IF(AND(Scenarios!$I$27=0,Scenarios!$J$27=0),Mitigation_Industry!U522-INDEX(U$1604:U$1663,MATCH("v1:ener:2:cem:"&amp;Settings!$B$10,$A$1604:$A$1663,0)),0)</f>
        <v>0</v>
      </c>
      <c r="V1583">
        <f>IF(AND(Scenarios!$I$27=0,Scenarios!$J$27=0),Mitigation_Industry!V522-INDEX(V$1604:V$1663,MATCH("v1:ener:2:cem:"&amp;Settings!$B$10,$A$1604:$A$1663,0)),0)</f>
        <v>0</v>
      </c>
      <c r="W1583">
        <f>IF(AND(Scenarios!$I$27=0,Scenarios!$J$27=0),Mitigation_Industry!W522-INDEX(W$1604:W$1663,MATCH("v1:ener:2:cem:"&amp;Settings!$B$10,$A$1604:$A$1663,0)),0)</f>
        <v>0</v>
      </c>
      <c r="X1583">
        <f>IF(AND(Scenarios!$I$27=0,Scenarios!$J$27=0),Mitigation_Industry!X522-INDEX(X$1604:X$1663,MATCH("v1:ener:2:cem:"&amp;Settings!$B$10,$A$1604:$A$1663,0)),0)</f>
        <v>0</v>
      </c>
      <c r="Y1583">
        <f>IF(AND(Scenarios!$I$27=0,Scenarios!$J$27=0),Mitigation_Industry!Y522-INDEX(Y$1604:Y$1663,MATCH("v1:ener:2:cem:"&amp;Settings!$B$10,$A$1604:$A$1663,0)),0)</f>
        <v>0</v>
      </c>
      <c r="Z1583">
        <f>IF(AND(Scenarios!$I$27=0,Scenarios!$J$27=0),Mitigation_Industry!Z522-INDEX(Z$1604:Z$1663,MATCH("v1:ener:2:cem:"&amp;Settings!$B$10,$A$1604:$A$1663,0)),0)</f>
        <v>0</v>
      </c>
      <c r="AA1583">
        <f>IF(AND(Scenarios!$I$27=0,Scenarios!$J$27=0),Mitigation_Industry!AA522-INDEX(AA$1604:AA$1663,MATCH("v1:ener:2:cem:"&amp;Settings!$B$10,$A$1604:$A$1663,0)),0)</f>
        <v>0</v>
      </c>
      <c r="AB1583">
        <f>IF(AND(Scenarios!$I$27=0,Scenarios!$J$27=0),Mitigation_Industry!AB522-INDEX(AB$1604:AB$1663,MATCH("v1:ener:2:cem:"&amp;Settings!$B$10,$A$1604:$A$1663,0)),0)</f>
        <v>0</v>
      </c>
      <c r="AC1583">
        <f>IF(AND(Scenarios!$I$27=0,Scenarios!$J$27=0),Mitigation_Industry!AC522-INDEX(AC$1604:AC$1663,MATCH("v1:ener:2:cem:"&amp;Settings!$B$10,$A$1604:$A$1663,0)),0)</f>
        <v>0</v>
      </c>
      <c r="AD1583">
        <f>IF(AND(Scenarios!$I$27=0,Scenarios!$J$27=0),Mitigation_Industry!AD522-INDEX(AD$1604:AD$1663,MATCH("v1:ener:2:cem:"&amp;Settings!$B$10,$A$1604:$A$1663,0)),0)</f>
        <v>0</v>
      </c>
      <c r="AE1583">
        <f>IF(AND(Scenarios!$I$27=0,Scenarios!$J$27=0),Mitigation_Industry!AE522-INDEX(AE$1604:AE$1663,MATCH("v1:ener:2:cem:"&amp;Settings!$B$10,$A$1604:$A$1663,0)),0)</f>
        <v>0</v>
      </c>
    </row>
    <row r="1584" spans="1:31" x14ac:dyDescent="0.45">
      <c r="A1584" t="s">
        <v>2895</v>
      </c>
      <c r="D1584">
        <v>2</v>
      </c>
      <c r="E1584" t="s">
        <v>1161</v>
      </c>
      <c r="F1584">
        <f t="shared" si="361"/>
        <v>0</v>
      </c>
      <c r="I1584">
        <v>0</v>
      </c>
      <c r="L1584">
        <f>IF(AND(Scenarios!$I$27=0,Scenarios!$J$27=0),Mitigation_Industry!L582-INDEX(L$1604:L$1663,MATCH("v1:ener:2:nfm:"&amp;Settings!$B$10,$A$1604:$A$1663,0)),0)</f>
        <v>0</v>
      </c>
      <c r="M1584">
        <f>IF(AND(Scenarios!$I$27=0,Scenarios!$J$27=0),Mitigation_Industry!M582-INDEX(M$1604:M$1663,MATCH("v1:ener:2:nfm:"&amp;Settings!$B$10,$A$1604:$A$1663,0)),0)</f>
        <v>0</v>
      </c>
      <c r="N1584">
        <f>IF(AND(Scenarios!$I$27=0,Scenarios!$J$27=0),Mitigation_Industry!N582-INDEX(N$1604:N$1663,MATCH("v1:ener:2:nfm:"&amp;Settings!$B$10,$A$1604:$A$1663,0)),0)</f>
        <v>0</v>
      </c>
      <c r="O1584">
        <f>IF(AND(Scenarios!$I$27=0,Scenarios!$J$27=0),Mitigation_Industry!O582-INDEX(O$1604:O$1663,MATCH("v1:ener:2:nfm:"&amp;Settings!$B$10,$A$1604:$A$1663,0)),0)</f>
        <v>0</v>
      </c>
      <c r="P1584">
        <f>IF(AND(Scenarios!$I$27=0,Scenarios!$J$27=0),Mitigation_Industry!P582-INDEX(P$1604:P$1663,MATCH("v1:ener:2:nfm:"&amp;Settings!$B$10,$A$1604:$A$1663,0)),0)</f>
        <v>0</v>
      </c>
      <c r="Q1584">
        <f>IF(AND(Scenarios!$I$27=0,Scenarios!$J$27=0),Mitigation_Industry!Q582-INDEX(Q$1604:Q$1663,MATCH("v1:ener:2:nfm:"&amp;Settings!$B$10,$A$1604:$A$1663,0)),0)</f>
        <v>0</v>
      </c>
      <c r="R1584">
        <f>IF(AND(Scenarios!$I$27=0,Scenarios!$J$27=0),Mitigation_Industry!R582-INDEX(R$1604:R$1663,MATCH("v1:ener:2:nfm:"&amp;Settings!$B$10,$A$1604:$A$1663,0)),0)</f>
        <v>0</v>
      </c>
      <c r="S1584">
        <f>IF(AND(Scenarios!$I$27=0,Scenarios!$J$27=0),Mitigation_Industry!S582-INDEX(S$1604:S$1663,MATCH("v1:ener:2:nfm:"&amp;Settings!$B$10,$A$1604:$A$1663,0)),0)</f>
        <v>0</v>
      </c>
      <c r="T1584">
        <f>IF(AND(Scenarios!$I$27=0,Scenarios!$J$27=0),Mitigation_Industry!T582-INDEX(T$1604:T$1663,MATCH("v1:ener:2:nfm:"&amp;Settings!$B$10,$A$1604:$A$1663,0)),0)</f>
        <v>0</v>
      </c>
      <c r="U1584">
        <f>IF(AND(Scenarios!$I$27=0,Scenarios!$J$27=0),Mitigation_Industry!U582-INDEX(U$1604:U$1663,MATCH("v1:ener:2:nfm:"&amp;Settings!$B$10,$A$1604:$A$1663,0)),0)</f>
        <v>0</v>
      </c>
      <c r="V1584">
        <f>IF(AND(Scenarios!$I$27=0,Scenarios!$J$27=0),Mitigation_Industry!V582-INDEX(V$1604:V$1663,MATCH("v1:ener:2:nfm:"&amp;Settings!$B$10,$A$1604:$A$1663,0)),0)</f>
        <v>0</v>
      </c>
      <c r="W1584">
        <f>IF(AND(Scenarios!$I$27=0,Scenarios!$J$27=0),Mitigation_Industry!W582-INDEX(W$1604:W$1663,MATCH("v1:ener:2:nfm:"&amp;Settings!$B$10,$A$1604:$A$1663,0)),0)</f>
        <v>0</v>
      </c>
      <c r="X1584">
        <f>IF(AND(Scenarios!$I$27=0,Scenarios!$J$27=0),Mitigation_Industry!X582-INDEX(X$1604:X$1663,MATCH("v1:ener:2:nfm:"&amp;Settings!$B$10,$A$1604:$A$1663,0)),0)</f>
        <v>0</v>
      </c>
      <c r="Y1584">
        <f>IF(AND(Scenarios!$I$27=0,Scenarios!$J$27=0),Mitigation_Industry!Y582-INDEX(Y$1604:Y$1663,MATCH("v1:ener:2:nfm:"&amp;Settings!$B$10,$A$1604:$A$1663,0)),0)</f>
        <v>0</v>
      </c>
      <c r="Z1584">
        <f>IF(AND(Scenarios!$I$27=0,Scenarios!$J$27=0),Mitigation_Industry!Z582-INDEX(Z$1604:Z$1663,MATCH("v1:ener:2:nfm:"&amp;Settings!$B$10,$A$1604:$A$1663,0)),0)</f>
        <v>0</v>
      </c>
      <c r="AA1584">
        <f>IF(AND(Scenarios!$I$27=0,Scenarios!$J$27=0),Mitigation_Industry!AA582-INDEX(AA$1604:AA$1663,MATCH("v1:ener:2:nfm:"&amp;Settings!$B$10,$A$1604:$A$1663,0)),0)</f>
        <v>0</v>
      </c>
      <c r="AB1584">
        <f>IF(AND(Scenarios!$I$27=0,Scenarios!$J$27=0),Mitigation_Industry!AB582-INDEX(AB$1604:AB$1663,MATCH("v1:ener:2:nfm:"&amp;Settings!$B$10,$A$1604:$A$1663,0)),0)</f>
        <v>0</v>
      </c>
      <c r="AC1584">
        <f>IF(AND(Scenarios!$I$27=0,Scenarios!$J$27=0),Mitigation_Industry!AC582-INDEX(AC$1604:AC$1663,MATCH("v1:ener:2:nfm:"&amp;Settings!$B$10,$A$1604:$A$1663,0)),0)</f>
        <v>0</v>
      </c>
      <c r="AD1584">
        <f>IF(AND(Scenarios!$I$27=0,Scenarios!$J$27=0),Mitigation_Industry!AD582-INDEX(AD$1604:AD$1663,MATCH("v1:ener:2:nfm:"&amp;Settings!$B$10,$A$1604:$A$1663,0)),0)</f>
        <v>0</v>
      </c>
      <c r="AE1584">
        <f>IF(AND(Scenarios!$I$27=0,Scenarios!$J$27=0),Mitigation_Industry!AE582-INDEX(AE$1604:AE$1663,MATCH("v1:ener:2:nfm:"&amp;Settings!$B$10,$A$1604:$A$1663,0)),0)</f>
        <v>0</v>
      </c>
    </row>
    <row r="1585" spans="1:31" x14ac:dyDescent="0.45">
      <c r="A1585" t="s">
        <v>2896</v>
      </c>
      <c r="D1585">
        <v>2</v>
      </c>
      <c r="E1585" t="s">
        <v>1161</v>
      </c>
      <c r="F1585">
        <f t="shared" si="361"/>
        <v>0</v>
      </c>
      <c r="I1585">
        <v>0</v>
      </c>
      <c r="L1585">
        <f>IF(AND(Scenarios!$I$27=0,Scenarios!$J$27=0),Mitigation_Industry!L642-INDEX(L$1604:L$1663,MATCH("v1:ener:2:mch:"&amp;Settings!$B$10,$A$1604:$A$1663,0)),0)</f>
        <v>0</v>
      </c>
      <c r="M1585">
        <f>IF(AND(Scenarios!$I$27=0,Scenarios!$J$27=0),Mitigation_Industry!M642-INDEX(M$1604:M$1663,MATCH("v1:ener:2:mch:"&amp;Settings!$B$10,$A$1604:$A$1663,0)),0)</f>
        <v>0</v>
      </c>
      <c r="N1585">
        <f>IF(AND(Scenarios!$I$27=0,Scenarios!$J$27=0),Mitigation_Industry!N642-INDEX(N$1604:N$1663,MATCH("v1:ener:2:mch:"&amp;Settings!$B$10,$A$1604:$A$1663,0)),0)</f>
        <v>0</v>
      </c>
      <c r="O1585">
        <f>IF(AND(Scenarios!$I$27=0,Scenarios!$J$27=0),Mitigation_Industry!O642-INDEX(O$1604:O$1663,MATCH("v1:ener:2:mch:"&amp;Settings!$B$10,$A$1604:$A$1663,0)),0)</f>
        <v>0</v>
      </c>
      <c r="P1585">
        <f>IF(AND(Scenarios!$I$27=0,Scenarios!$J$27=0),Mitigation_Industry!P642-INDEX(P$1604:P$1663,MATCH("v1:ener:2:mch:"&amp;Settings!$B$10,$A$1604:$A$1663,0)),0)</f>
        <v>0</v>
      </c>
      <c r="Q1585">
        <f>IF(AND(Scenarios!$I$27=0,Scenarios!$J$27=0),Mitigation_Industry!Q642-INDEX(Q$1604:Q$1663,MATCH("v1:ener:2:mch:"&amp;Settings!$B$10,$A$1604:$A$1663,0)),0)</f>
        <v>0</v>
      </c>
      <c r="R1585">
        <f>IF(AND(Scenarios!$I$27=0,Scenarios!$J$27=0),Mitigation_Industry!R642-INDEX(R$1604:R$1663,MATCH("v1:ener:2:mch:"&amp;Settings!$B$10,$A$1604:$A$1663,0)),0)</f>
        <v>0</v>
      </c>
      <c r="S1585">
        <f>IF(AND(Scenarios!$I$27=0,Scenarios!$J$27=0),Mitigation_Industry!S642-INDEX(S$1604:S$1663,MATCH("v1:ener:2:mch:"&amp;Settings!$B$10,$A$1604:$A$1663,0)),0)</f>
        <v>0</v>
      </c>
      <c r="T1585">
        <f>IF(AND(Scenarios!$I$27=0,Scenarios!$J$27=0),Mitigation_Industry!T642-INDEX(T$1604:T$1663,MATCH("v1:ener:2:mch:"&amp;Settings!$B$10,$A$1604:$A$1663,0)),0)</f>
        <v>0</v>
      </c>
      <c r="U1585">
        <f>IF(AND(Scenarios!$I$27=0,Scenarios!$J$27=0),Mitigation_Industry!U642-INDEX(U$1604:U$1663,MATCH("v1:ener:2:mch:"&amp;Settings!$B$10,$A$1604:$A$1663,0)),0)</f>
        <v>0</v>
      </c>
      <c r="V1585">
        <f>IF(AND(Scenarios!$I$27=0,Scenarios!$J$27=0),Mitigation_Industry!V642-INDEX(V$1604:V$1663,MATCH("v1:ener:2:mch:"&amp;Settings!$B$10,$A$1604:$A$1663,0)),0)</f>
        <v>0</v>
      </c>
      <c r="W1585">
        <f>IF(AND(Scenarios!$I$27=0,Scenarios!$J$27=0),Mitigation_Industry!W642-INDEX(W$1604:W$1663,MATCH("v1:ener:2:mch:"&amp;Settings!$B$10,$A$1604:$A$1663,0)),0)</f>
        <v>0</v>
      </c>
      <c r="X1585">
        <f>IF(AND(Scenarios!$I$27=0,Scenarios!$J$27=0),Mitigation_Industry!X642-INDEX(X$1604:X$1663,MATCH("v1:ener:2:mch:"&amp;Settings!$B$10,$A$1604:$A$1663,0)),0)</f>
        <v>0</v>
      </c>
      <c r="Y1585">
        <f>IF(AND(Scenarios!$I$27=0,Scenarios!$J$27=0),Mitigation_Industry!Y642-INDEX(Y$1604:Y$1663,MATCH("v1:ener:2:mch:"&amp;Settings!$B$10,$A$1604:$A$1663,0)),0)</f>
        <v>0</v>
      </c>
      <c r="Z1585">
        <f>IF(AND(Scenarios!$I$27=0,Scenarios!$J$27=0),Mitigation_Industry!Z642-INDEX(Z$1604:Z$1663,MATCH("v1:ener:2:mch:"&amp;Settings!$B$10,$A$1604:$A$1663,0)),0)</f>
        <v>0</v>
      </c>
      <c r="AA1585">
        <f>IF(AND(Scenarios!$I$27=0,Scenarios!$J$27=0),Mitigation_Industry!AA642-INDEX(AA$1604:AA$1663,MATCH("v1:ener:2:mch:"&amp;Settings!$B$10,$A$1604:$A$1663,0)),0)</f>
        <v>0</v>
      </c>
      <c r="AB1585">
        <f>IF(AND(Scenarios!$I$27=0,Scenarios!$J$27=0),Mitigation_Industry!AB642-INDEX(AB$1604:AB$1663,MATCH("v1:ener:2:mch:"&amp;Settings!$B$10,$A$1604:$A$1663,0)),0)</f>
        <v>0</v>
      </c>
      <c r="AC1585">
        <f>IF(AND(Scenarios!$I$27=0,Scenarios!$J$27=0),Mitigation_Industry!AC642-INDEX(AC$1604:AC$1663,MATCH("v1:ener:2:mch:"&amp;Settings!$B$10,$A$1604:$A$1663,0)),0)</f>
        <v>0</v>
      </c>
      <c r="AD1585">
        <f>IF(AND(Scenarios!$I$27=0,Scenarios!$J$27=0),Mitigation_Industry!AD642-INDEX(AD$1604:AD$1663,MATCH("v1:ener:2:mch:"&amp;Settings!$B$10,$A$1604:$A$1663,0)),0)</f>
        <v>0</v>
      </c>
      <c r="AE1585">
        <f>IF(AND(Scenarios!$I$27=0,Scenarios!$J$27=0),Mitigation_Industry!AE642-INDEX(AE$1604:AE$1663,MATCH("v1:ener:2:mch:"&amp;Settings!$B$10,$A$1604:$A$1663,0)),0)</f>
        <v>0</v>
      </c>
    </row>
    <row r="1586" spans="1:31" x14ac:dyDescent="0.45">
      <c r="A1586" t="s">
        <v>2445</v>
      </c>
      <c r="D1586">
        <v>2</v>
      </c>
      <c r="E1586" t="s">
        <v>2167</v>
      </c>
      <c r="F1586">
        <f>SUM(L1586:AE1586)</f>
        <v>0</v>
      </c>
      <c r="I1586">
        <v>0</v>
      </c>
      <c r="L1586">
        <f>IF(Scenarios!$I$27=0,0,--(Mitigation_Industry!L462&lt;INDEX(L$1604:L$1663,MATCH("v1:ener:2:irn:"&amp;Settings!$B$10,$A$1604:$A$1663,0))-0.000000001))</f>
        <v>0</v>
      </c>
      <c r="M1586">
        <f>IF(Scenarios!$I$27=0,0,--(Mitigation_Industry!M462&lt;INDEX(M$1604:M$1663,MATCH("v1:ener:2:irn:"&amp;Settings!$B$10,$A$1604:$A$1663,0))-0.000000001))</f>
        <v>0</v>
      </c>
      <c r="N1586">
        <f>IF(Scenarios!$I$27=0,0,--(Mitigation_Industry!N462&lt;INDEX(N$1604:N$1663,MATCH("v1:ener:2:irn:"&amp;Settings!$B$10,$A$1604:$A$1663,0))-0.000000001))</f>
        <v>0</v>
      </c>
      <c r="O1586">
        <f>IF(Scenarios!$I$27=0,0,--(Mitigation_Industry!O462&lt;INDEX(O$1604:O$1663,MATCH("v1:ener:2:irn:"&amp;Settings!$B$10,$A$1604:$A$1663,0))-0.000000001))</f>
        <v>0</v>
      </c>
      <c r="P1586">
        <f>IF(Scenarios!$I$27=0,0,--(Mitigation_Industry!P462&lt;INDEX(P$1604:P$1663,MATCH("v1:ener:2:irn:"&amp;Settings!$B$10,$A$1604:$A$1663,0))-0.000000001))</f>
        <v>0</v>
      </c>
      <c r="Q1586">
        <f>IF(Scenarios!$I$27=0,0,--(Mitigation_Industry!Q462&lt;INDEX(Q$1604:Q$1663,MATCH("v1:ener:2:irn:"&amp;Settings!$B$10,$A$1604:$A$1663,0))-0.000000001))</f>
        <v>0</v>
      </c>
      <c r="R1586">
        <f>IF(Scenarios!$I$27=0,0,--(Mitigation_Industry!R462&lt;INDEX(R$1604:R$1663,MATCH("v1:ener:2:irn:"&amp;Settings!$B$10,$A$1604:$A$1663,0))-0.000000001))</f>
        <v>0</v>
      </c>
      <c r="S1586">
        <f>IF(Scenarios!$I$27=0,0,--(Mitigation_Industry!S462&lt;INDEX(S$1604:S$1663,MATCH("v1:ener:2:irn:"&amp;Settings!$B$10,$A$1604:$A$1663,0))-0.000000001))</f>
        <v>0</v>
      </c>
      <c r="T1586">
        <f>IF(Scenarios!$I$27=0,0,--(Mitigation_Industry!T462&lt;INDEX(T$1604:T$1663,MATCH("v1:ener:2:irn:"&amp;Settings!$B$10,$A$1604:$A$1663,0))-0.000000001))</f>
        <v>0</v>
      </c>
      <c r="U1586">
        <f>IF(Scenarios!$I$27=0,0,--(Mitigation_Industry!U462&lt;INDEX(U$1604:U$1663,MATCH("v1:ener:2:irn:"&amp;Settings!$B$10,$A$1604:$A$1663,0))-0.000000001))</f>
        <v>0</v>
      </c>
      <c r="V1586">
        <f>IF(Scenarios!$I$27=0,0,--(Mitigation_Industry!V462&lt;INDEX(V$1604:V$1663,MATCH("v1:ener:2:irn:"&amp;Settings!$B$10,$A$1604:$A$1663,0))-0.000000001))</f>
        <v>0</v>
      </c>
      <c r="W1586">
        <f>IF(Scenarios!$I$27=0,0,--(Mitigation_Industry!W462&lt;INDEX(W$1604:W$1663,MATCH("v1:ener:2:irn:"&amp;Settings!$B$10,$A$1604:$A$1663,0))-0.000000001))</f>
        <v>0</v>
      </c>
      <c r="X1586">
        <f>IF(Scenarios!$I$27=0,0,--(Mitigation_Industry!X462&lt;INDEX(X$1604:X$1663,MATCH("v1:ener:2:irn:"&amp;Settings!$B$10,$A$1604:$A$1663,0))-0.000000001))</f>
        <v>0</v>
      </c>
      <c r="Y1586">
        <f>IF(Scenarios!$I$27=0,0,--(Mitigation_Industry!Y462&lt;INDEX(Y$1604:Y$1663,MATCH("v1:ener:2:irn:"&amp;Settings!$B$10,$A$1604:$A$1663,0))-0.000000001))</f>
        <v>0</v>
      </c>
      <c r="Z1586">
        <f>IF(Scenarios!$I$27=0,0,--(Mitigation_Industry!Z462&lt;INDEX(Z$1604:Z$1663,MATCH("v1:ener:2:irn:"&amp;Settings!$B$10,$A$1604:$A$1663,0))-0.000000001))</f>
        <v>0</v>
      </c>
      <c r="AA1586">
        <f>IF(Scenarios!$I$27=0,0,--(Mitigation_Industry!AA462&lt;INDEX(AA$1604:AA$1663,MATCH("v1:ener:2:irn:"&amp;Settings!$B$10,$A$1604:$A$1663,0))-0.000000001))</f>
        <v>0</v>
      </c>
      <c r="AB1586">
        <f>IF(Scenarios!$I$27=0,0,--(Mitigation_Industry!AB462&lt;INDEX(AB$1604:AB$1663,MATCH("v1:ener:2:irn:"&amp;Settings!$B$10,$A$1604:$A$1663,0))-0.000000001))</f>
        <v>0</v>
      </c>
      <c r="AC1586">
        <f>IF(Scenarios!$I$27=0,0,--(Mitigation_Industry!AC462&lt;INDEX(AC$1604:AC$1663,MATCH("v1:ener:2:irn:"&amp;Settings!$B$10,$A$1604:$A$1663,0))-0.000000001))</f>
        <v>0</v>
      </c>
      <c r="AD1586">
        <f>IF(Scenarios!$I$27=0,0,--(Mitigation_Industry!AD462&lt;INDEX(AD$1604:AD$1663,MATCH("v1:ener:2:irn:"&amp;Settings!$B$10,$A$1604:$A$1663,0))-0.000000001))</f>
        <v>0</v>
      </c>
      <c r="AE1586">
        <f>IF(Scenarios!$I$27=0,0,--(Mitigation_Industry!AE462&lt;INDEX(AE$1604:AE$1663,MATCH("v1:ener:2:irn:"&amp;Settings!$B$10,$A$1604:$A$1663,0))-0.000000001))</f>
        <v>0</v>
      </c>
    </row>
    <row r="1587" spans="1:31" x14ac:dyDescent="0.45">
      <c r="A1587" t="s">
        <v>2446</v>
      </c>
      <c r="D1587">
        <v>2</v>
      </c>
      <c r="E1587" t="s">
        <v>2167</v>
      </c>
      <c r="F1587">
        <f>SUM(L1587:AE1587)</f>
        <v>0</v>
      </c>
      <c r="I1587">
        <v>0</v>
      </c>
      <c r="L1587">
        <f>IF(Scenarios!$I$27=0,0,--(Mitigation_Industry!L522&lt;INDEX(L$1604:L$1663,MATCH("v1:ener:2:cem:"&amp;Settings!$B$10,$A$1604:$A$1663,0))-0.000000001))</f>
        <v>0</v>
      </c>
      <c r="M1587">
        <f>IF(Scenarios!$I$27=0,0,--(Mitigation_Industry!M522&lt;INDEX(M$1604:M$1663,MATCH("v1:ener:2:cem:"&amp;Settings!$B$10,$A$1604:$A$1663,0))-0.000000001))</f>
        <v>0</v>
      </c>
      <c r="N1587">
        <f>IF(Scenarios!$I$27=0,0,--(Mitigation_Industry!N522&lt;INDEX(N$1604:N$1663,MATCH("v1:ener:2:cem:"&amp;Settings!$B$10,$A$1604:$A$1663,0))-0.000000001))</f>
        <v>0</v>
      </c>
      <c r="O1587">
        <f>IF(Scenarios!$I$27=0,0,--(Mitigation_Industry!O522&lt;INDEX(O$1604:O$1663,MATCH("v1:ener:2:cem:"&amp;Settings!$B$10,$A$1604:$A$1663,0))-0.000000001))</f>
        <v>0</v>
      </c>
      <c r="P1587">
        <f>IF(Scenarios!$I$27=0,0,--(Mitigation_Industry!P522&lt;INDEX(P$1604:P$1663,MATCH("v1:ener:2:cem:"&amp;Settings!$B$10,$A$1604:$A$1663,0))-0.000000001))</f>
        <v>0</v>
      </c>
      <c r="Q1587">
        <f>IF(Scenarios!$I$27=0,0,--(Mitigation_Industry!Q522&lt;INDEX(Q$1604:Q$1663,MATCH("v1:ener:2:cem:"&amp;Settings!$B$10,$A$1604:$A$1663,0))-0.000000001))</f>
        <v>0</v>
      </c>
      <c r="R1587">
        <f>IF(Scenarios!$I$27=0,0,--(Mitigation_Industry!R522&lt;INDEX(R$1604:R$1663,MATCH("v1:ener:2:cem:"&amp;Settings!$B$10,$A$1604:$A$1663,0))-0.000000001))</f>
        <v>0</v>
      </c>
      <c r="S1587">
        <f>IF(Scenarios!$I$27=0,0,--(Mitigation_Industry!S522&lt;INDEX(S$1604:S$1663,MATCH("v1:ener:2:cem:"&amp;Settings!$B$10,$A$1604:$A$1663,0))-0.000000001))</f>
        <v>0</v>
      </c>
      <c r="T1587">
        <f>IF(Scenarios!$I$27=0,0,--(Mitigation_Industry!T522&lt;INDEX(T$1604:T$1663,MATCH("v1:ener:2:cem:"&amp;Settings!$B$10,$A$1604:$A$1663,0))-0.000000001))</f>
        <v>0</v>
      </c>
      <c r="U1587">
        <f>IF(Scenarios!$I$27=0,0,--(Mitigation_Industry!U522&lt;INDEX(U$1604:U$1663,MATCH("v1:ener:2:cem:"&amp;Settings!$B$10,$A$1604:$A$1663,0))-0.000000001))</f>
        <v>0</v>
      </c>
      <c r="V1587">
        <f>IF(Scenarios!$I$27=0,0,--(Mitigation_Industry!V522&lt;INDEX(V$1604:V$1663,MATCH("v1:ener:2:cem:"&amp;Settings!$B$10,$A$1604:$A$1663,0))-0.000000001))</f>
        <v>0</v>
      </c>
      <c r="W1587">
        <f>IF(Scenarios!$I$27=0,0,--(Mitigation_Industry!W522&lt;INDEX(W$1604:W$1663,MATCH("v1:ener:2:cem:"&amp;Settings!$B$10,$A$1604:$A$1663,0))-0.000000001))</f>
        <v>0</v>
      </c>
      <c r="X1587">
        <f>IF(Scenarios!$I$27=0,0,--(Mitigation_Industry!X522&lt;INDEX(X$1604:X$1663,MATCH("v1:ener:2:cem:"&amp;Settings!$B$10,$A$1604:$A$1663,0))-0.000000001))</f>
        <v>0</v>
      </c>
      <c r="Y1587">
        <f>IF(Scenarios!$I$27=0,0,--(Mitigation_Industry!Y522&lt;INDEX(Y$1604:Y$1663,MATCH("v1:ener:2:cem:"&amp;Settings!$B$10,$A$1604:$A$1663,0))-0.000000001))</f>
        <v>0</v>
      </c>
      <c r="Z1587">
        <f>IF(Scenarios!$I$27=0,0,--(Mitigation_Industry!Z522&lt;INDEX(Z$1604:Z$1663,MATCH("v1:ener:2:cem:"&amp;Settings!$B$10,$A$1604:$A$1663,0))-0.000000001))</f>
        <v>0</v>
      </c>
      <c r="AA1587">
        <f>IF(Scenarios!$I$27=0,0,--(Mitigation_Industry!AA522&lt;INDEX(AA$1604:AA$1663,MATCH("v1:ener:2:cem:"&amp;Settings!$B$10,$A$1604:$A$1663,0))-0.000000001))</f>
        <v>0</v>
      </c>
      <c r="AB1587">
        <f>IF(Scenarios!$I$27=0,0,--(Mitigation_Industry!AB522&lt;INDEX(AB$1604:AB$1663,MATCH("v1:ener:2:cem:"&amp;Settings!$B$10,$A$1604:$A$1663,0))-0.000000001))</f>
        <v>0</v>
      </c>
      <c r="AC1587">
        <f>IF(Scenarios!$I$27=0,0,--(Mitigation_Industry!AC522&lt;INDEX(AC$1604:AC$1663,MATCH("v1:ener:2:cem:"&amp;Settings!$B$10,$A$1604:$A$1663,0))-0.000000001))</f>
        <v>0</v>
      </c>
      <c r="AD1587">
        <f>IF(Scenarios!$I$27=0,0,--(Mitigation_Industry!AD522&lt;INDEX(AD$1604:AD$1663,MATCH("v1:ener:2:cem:"&amp;Settings!$B$10,$A$1604:$A$1663,0))-0.000000001))</f>
        <v>0</v>
      </c>
      <c r="AE1587">
        <f>IF(Scenarios!$I$27=0,0,--(Mitigation_Industry!AE522&lt;INDEX(AE$1604:AE$1663,MATCH("v1:ener:2:cem:"&amp;Settings!$B$10,$A$1604:$A$1663,0))-0.000000001))</f>
        <v>0</v>
      </c>
    </row>
    <row r="1588" spans="1:31" x14ac:dyDescent="0.45">
      <c r="A1588" t="s">
        <v>2447</v>
      </c>
      <c r="D1588">
        <v>2</v>
      </c>
      <c r="E1588" t="s">
        <v>2167</v>
      </c>
      <c r="F1588">
        <f>SUM(L1588:AE1588)</f>
        <v>0</v>
      </c>
      <c r="I1588">
        <v>0</v>
      </c>
      <c r="L1588">
        <f>IF(Scenarios!$I$27=0,0,--(Mitigation_Industry!L582&lt;INDEX(L$1604:L$1663,MATCH("v1:ener:2:nfm:"&amp;Settings!$B$10,$A$1604:$A$1663,0))-0.000000001))</f>
        <v>0</v>
      </c>
      <c r="M1588">
        <f>IF(Scenarios!$I$27=0,0,--(Mitigation_Industry!M582&lt;INDEX(M$1604:M$1663,MATCH("v1:ener:2:nfm:"&amp;Settings!$B$10,$A$1604:$A$1663,0))-0.000000001))</f>
        <v>0</v>
      </c>
      <c r="N1588">
        <f>IF(Scenarios!$I$27=0,0,--(Mitigation_Industry!N582&lt;INDEX(N$1604:N$1663,MATCH("v1:ener:2:nfm:"&amp;Settings!$B$10,$A$1604:$A$1663,0))-0.000000001))</f>
        <v>0</v>
      </c>
      <c r="O1588">
        <f>IF(Scenarios!$I$27=0,0,--(Mitigation_Industry!O582&lt;INDEX(O$1604:O$1663,MATCH("v1:ener:2:nfm:"&amp;Settings!$B$10,$A$1604:$A$1663,0))-0.000000001))</f>
        <v>0</v>
      </c>
      <c r="P1588">
        <f>IF(Scenarios!$I$27=0,0,--(Mitigation_Industry!P582&lt;INDEX(P$1604:P$1663,MATCH("v1:ener:2:nfm:"&amp;Settings!$B$10,$A$1604:$A$1663,0))-0.000000001))</f>
        <v>0</v>
      </c>
      <c r="Q1588">
        <f>IF(Scenarios!$I$27=0,0,--(Mitigation_Industry!Q582&lt;INDEX(Q$1604:Q$1663,MATCH("v1:ener:2:nfm:"&amp;Settings!$B$10,$A$1604:$A$1663,0))-0.000000001))</f>
        <v>0</v>
      </c>
      <c r="R1588">
        <f>IF(Scenarios!$I$27=0,0,--(Mitigation_Industry!R582&lt;INDEX(R$1604:R$1663,MATCH("v1:ener:2:nfm:"&amp;Settings!$B$10,$A$1604:$A$1663,0))-0.000000001))</f>
        <v>0</v>
      </c>
      <c r="S1588">
        <f>IF(Scenarios!$I$27=0,0,--(Mitigation_Industry!S582&lt;INDEX(S$1604:S$1663,MATCH("v1:ener:2:nfm:"&amp;Settings!$B$10,$A$1604:$A$1663,0))-0.000000001))</f>
        <v>0</v>
      </c>
      <c r="T1588">
        <f>IF(Scenarios!$I$27=0,0,--(Mitigation_Industry!T582&lt;INDEX(T$1604:T$1663,MATCH("v1:ener:2:nfm:"&amp;Settings!$B$10,$A$1604:$A$1663,0))-0.000000001))</f>
        <v>0</v>
      </c>
      <c r="U1588">
        <f>IF(Scenarios!$I$27=0,0,--(Mitigation_Industry!U582&lt;INDEX(U$1604:U$1663,MATCH("v1:ener:2:nfm:"&amp;Settings!$B$10,$A$1604:$A$1663,0))-0.000000001))</f>
        <v>0</v>
      </c>
      <c r="V1588">
        <f>IF(Scenarios!$I$27=0,0,--(Mitigation_Industry!V582&lt;INDEX(V$1604:V$1663,MATCH("v1:ener:2:nfm:"&amp;Settings!$B$10,$A$1604:$A$1663,0))-0.000000001))</f>
        <v>0</v>
      </c>
      <c r="W1588">
        <f>IF(Scenarios!$I$27=0,0,--(Mitigation_Industry!W582&lt;INDEX(W$1604:W$1663,MATCH("v1:ener:2:nfm:"&amp;Settings!$B$10,$A$1604:$A$1663,0))-0.000000001))</f>
        <v>0</v>
      </c>
      <c r="X1588">
        <f>IF(Scenarios!$I$27=0,0,--(Mitigation_Industry!X582&lt;INDEX(X$1604:X$1663,MATCH("v1:ener:2:nfm:"&amp;Settings!$B$10,$A$1604:$A$1663,0))-0.000000001))</f>
        <v>0</v>
      </c>
      <c r="Y1588">
        <f>IF(Scenarios!$I$27=0,0,--(Mitigation_Industry!Y582&lt;INDEX(Y$1604:Y$1663,MATCH("v1:ener:2:nfm:"&amp;Settings!$B$10,$A$1604:$A$1663,0))-0.000000001))</f>
        <v>0</v>
      </c>
      <c r="Z1588">
        <f>IF(Scenarios!$I$27=0,0,--(Mitigation_Industry!Z582&lt;INDEX(Z$1604:Z$1663,MATCH("v1:ener:2:nfm:"&amp;Settings!$B$10,$A$1604:$A$1663,0))-0.000000001))</f>
        <v>0</v>
      </c>
      <c r="AA1588">
        <f>IF(Scenarios!$I$27=0,0,--(Mitigation_Industry!AA582&lt;INDEX(AA$1604:AA$1663,MATCH("v1:ener:2:nfm:"&amp;Settings!$B$10,$A$1604:$A$1663,0))-0.000000001))</f>
        <v>0</v>
      </c>
      <c r="AB1588">
        <f>IF(Scenarios!$I$27=0,0,--(Mitigation_Industry!AB582&lt;INDEX(AB$1604:AB$1663,MATCH("v1:ener:2:nfm:"&amp;Settings!$B$10,$A$1604:$A$1663,0))-0.000000001))</f>
        <v>0</v>
      </c>
      <c r="AC1588">
        <f>IF(Scenarios!$I$27=0,0,--(Mitigation_Industry!AC582&lt;INDEX(AC$1604:AC$1663,MATCH("v1:ener:2:nfm:"&amp;Settings!$B$10,$A$1604:$A$1663,0))-0.000000001))</f>
        <v>0</v>
      </c>
      <c r="AD1588">
        <f>IF(Scenarios!$I$27=0,0,--(Mitigation_Industry!AD582&lt;INDEX(AD$1604:AD$1663,MATCH("v1:ener:2:nfm:"&amp;Settings!$B$10,$A$1604:$A$1663,0))-0.000000001))</f>
        <v>0</v>
      </c>
      <c r="AE1588">
        <f>IF(Scenarios!$I$27=0,0,--(Mitigation_Industry!AE582&lt;INDEX(AE$1604:AE$1663,MATCH("v1:ener:2:nfm:"&amp;Settings!$B$10,$A$1604:$A$1663,0))-0.000000001))</f>
        <v>0</v>
      </c>
    </row>
    <row r="1589" spans="1:31" x14ac:dyDescent="0.45">
      <c r="A1589" t="s">
        <v>2448</v>
      </c>
      <c r="D1589">
        <v>2</v>
      </c>
      <c r="E1589" t="s">
        <v>2167</v>
      </c>
      <c r="F1589">
        <f>SUM(L1589:AE1589)</f>
        <v>0</v>
      </c>
      <c r="I1589">
        <v>0</v>
      </c>
      <c r="L1589">
        <f>IF(Scenarios!$I$27=0,0,--(Mitigation_Industry!L642&lt;INDEX(L$1604:L$1663,MATCH("v1:ener:2:mch:"&amp;Settings!$B$10,$A$1604:$A$1663,0))-0.000000001))</f>
        <v>0</v>
      </c>
      <c r="M1589">
        <f>IF(Scenarios!$I$27=0,0,--(Mitigation_Industry!M642&lt;INDEX(M$1604:M$1663,MATCH("v1:ener:2:mch:"&amp;Settings!$B$10,$A$1604:$A$1663,0))-0.000000001))</f>
        <v>0</v>
      </c>
      <c r="N1589">
        <f>IF(Scenarios!$I$27=0,0,--(Mitigation_Industry!N642&lt;INDEX(N$1604:N$1663,MATCH("v1:ener:2:mch:"&amp;Settings!$B$10,$A$1604:$A$1663,0))-0.000000001))</f>
        <v>0</v>
      </c>
      <c r="O1589">
        <f>IF(Scenarios!$I$27=0,0,--(Mitigation_Industry!O642&lt;INDEX(O$1604:O$1663,MATCH("v1:ener:2:mch:"&amp;Settings!$B$10,$A$1604:$A$1663,0))-0.000000001))</f>
        <v>0</v>
      </c>
      <c r="P1589">
        <f>IF(Scenarios!$I$27=0,0,--(Mitigation_Industry!P642&lt;INDEX(P$1604:P$1663,MATCH("v1:ener:2:mch:"&amp;Settings!$B$10,$A$1604:$A$1663,0))-0.000000001))</f>
        <v>0</v>
      </c>
      <c r="Q1589">
        <f>IF(Scenarios!$I$27=0,0,--(Mitigation_Industry!Q642&lt;INDEX(Q$1604:Q$1663,MATCH("v1:ener:2:mch:"&amp;Settings!$B$10,$A$1604:$A$1663,0))-0.000000001))</f>
        <v>0</v>
      </c>
      <c r="R1589">
        <f>IF(Scenarios!$I$27=0,0,--(Mitigation_Industry!R642&lt;INDEX(R$1604:R$1663,MATCH("v1:ener:2:mch:"&amp;Settings!$B$10,$A$1604:$A$1663,0))-0.000000001))</f>
        <v>0</v>
      </c>
      <c r="S1589">
        <f>IF(Scenarios!$I$27=0,0,--(Mitigation_Industry!S642&lt;INDEX(S$1604:S$1663,MATCH("v1:ener:2:mch:"&amp;Settings!$B$10,$A$1604:$A$1663,0))-0.000000001))</f>
        <v>0</v>
      </c>
      <c r="T1589">
        <f>IF(Scenarios!$I$27=0,0,--(Mitigation_Industry!T642&lt;INDEX(T$1604:T$1663,MATCH("v1:ener:2:mch:"&amp;Settings!$B$10,$A$1604:$A$1663,0))-0.000000001))</f>
        <v>0</v>
      </c>
      <c r="U1589">
        <f>IF(Scenarios!$I$27=0,0,--(Mitigation_Industry!U642&lt;INDEX(U$1604:U$1663,MATCH("v1:ener:2:mch:"&amp;Settings!$B$10,$A$1604:$A$1663,0))-0.000000001))</f>
        <v>0</v>
      </c>
      <c r="V1589">
        <f>IF(Scenarios!$I$27=0,0,--(Mitigation_Industry!V642&lt;INDEX(V$1604:V$1663,MATCH("v1:ener:2:mch:"&amp;Settings!$B$10,$A$1604:$A$1663,0))-0.000000001))</f>
        <v>0</v>
      </c>
      <c r="W1589">
        <f>IF(Scenarios!$I$27=0,0,--(Mitigation_Industry!W642&lt;INDEX(W$1604:W$1663,MATCH("v1:ener:2:mch:"&amp;Settings!$B$10,$A$1604:$A$1663,0))-0.000000001))</f>
        <v>0</v>
      </c>
      <c r="X1589">
        <f>IF(Scenarios!$I$27=0,0,--(Mitigation_Industry!X642&lt;INDEX(X$1604:X$1663,MATCH("v1:ener:2:mch:"&amp;Settings!$B$10,$A$1604:$A$1663,0))-0.000000001))</f>
        <v>0</v>
      </c>
      <c r="Y1589">
        <f>IF(Scenarios!$I$27=0,0,--(Mitigation_Industry!Y642&lt;INDEX(Y$1604:Y$1663,MATCH("v1:ener:2:mch:"&amp;Settings!$B$10,$A$1604:$A$1663,0))-0.000000001))</f>
        <v>0</v>
      </c>
      <c r="Z1589">
        <f>IF(Scenarios!$I$27=0,0,--(Mitigation_Industry!Z642&lt;INDEX(Z$1604:Z$1663,MATCH("v1:ener:2:mch:"&amp;Settings!$B$10,$A$1604:$A$1663,0))-0.000000001))</f>
        <v>0</v>
      </c>
      <c r="AA1589">
        <f>IF(Scenarios!$I$27=0,0,--(Mitigation_Industry!AA642&lt;INDEX(AA$1604:AA$1663,MATCH("v1:ener:2:mch:"&amp;Settings!$B$10,$A$1604:$A$1663,0))-0.000000001))</f>
        <v>0</v>
      </c>
      <c r="AB1589">
        <f>IF(Scenarios!$I$27=0,0,--(Mitigation_Industry!AB642&lt;INDEX(AB$1604:AB$1663,MATCH("v1:ener:2:mch:"&amp;Settings!$B$10,$A$1604:$A$1663,0))-0.000000001))</f>
        <v>0</v>
      </c>
      <c r="AC1589">
        <f>IF(Scenarios!$I$27=0,0,--(Mitigation_Industry!AC642&lt;INDEX(AC$1604:AC$1663,MATCH("v1:ener:2:mch:"&amp;Settings!$B$10,$A$1604:$A$1663,0))-0.000000001))</f>
        <v>0</v>
      </c>
      <c r="AD1589">
        <f>IF(Scenarios!$I$27=0,0,--(Mitigation_Industry!AD642&lt;INDEX(AD$1604:AD$1663,MATCH("v1:ener:2:mch:"&amp;Settings!$B$10,$A$1604:$A$1663,0))-0.000000001))</f>
        <v>0</v>
      </c>
      <c r="AE1589">
        <f>IF(Scenarios!$I$27=0,0,--(Mitigation_Industry!AE642&lt;INDEX(AE$1604:AE$1663,MATCH("v1:ener:2:mch:"&amp;Settings!$B$10,$A$1604:$A$1663,0))-0.000000001))</f>
        <v>0</v>
      </c>
    </row>
    <row r="1590" spans="1:31" x14ac:dyDescent="0.45">
      <c r="A1590" t="s">
        <v>2449</v>
      </c>
      <c r="D1590">
        <v>2</v>
      </c>
      <c r="E1590" t="s">
        <v>2450</v>
      </c>
      <c r="F1590">
        <f t="shared" ref="F1590:F1599" si="362">MAX(MAX(L1590:AE1590),-MIN(L1590:AE1590))</f>
        <v>0</v>
      </c>
      <c r="L1590">
        <f>Mitigation_Industry!L462-INDEX(L$1604:L$1663,MATCH("v1:ener:2:irn:"&amp;Settings!$B$10,$A$1604:$A$1663,0))</f>
        <v>0</v>
      </c>
      <c r="M1590">
        <f>Mitigation_Industry!M462-INDEX(M$1604:M$1663,MATCH("v1:ener:2:irn:"&amp;Settings!$B$10,$A$1604:$A$1663,0))</f>
        <v>0</v>
      </c>
      <c r="N1590">
        <f>Mitigation_Industry!N462-INDEX(N$1604:N$1663,MATCH("v1:ener:2:irn:"&amp;Settings!$B$10,$A$1604:$A$1663,0))</f>
        <v>0</v>
      </c>
      <c r="O1590">
        <f>Mitigation_Industry!O462-INDEX(O$1604:O$1663,MATCH("v1:ener:2:irn:"&amp;Settings!$B$10,$A$1604:$A$1663,0))</f>
        <v>0</v>
      </c>
      <c r="P1590">
        <f>Mitigation_Industry!P462-INDEX(P$1604:P$1663,MATCH("v1:ener:2:irn:"&amp;Settings!$B$10,$A$1604:$A$1663,0))</f>
        <v>0</v>
      </c>
      <c r="Q1590">
        <f>Mitigation_Industry!Q462-INDEX(Q$1604:Q$1663,MATCH("v1:ener:2:irn:"&amp;Settings!$B$10,$A$1604:$A$1663,0))</f>
        <v>0</v>
      </c>
      <c r="R1590">
        <f>Mitigation_Industry!R462-INDEX(R$1604:R$1663,MATCH("v1:ener:2:irn:"&amp;Settings!$B$10,$A$1604:$A$1663,0))</f>
        <v>0</v>
      </c>
      <c r="S1590">
        <f>Mitigation_Industry!S462-INDEX(S$1604:S$1663,MATCH("v1:ener:2:irn:"&amp;Settings!$B$10,$A$1604:$A$1663,0))</f>
        <v>0</v>
      </c>
      <c r="T1590">
        <f>Mitigation_Industry!T462-INDEX(T$1604:T$1663,MATCH("v1:ener:2:irn:"&amp;Settings!$B$10,$A$1604:$A$1663,0))</f>
        <v>0</v>
      </c>
      <c r="U1590">
        <f>Mitigation_Industry!U462-INDEX(U$1604:U$1663,MATCH("v1:ener:2:irn:"&amp;Settings!$B$10,$A$1604:$A$1663,0))</f>
        <v>0</v>
      </c>
      <c r="V1590">
        <f>Mitigation_Industry!V462-INDEX(V$1604:V$1663,MATCH("v1:ener:2:irn:"&amp;Settings!$B$10,$A$1604:$A$1663,0))</f>
        <v>0</v>
      </c>
      <c r="W1590">
        <f>Mitigation_Industry!W462-INDEX(W$1604:W$1663,MATCH("v1:ener:2:irn:"&amp;Settings!$B$10,$A$1604:$A$1663,0))</f>
        <v>0</v>
      </c>
      <c r="X1590">
        <f>Mitigation_Industry!X462-INDEX(X$1604:X$1663,MATCH("v1:ener:2:irn:"&amp;Settings!$B$10,$A$1604:$A$1663,0))</f>
        <v>0</v>
      </c>
      <c r="Y1590">
        <f>Mitigation_Industry!Y462-INDEX(Y$1604:Y$1663,MATCH("v1:ener:2:irn:"&amp;Settings!$B$10,$A$1604:$A$1663,0))</f>
        <v>0</v>
      </c>
      <c r="Z1590">
        <f>Mitigation_Industry!Z462-INDEX(Z$1604:Z$1663,MATCH("v1:ener:2:irn:"&amp;Settings!$B$10,$A$1604:$A$1663,0))</f>
        <v>0</v>
      </c>
      <c r="AA1590">
        <f>Mitigation_Industry!AA462-INDEX(AA$1604:AA$1663,MATCH("v1:ener:2:irn:"&amp;Settings!$B$10,$A$1604:$A$1663,0))</f>
        <v>0</v>
      </c>
      <c r="AB1590">
        <f>Mitigation_Industry!AB462-INDEX(AB$1604:AB$1663,MATCH("v1:ener:2:irn:"&amp;Settings!$B$10,$A$1604:$A$1663,0))</f>
        <v>0</v>
      </c>
      <c r="AC1590">
        <f>Mitigation_Industry!AC462-INDEX(AC$1604:AC$1663,MATCH("v1:ener:2:irn:"&amp;Settings!$B$10,$A$1604:$A$1663,0))</f>
        <v>0</v>
      </c>
      <c r="AD1590">
        <f>Mitigation_Industry!AD462-INDEX(AD$1604:AD$1663,MATCH("v1:ener:2:irn:"&amp;Settings!$B$10,$A$1604:$A$1663,0))</f>
        <v>0</v>
      </c>
      <c r="AE1590">
        <f>Mitigation_Industry!AE462-INDEX(AE$1604:AE$1663,MATCH("v1:ener:2:irn:"&amp;Settings!$B$10,$A$1604:$A$1663,0))</f>
        <v>0</v>
      </c>
    </row>
    <row r="1591" spans="1:31" x14ac:dyDescent="0.45">
      <c r="A1591" t="s">
        <v>2451</v>
      </c>
      <c r="D1591">
        <v>2</v>
      </c>
      <c r="E1591" t="s">
        <v>2450</v>
      </c>
      <c r="F1591">
        <f t="shared" si="362"/>
        <v>0</v>
      </c>
      <c r="L1591">
        <f>Mitigation_Industry!L522-INDEX(L$1604:L$1663,MATCH("v1:ener:2:cem:"&amp;Settings!$B$10,$A$1604:$A$1663,0))</f>
        <v>0</v>
      </c>
      <c r="M1591">
        <f>Mitigation_Industry!M522-INDEX(M$1604:M$1663,MATCH("v1:ener:2:cem:"&amp;Settings!$B$10,$A$1604:$A$1663,0))</f>
        <v>0</v>
      </c>
      <c r="N1591">
        <f>Mitigation_Industry!N522-INDEX(N$1604:N$1663,MATCH("v1:ener:2:cem:"&amp;Settings!$B$10,$A$1604:$A$1663,0))</f>
        <v>0</v>
      </c>
      <c r="O1591">
        <f>Mitigation_Industry!O522-INDEX(O$1604:O$1663,MATCH("v1:ener:2:cem:"&amp;Settings!$B$10,$A$1604:$A$1663,0))</f>
        <v>0</v>
      </c>
      <c r="P1591">
        <f>Mitigation_Industry!P522-INDEX(P$1604:P$1663,MATCH("v1:ener:2:cem:"&amp;Settings!$B$10,$A$1604:$A$1663,0))</f>
        <v>0</v>
      </c>
      <c r="Q1591">
        <f>Mitigation_Industry!Q522-INDEX(Q$1604:Q$1663,MATCH("v1:ener:2:cem:"&amp;Settings!$B$10,$A$1604:$A$1663,0))</f>
        <v>0</v>
      </c>
      <c r="R1591">
        <f>Mitigation_Industry!R522-INDEX(R$1604:R$1663,MATCH("v1:ener:2:cem:"&amp;Settings!$B$10,$A$1604:$A$1663,0))</f>
        <v>0</v>
      </c>
      <c r="S1591">
        <f>Mitigation_Industry!S522-INDEX(S$1604:S$1663,MATCH("v1:ener:2:cem:"&amp;Settings!$B$10,$A$1604:$A$1663,0))</f>
        <v>0</v>
      </c>
      <c r="T1591">
        <f>Mitigation_Industry!T522-INDEX(T$1604:T$1663,MATCH("v1:ener:2:cem:"&amp;Settings!$B$10,$A$1604:$A$1663,0))</f>
        <v>0</v>
      </c>
      <c r="U1591">
        <f>Mitigation_Industry!U522-INDEX(U$1604:U$1663,MATCH("v1:ener:2:cem:"&amp;Settings!$B$10,$A$1604:$A$1663,0))</f>
        <v>0</v>
      </c>
      <c r="V1591">
        <f>Mitigation_Industry!V522-INDEX(V$1604:V$1663,MATCH("v1:ener:2:cem:"&amp;Settings!$B$10,$A$1604:$A$1663,0))</f>
        <v>0</v>
      </c>
      <c r="W1591">
        <f>Mitigation_Industry!W522-INDEX(W$1604:W$1663,MATCH("v1:ener:2:cem:"&amp;Settings!$B$10,$A$1604:$A$1663,0))</f>
        <v>0</v>
      </c>
      <c r="X1591">
        <f>Mitigation_Industry!X522-INDEX(X$1604:X$1663,MATCH("v1:ener:2:cem:"&amp;Settings!$B$10,$A$1604:$A$1663,0))</f>
        <v>0</v>
      </c>
      <c r="Y1591">
        <f>Mitigation_Industry!Y522-INDEX(Y$1604:Y$1663,MATCH("v1:ener:2:cem:"&amp;Settings!$B$10,$A$1604:$A$1663,0))</f>
        <v>0</v>
      </c>
      <c r="Z1591">
        <f>Mitigation_Industry!Z522-INDEX(Z$1604:Z$1663,MATCH("v1:ener:2:cem:"&amp;Settings!$B$10,$A$1604:$A$1663,0))</f>
        <v>0</v>
      </c>
      <c r="AA1591">
        <f>Mitigation_Industry!AA522-INDEX(AA$1604:AA$1663,MATCH("v1:ener:2:cem:"&amp;Settings!$B$10,$A$1604:$A$1663,0))</f>
        <v>0</v>
      </c>
      <c r="AB1591">
        <f>Mitigation_Industry!AB522-INDEX(AB$1604:AB$1663,MATCH("v1:ener:2:cem:"&amp;Settings!$B$10,$A$1604:$A$1663,0))</f>
        <v>0</v>
      </c>
      <c r="AC1591">
        <f>Mitigation_Industry!AC522-INDEX(AC$1604:AC$1663,MATCH("v1:ener:2:cem:"&amp;Settings!$B$10,$A$1604:$A$1663,0))</f>
        <v>0</v>
      </c>
      <c r="AD1591">
        <f>Mitigation_Industry!AD522-INDEX(AD$1604:AD$1663,MATCH("v1:ener:2:cem:"&amp;Settings!$B$10,$A$1604:$A$1663,0))</f>
        <v>0</v>
      </c>
      <c r="AE1591">
        <f>Mitigation_Industry!AE522-INDEX(AE$1604:AE$1663,MATCH("v1:ener:2:cem:"&amp;Settings!$B$10,$A$1604:$A$1663,0))</f>
        <v>0</v>
      </c>
    </row>
    <row r="1592" spans="1:31" x14ac:dyDescent="0.45">
      <c r="A1592" t="s">
        <v>2452</v>
      </c>
      <c r="D1592">
        <v>2</v>
      </c>
      <c r="E1592" t="s">
        <v>2450</v>
      </c>
      <c r="F1592">
        <f t="shared" si="362"/>
        <v>0</v>
      </c>
      <c r="L1592">
        <f>Mitigation_Industry!L582-INDEX(L$1604:L$1663,MATCH("v1:ener:2:nfm:"&amp;Settings!$B$10,$A$1604:$A$1663,0))</f>
        <v>0</v>
      </c>
      <c r="M1592">
        <f>Mitigation_Industry!M582-INDEX(M$1604:M$1663,MATCH("v1:ener:2:nfm:"&amp;Settings!$B$10,$A$1604:$A$1663,0))</f>
        <v>0</v>
      </c>
      <c r="N1592">
        <f>Mitigation_Industry!N582-INDEX(N$1604:N$1663,MATCH("v1:ener:2:nfm:"&amp;Settings!$B$10,$A$1604:$A$1663,0))</f>
        <v>0</v>
      </c>
      <c r="O1592">
        <f>Mitigation_Industry!O582-INDEX(O$1604:O$1663,MATCH("v1:ener:2:nfm:"&amp;Settings!$B$10,$A$1604:$A$1663,0))</f>
        <v>0</v>
      </c>
      <c r="P1592">
        <f>Mitigation_Industry!P582-INDEX(P$1604:P$1663,MATCH("v1:ener:2:nfm:"&amp;Settings!$B$10,$A$1604:$A$1663,0))</f>
        <v>0</v>
      </c>
      <c r="Q1592">
        <f>Mitigation_Industry!Q582-INDEX(Q$1604:Q$1663,MATCH("v1:ener:2:nfm:"&amp;Settings!$B$10,$A$1604:$A$1663,0))</f>
        <v>0</v>
      </c>
      <c r="R1592">
        <f>Mitigation_Industry!R582-INDEX(R$1604:R$1663,MATCH("v1:ener:2:nfm:"&amp;Settings!$B$10,$A$1604:$A$1663,0))</f>
        <v>0</v>
      </c>
      <c r="S1592">
        <f>Mitigation_Industry!S582-INDEX(S$1604:S$1663,MATCH("v1:ener:2:nfm:"&amp;Settings!$B$10,$A$1604:$A$1663,0))</f>
        <v>0</v>
      </c>
      <c r="T1592">
        <f>Mitigation_Industry!T582-INDEX(T$1604:T$1663,MATCH("v1:ener:2:nfm:"&amp;Settings!$B$10,$A$1604:$A$1663,0))</f>
        <v>0</v>
      </c>
      <c r="U1592">
        <f>Mitigation_Industry!U582-INDEX(U$1604:U$1663,MATCH("v1:ener:2:nfm:"&amp;Settings!$B$10,$A$1604:$A$1663,0))</f>
        <v>0</v>
      </c>
      <c r="V1592">
        <f>Mitigation_Industry!V582-INDEX(V$1604:V$1663,MATCH("v1:ener:2:nfm:"&amp;Settings!$B$10,$A$1604:$A$1663,0))</f>
        <v>0</v>
      </c>
      <c r="W1592">
        <f>Mitigation_Industry!W582-INDEX(W$1604:W$1663,MATCH("v1:ener:2:nfm:"&amp;Settings!$B$10,$A$1604:$A$1663,0))</f>
        <v>0</v>
      </c>
      <c r="X1592">
        <f>Mitigation_Industry!X582-INDEX(X$1604:X$1663,MATCH("v1:ener:2:nfm:"&amp;Settings!$B$10,$A$1604:$A$1663,0))</f>
        <v>0</v>
      </c>
      <c r="Y1592">
        <f>Mitigation_Industry!Y582-INDEX(Y$1604:Y$1663,MATCH("v1:ener:2:nfm:"&amp;Settings!$B$10,$A$1604:$A$1663,0))</f>
        <v>0</v>
      </c>
      <c r="Z1592">
        <f>Mitigation_Industry!Z582-INDEX(Z$1604:Z$1663,MATCH("v1:ener:2:nfm:"&amp;Settings!$B$10,$A$1604:$A$1663,0))</f>
        <v>0</v>
      </c>
      <c r="AA1592">
        <f>Mitigation_Industry!AA582-INDEX(AA$1604:AA$1663,MATCH("v1:ener:2:nfm:"&amp;Settings!$B$10,$A$1604:$A$1663,0))</f>
        <v>0</v>
      </c>
      <c r="AB1592">
        <f>Mitigation_Industry!AB582-INDEX(AB$1604:AB$1663,MATCH("v1:ener:2:nfm:"&amp;Settings!$B$10,$A$1604:$A$1663,0))</f>
        <v>0</v>
      </c>
      <c r="AC1592">
        <f>Mitigation_Industry!AC582-INDEX(AC$1604:AC$1663,MATCH("v1:ener:2:nfm:"&amp;Settings!$B$10,$A$1604:$A$1663,0))</f>
        <v>0</v>
      </c>
      <c r="AD1592">
        <f>Mitigation_Industry!AD582-INDEX(AD$1604:AD$1663,MATCH("v1:ener:2:nfm:"&amp;Settings!$B$10,$A$1604:$A$1663,0))</f>
        <v>0</v>
      </c>
      <c r="AE1592">
        <f>Mitigation_Industry!AE582-INDEX(AE$1604:AE$1663,MATCH("v1:ener:2:nfm:"&amp;Settings!$B$10,$A$1604:$A$1663,0))</f>
        <v>0</v>
      </c>
    </row>
    <row r="1593" spans="1:31" x14ac:dyDescent="0.45">
      <c r="A1593" t="s">
        <v>2453</v>
      </c>
      <c r="D1593">
        <v>2</v>
      </c>
      <c r="E1593" t="s">
        <v>2450</v>
      </c>
      <c r="F1593">
        <f t="shared" si="362"/>
        <v>0</v>
      </c>
      <c r="L1593">
        <f>Mitigation_Industry!L642-INDEX(L$1604:L$1663,MATCH("v1:ener:2:mch:"&amp;Settings!$B$10,$A$1604:$A$1663,0))</f>
        <v>0</v>
      </c>
      <c r="M1593">
        <f>Mitigation_Industry!M642-INDEX(M$1604:M$1663,MATCH("v1:ener:2:mch:"&amp;Settings!$B$10,$A$1604:$A$1663,0))</f>
        <v>0</v>
      </c>
      <c r="N1593">
        <f>Mitigation_Industry!N642-INDEX(N$1604:N$1663,MATCH("v1:ener:2:mch:"&amp;Settings!$B$10,$A$1604:$A$1663,0))</f>
        <v>0</v>
      </c>
      <c r="O1593">
        <f>Mitigation_Industry!O642-INDEX(O$1604:O$1663,MATCH("v1:ener:2:mch:"&amp;Settings!$B$10,$A$1604:$A$1663,0))</f>
        <v>0</v>
      </c>
      <c r="P1593">
        <f>Mitigation_Industry!P642-INDEX(P$1604:P$1663,MATCH("v1:ener:2:mch:"&amp;Settings!$B$10,$A$1604:$A$1663,0))</f>
        <v>0</v>
      </c>
      <c r="Q1593">
        <f>Mitigation_Industry!Q642-INDEX(Q$1604:Q$1663,MATCH("v1:ener:2:mch:"&amp;Settings!$B$10,$A$1604:$A$1663,0))</f>
        <v>0</v>
      </c>
      <c r="R1593">
        <f>Mitigation_Industry!R642-INDEX(R$1604:R$1663,MATCH("v1:ener:2:mch:"&amp;Settings!$B$10,$A$1604:$A$1663,0))</f>
        <v>0</v>
      </c>
      <c r="S1593">
        <f>Mitigation_Industry!S642-INDEX(S$1604:S$1663,MATCH("v1:ener:2:mch:"&amp;Settings!$B$10,$A$1604:$A$1663,0))</f>
        <v>0</v>
      </c>
      <c r="T1593">
        <f>Mitigation_Industry!T642-INDEX(T$1604:T$1663,MATCH("v1:ener:2:mch:"&amp;Settings!$B$10,$A$1604:$A$1663,0))</f>
        <v>0</v>
      </c>
      <c r="U1593">
        <f>Mitigation_Industry!U642-INDEX(U$1604:U$1663,MATCH("v1:ener:2:mch:"&amp;Settings!$B$10,$A$1604:$A$1663,0))</f>
        <v>0</v>
      </c>
      <c r="V1593">
        <f>Mitigation_Industry!V642-INDEX(V$1604:V$1663,MATCH("v1:ener:2:mch:"&amp;Settings!$B$10,$A$1604:$A$1663,0))</f>
        <v>0</v>
      </c>
      <c r="W1593">
        <f>Mitigation_Industry!W642-INDEX(W$1604:W$1663,MATCH("v1:ener:2:mch:"&amp;Settings!$B$10,$A$1604:$A$1663,0))</f>
        <v>0</v>
      </c>
      <c r="X1593">
        <f>Mitigation_Industry!X642-INDEX(X$1604:X$1663,MATCH("v1:ener:2:mch:"&amp;Settings!$B$10,$A$1604:$A$1663,0))</f>
        <v>0</v>
      </c>
      <c r="Y1593">
        <f>Mitigation_Industry!Y642-INDEX(Y$1604:Y$1663,MATCH("v1:ener:2:mch:"&amp;Settings!$B$10,$A$1604:$A$1663,0))</f>
        <v>0</v>
      </c>
      <c r="Z1593">
        <f>Mitigation_Industry!Z642-INDEX(Z$1604:Z$1663,MATCH("v1:ener:2:mch:"&amp;Settings!$B$10,$A$1604:$A$1663,0))</f>
        <v>0</v>
      </c>
      <c r="AA1593">
        <f>Mitigation_Industry!AA642-INDEX(AA$1604:AA$1663,MATCH("v1:ener:2:mch:"&amp;Settings!$B$10,$A$1604:$A$1663,0))</f>
        <v>0</v>
      </c>
      <c r="AB1593">
        <f>Mitigation_Industry!AB642-INDEX(AB$1604:AB$1663,MATCH("v1:ener:2:mch:"&amp;Settings!$B$10,$A$1604:$A$1663,0))</f>
        <v>0</v>
      </c>
      <c r="AC1593">
        <f>Mitigation_Industry!AC642-INDEX(AC$1604:AC$1663,MATCH("v1:ener:2:mch:"&amp;Settings!$B$10,$A$1604:$A$1663,0))</f>
        <v>0</v>
      </c>
      <c r="AD1593">
        <f>Mitigation_Industry!AD642-INDEX(AD$1604:AD$1663,MATCH("v1:ener:2:mch:"&amp;Settings!$B$10,$A$1604:$A$1663,0))</f>
        <v>0</v>
      </c>
      <c r="AE1593">
        <f>Mitigation_Industry!AE642-INDEX(AE$1604:AE$1663,MATCH("v1:ener:2:mch:"&amp;Settings!$B$10,$A$1604:$A$1663,0))</f>
        <v>0</v>
      </c>
    </row>
    <row r="1594" spans="1:31" x14ac:dyDescent="0.45">
      <c r="A1594" t="s">
        <v>2454</v>
      </c>
      <c r="D1594">
        <v>2</v>
      </c>
      <c r="E1594" t="s">
        <v>2450</v>
      </c>
      <c r="F1594">
        <f t="shared" si="362"/>
        <v>0</v>
      </c>
      <c r="L1594">
        <f>Rebate_Industry!L217</f>
        <v>0</v>
      </c>
      <c r="M1594">
        <f>Rebate_Industry!M217</f>
        <v>0</v>
      </c>
      <c r="N1594">
        <f>Rebate_Industry!N217</f>
        <v>0</v>
      </c>
      <c r="O1594">
        <f>Rebate_Industry!O217</f>
        <v>0</v>
      </c>
      <c r="P1594">
        <f>Rebate_Industry!P217</f>
        <v>0</v>
      </c>
      <c r="Q1594">
        <f>Rebate_Industry!Q217</f>
        <v>0</v>
      </c>
      <c r="R1594">
        <f>Rebate_Industry!R217</f>
        <v>0</v>
      </c>
      <c r="S1594">
        <f>Rebate_Industry!S217</f>
        <v>0</v>
      </c>
      <c r="T1594">
        <f>Rebate_Industry!T217</f>
        <v>0</v>
      </c>
      <c r="U1594">
        <f>Rebate_Industry!U217</f>
        <v>0</v>
      </c>
      <c r="V1594">
        <f>Rebate_Industry!V217</f>
        <v>0</v>
      </c>
      <c r="W1594">
        <f>Rebate_Industry!W217</f>
        <v>0</v>
      </c>
      <c r="X1594">
        <f>Rebate_Industry!X217</f>
        <v>0</v>
      </c>
      <c r="Y1594">
        <f>Rebate_Industry!Y217</f>
        <v>0</v>
      </c>
      <c r="Z1594">
        <f>Rebate_Industry!Z217</f>
        <v>0</v>
      </c>
      <c r="AA1594">
        <f>Rebate_Industry!AA217</f>
        <v>0</v>
      </c>
      <c r="AB1594">
        <f>Rebate_Industry!AB217</f>
        <v>0</v>
      </c>
      <c r="AC1594">
        <f>Rebate_Industry!AC217</f>
        <v>0</v>
      </c>
      <c r="AD1594">
        <f>Rebate_Industry!AD217</f>
        <v>0</v>
      </c>
      <c r="AE1594">
        <f>Rebate_Industry!AE217</f>
        <v>0</v>
      </c>
    </row>
    <row r="1595" spans="1:31" x14ac:dyDescent="0.45">
      <c r="A1595" t="s">
        <v>2455</v>
      </c>
      <c r="D1595">
        <v>2</v>
      </c>
      <c r="E1595" t="s">
        <v>2450</v>
      </c>
      <c r="F1595">
        <f t="shared" si="362"/>
        <v>7402.012510962054</v>
      </c>
      <c r="L1595">
        <f>Rebate_Industry!L278</f>
        <v>0</v>
      </c>
      <c r="M1595">
        <f>Rebate_Industry!M278</f>
        <v>0</v>
      </c>
      <c r="N1595">
        <f>Rebate_Industry!N278</f>
        <v>0</v>
      </c>
      <c r="O1595">
        <f>Rebate_Industry!O278</f>
        <v>0</v>
      </c>
      <c r="P1595">
        <f>Rebate_Industry!P278</f>
        <v>0</v>
      </c>
      <c r="Q1595">
        <f>Rebate_Industry!Q278</f>
        <v>313.18092912945133</v>
      </c>
      <c r="R1595">
        <f>Rebate_Industry!R278</f>
        <v>646.88764494852489</v>
      </c>
      <c r="S1595">
        <f>Rebate_Industry!S278</f>
        <v>1002.1648959865571</v>
      </c>
      <c r="T1595">
        <f>Rebate_Industry!T278</f>
        <v>1380.1062236958546</v>
      </c>
      <c r="U1595">
        <f>Rebate_Industry!U278</f>
        <v>1781.8561629939895</v>
      </c>
      <c r="V1595">
        <f>Rebate_Industry!V278</f>
        <v>2208.6125408023772</v>
      </c>
      <c r="W1595">
        <f>Rebate_Industry!W278</f>
        <v>2661.6288769403232</v>
      </c>
      <c r="X1595">
        <f>Rebate_Industry!X278</f>
        <v>3142.2168919286596</v>
      </c>
      <c r="Y1595">
        <f>Rebate_Industry!Y278</f>
        <v>3651.7491264608011</v>
      </c>
      <c r="Z1595">
        <f>Rebate_Industry!Z278</f>
        <v>4191.6616775120128</v>
      </c>
      <c r="AA1595">
        <f>Rebate_Industry!AA278</f>
        <v>4763.45705628019</v>
      </c>
      <c r="AB1595">
        <f>Rebate_Industry!AB278</f>
        <v>5368.7071733840539</v>
      </c>
      <c r="AC1595">
        <f>Rebate_Industry!AC278</f>
        <v>6009.0564569877843</v>
      </c>
      <c r="AD1595">
        <f>Rebate_Industry!AD278</f>
        <v>6686.2251097751796</v>
      </c>
      <c r="AE1595">
        <f>Rebate_Industry!AE278</f>
        <v>7402.012510962054</v>
      </c>
    </row>
    <row r="1596" spans="1:31" x14ac:dyDescent="0.45">
      <c r="A1596" t="s">
        <v>2456</v>
      </c>
      <c r="D1596">
        <v>2</v>
      </c>
      <c r="E1596" t="s">
        <v>2450</v>
      </c>
      <c r="F1596">
        <f t="shared" si="362"/>
        <v>0</v>
      </c>
      <c r="L1596">
        <f>Rebate_Industry!L222</f>
        <v>0</v>
      </c>
      <c r="M1596">
        <f>Rebate_Industry!M222</f>
        <v>0</v>
      </c>
      <c r="N1596">
        <f>Rebate_Industry!N222</f>
        <v>0</v>
      </c>
      <c r="O1596">
        <f>Rebate_Industry!O222</f>
        <v>0</v>
      </c>
      <c r="P1596">
        <f>Rebate_Industry!P222</f>
        <v>0</v>
      </c>
      <c r="Q1596">
        <f>Rebate_Industry!Q222</f>
        <v>0</v>
      </c>
      <c r="R1596">
        <f>Rebate_Industry!R222</f>
        <v>0</v>
      </c>
      <c r="S1596">
        <f>Rebate_Industry!S222</f>
        <v>0</v>
      </c>
      <c r="T1596">
        <f>Rebate_Industry!T222</f>
        <v>0</v>
      </c>
      <c r="U1596">
        <f>Rebate_Industry!U222</f>
        <v>0</v>
      </c>
      <c r="V1596">
        <f>Rebate_Industry!V222</f>
        <v>0</v>
      </c>
      <c r="W1596">
        <f>Rebate_Industry!W222</f>
        <v>0</v>
      </c>
      <c r="X1596">
        <f>Rebate_Industry!X222</f>
        <v>0</v>
      </c>
      <c r="Y1596">
        <f>Rebate_Industry!Y222</f>
        <v>0</v>
      </c>
      <c r="Z1596">
        <f>Rebate_Industry!Z222</f>
        <v>0</v>
      </c>
      <c r="AA1596">
        <f>Rebate_Industry!AA222</f>
        <v>0</v>
      </c>
      <c r="AB1596">
        <f>Rebate_Industry!AB222</f>
        <v>0</v>
      </c>
      <c r="AC1596">
        <f>Rebate_Industry!AC222</f>
        <v>0</v>
      </c>
      <c r="AD1596">
        <f>Rebate_Industry!AD222</f>
        <v>0</v>
      </c>
      <c r="AE1596">
        <f>Rebate_Industry!AE222</f>
        <v>0</v>
      </c>
    </row>
    <row r="1597" spans="1:31" x14ac:dyDescent="0.45">
      <c r="A1597" t="s">
        <v>2457</v>
      </c>
      <c r="D1597">
        <v>2</v>
      </c>
      <c r="E1597" t="s">
        <v>2450</v>
      </c>
      <c r="F1597">
        <f t="shared" si="362"/>
        <v>0</v>
      </c>
      <c r="L1597">
        <f>Rebate_Industry!L236</f>
        <v>0</v>
      </c>
      <c r="M1597">
        <f>Rebate_Industry!M236</f>
        <v>0</v>
      </c>
      <c r="N1597">
        <f>Rebate_Industry!N236</f>
        <v>0</v>
      </c>
      <c r="O1597">
        <f>Rebate_Industry!O236</f>
        <v>0</v>
      </c>
      <c r="P1597">
        <f>Rebate_Industry!P236</f>
        <v>0</v>
      </c>
      <c r="Q1597">
        <f>Rebate_Industry!Q236</f>
        <v>0</v>
      </c>
      <c r="R1597">
        <f>Rebate_Industry!R236</f>
        <v>0</v>
      </c>
      <c r="S1597">
        <f>Rebate_Industry!S236</f>
        <v>0</v>
      </c>
      <c r="T1597">
        <f>Rebate_Industry!T236</f>
        <v>0</v>
      </c>
      <c r="U1597">
        <f>Rebate_Industry!U236</f>
        <v>0</v>
      </c>
      <c r="V1597">
        <f>Rebate_Industry!V236</f>
        <v>0</v>
      </c>
      <c r="W1597">
        <f>Rebate_Industry!W236</f>
        <v>0</v>
      </c>
      <c r="X1597">
        <f>Rebate_Industry!X236</f>
        <v>0</v>
      </c>
      <c r="Y1597">
        <f>Rebate_Industry!Y236</f>
        <v>0</v>
      </c>
      <c r="Z1597">
        <f>Rebate_Industry!Z236</f>
        <v>0</v>
      </c>
      <c r="AA1597">
        <f>Rebate_Industry!AA236</f>
        <v>0</v>
      </c>
      <c r="AB1597">
        <f>Rebate_Industry!AB236</f>
        <v>0</v>
      </c>
      <c r="AC1597">
        <f>Rebate_Industry!AC236</f>
        <v>0</v>
      </c>
      <c r="AD1597">
        <f>Rebate_Industry!AD236</f>
        <v>0</v>
      </c>
      <c r="AE1597">
        <f>Rebate_Industry!AE236</f>
        <v>0</v>
      </c>
    </row>
    <row r="1598" spans="1:31" x14ac:dyDescent="0.45">
      <c r="A1598" t="s">
        <v>2458</v>
      </c>
      <c r="D1598">
        <v>2</v>
      </c>
      <c r="E1598" t="s">
        <v>2450</v>
      </c>
      <c r="F1598">
        <f t="shared" si="362"/>
        <v>0</v>
      </c>
      <c r="L1598">
        <f>Rebate_Industry!L250</f>
        <v>0</v>
      </c>
      <c r="M1598">
        <f>Rebate_Industry!M250</f>
        <v>0</v>
      </c>
      <c r="N1598">
        <f>Rebate_Industry!N250</f>
        <v>0</v>
      </c>
      <c r="O1598">
        <f>Rebate_Industry!O250</f>
        <v>0</v>
      </c>
      <c r="P1598">
        <f>Rebate_Industry!P250</f>
        <v>0</v>
      </c>
      <c r="Q1598">
        <f>Rebate_Industry!Q250</f>
        <v>0</v>
      </c>
      <c r="R1598">
        <f>Rebate_Industry!R250</f>
        <v>0</v>
      </c>
      <c r="S1598">
        <f>Rebate_Industry!S250</f>
        <v>0</v>
      </c>
      <c r="T1598">
        <f>Rebate_Industry!T250</f>
        <v>0</v>
      </c>
      <c r="U1598">
        <f>Rebate_Industry!U250</f>
        <v>0</v>
      </c>
      <c r="V1598">
        <f>Rebate_Industry!V250</f>
        <v>0</v>
      </c>
      <c r="W1598">
        <f>Rebate_Industry!W250</f>
        <v>0</v>
      </c>
      <c r="X1598">
        <f>Rebate_Industry!X250</f>
        <v>0</v>
      </c>
      <c r="Y1598">
        <f>Rebate_Industry!Y250</f>
        <v>0</v>
      </c>
      <c r="Z1598">
        <f>Rebate_Industry!Z250</f>
        <v>0</v>
      </c>
      <c r="AA1598">
        <f>Rebate_Industry!AA250</f>
        <v>0</v>
      </c>
      <c r="AB1598">
        <f>Rebate_Industry!AB250</f>
        <v>0</v>
      </c>
      <c r="AC1598">
        <f>Rebate_Industry!AC250</f>
        <v>0</v>
      </c>
      <c r="AD1598">
        <f>Rebate_Industry!AD250</f>
        <v>0</v>
      </c>
      <c r="AE1598">
        <f>Rebate_Industry!AE250</f>
        <v>0</v>
      </c>
    </row>
    <row r="1599" spans="1:31" x14ac:dyDescent="0.45">
      <c r="A1599" t="s">
        <v>2459</v>
      </c>
      <c r="D1599">
        <v>2</v>
      </c>
      <c r="E1599" t="s">
        <v>2450</v>
      </c>
      <c r="F1599">
        <f t="shared" si="362"/>
        <v>0</v>
      </c>
      <c r="L1599">
        <f>Rebate_Industry!L264</f>
        <v>0</v>
      </c>
      <c r="M1599">
        <f>Rebate_Industry!M264</f>
        <v>0</v>
      </c>
      <c r="N1599">
        <f>Rebate_Industry!N264</f>
        <v>0</v>
      </c>
      <c r="O1599">
        <f>Rebate_Industry!O264</f>
        <v>0</v>
      </c>
      <c r="P1599">
        <f>Rebate_Industry!P264</f>
        <v>0</v>
      </c>
      <c r="Q1599">
        <f>Rebate_Industry!Q264</f>
        <v>0</v>
      </c>
      <c r="R1599">
        <f>Rebate_Industry!R264</f>
        <v>0</v>
      </c>
      <c r="S1599">
        <f>Rebate_Industry!S264</f>
        <v>0</v>
      </c>
      <c r="T1599">
        <f>Rebate_Industry!T264</f>
        <v>0</v>
      </c>
      <c r="U1599">
        <f>Rebate_Industry!U264</f>
        <v>0</v>
      </c>
      <c r="V1599">
        <f>Rebate_Industry!V264</f>
        <v>0</v>
      </c>
      <c r="W1599">
        <f>Rebate_Industry!W264</f>
        <v>0</v>
      </c>
      <c r="X1599">
        <f>Rebate_Industry!X264</f>
        <v>0</v>
      </c>
      <c r="Y1599">
        <f>Rebate_Industry!Y264</f>
        <v>0</v>
      </c>
      <c r="Z1599">
        <f>Rebate_Industry!Z264</f>
        <v>0</v>
      </c>
      <c r="AA1599">
        <f>Rebate_Industry!AA264</f>
        <v>0</v>
      </c>
      <c r="AB1599">
        <f>Rebate_Industry!AB264</f>
        <v>0</v>
      </c>
      <c r="AC1599">
        <f>Rebate_Industry!AC264</f>
        <v>0</v>
      </c>
      <c r="AD1599">
        <f>Rebate_Industry!AD264</f>
        <v>0</v>
      </c>
      <c r="AE1599">
        <f>Rebate_Industry!AE264</f>
        <v>0</v>
      </c>
    </row>
    <row r="1601" spans="1:31" x14ac:dyDescent="0.45">
      <c r="A1601" t="s">
        <v>3105</v>
      </c>
    </row>
    <row r="1603" spans="1:31" x14ac:dyDescent="0.45">
      <c r="A1603" s="52" t="s">
        <v>3104</v>
      </c>
    </row>
    <row r="1604" spans="1:31" x14ac:dyDescent="0.45">
      <c r="A1604" t="s">
        <v>2460</v>
      </c>
      <c r="B1604" t="s">
        <v>110</v>
      </c>
      <c r="C1604" t="s">
        <v>43</v>
      </c>
      <c r="D1604">
        <v>1</v>
      </c>
      <c r="E1604" t="s">
        <v>2461</v>
      </c>
      <c r="L1604" s="43">
        <v>1901.7140738122609</v>
      </c>
      <c r="M1604" s="43">
        <v>1621.2301769893743</v>
      </c>
      <c r="N1604" s="43">
        <v>1820.8469202303741</v>
      </c>
      <c r="O1604" s="43">
        <v>1904.3670376253485</v>
      </c>
      <c r="P1604" s="43">
        <v>1961.702021253242</v>
      </c>
      <c r="Q1604" s="43">
        <v>2038.962541648895</v>
      </c>
      <c r="R1604" s="43">
        <v>2135.0351712538527</v>
      </c>
      <c r="S1604" s="43">
        <v>2228.4850873444593</v>
      </c>
      <c r="T1604" s="43">
        <v>2317.2308926620321</v>
      </c>
      <c r="U1604" s="43">
        <v>2407.7811783186385</v>
      </c>
      <c r="V1604" s="43">
        <v>2499.2702877093025</v>
      </c>
      <c r="W1604" s="43">
        <v>2592.8704056506044</v>
      </c>
      <c r="X1604" s="43">
        <v>2688.5787907172216</v>
      </c>
      <c r="Y1604" s="43">
        <v>2786.3911204964452</v>
      </c>
      <c r="Z1604" s="43">
        <v>2886.3014634759543</v>
      </c>
      <c r="AA1604" s="43">
        <v>2988.3022473044075</v>
      </c>
      <c r="AB1604" s="43">
        <v>3092.384223175638</v>
      </c>
      <c r="AC1604" s="43">
        <v>3198.5364260969</v>
      </c>
      <c r="AD1604" s="43">
        <v>3306.7461308112624</v>
      </c>
      <c r="AE1604" s="43">
        <v>3416.9988031533467</v>
      </c>
    </row>
    <row r="1605" spans="1:31" x14ac:dyDescent="0.45">
      <c r="A1605" t="s">
        <v>2462</v>
      </c>
      <c r="B1605" t="s">
        <v>110</v>
      </c>
      <c r="C1605" t="s">
        <v>113</v>
      </c>
      <c r="D1605">
        <v>1</v>
      </c>
      <c r="E1605" t="s">
        <v>2461</v>
      </c>
      <c r="L1605" s="43">
        <v>3210.4467592248702</v>
      </c>
      <c r="M1605" s="43">
        <v>2690.3404093921163</v>
      </c>
      <c r="N1605" s="43">
        <v>3047.5360888007326</v>
      </c>
      <c r="O1605" s="43">
        <v>3240.6928223889822</v>
      </c>
      <c r="P1605" s="43">
        <v>3273.2119677539522</v>
      </c>
      <c r="Q1605" s="43">
        <v>3368.2133423743344</v>
      </c>
      <c r="R1605" s="43">
        <v>3502.9215016591916</v>
      </c>
      <c r="S1605" s="43">
        <v>3633.9883116592123</v>
      </c>
      <c r="T1605" s="43">
        <v>3758.7368588981471</v>
      </c>
      <c r="U1605" s="43">
        <v>3885.4504831789814</v>
      </c>
      <c r="V1605" s="43">
        <v>4007.0693968852165</v>
      </c>
      <c r="W1605" s="43">
        <v>4130.9635900529229</v>
      </c>
      <c r="X1605" s="43">
        <v>4257.1228099657064</v>
      </c>
      <c r="Y1605" s="43">
        <v>4385.5352137797545</v>
      </c>
      <c r="Z1605" s="43">
        <v>4516.1873328951651</v>
      </c>
      <c r="AA1605" s="43">
        <v>4649.0640328646023</v>
      </c>
      <c r="AB1605" s="43">
        <v>4784.148468612525</v>
      </c>
      <c r="AC1605" s="43">
        <v>4921.422034746156</v>
      </c>
      <c r="AD1605" s="43">
        <v>5060.864310747279</v>
      </c>
      <c r="AE1605" s="43">
        <v>5202.4530008412194</v>
      </c>
    </row>
    <row r="1606" spans="1:31" x14ac:dyDescent="0.45">
      <c r="A1606" t="s">
        <v>2463</v>
      </c>
      <c r="B1606" t="s">
        <v>110</v>
      </c>
      <c r="C1606" t="s">
        <v>115</v>
      </c>
      <c r="D1606">
        <v>1</v>
      </c>
      <c r="E1606" t="s">
        <v>2461</v>
      </c>
      <c r="L1606" s="43">
        <v>0</v>
      </c>
      <c r="M1606" s="43">
        <v>0</v>
      </c>
      <c r="N1606" s="43">
        <v>0</v>
      </c>
      <c r="O1606" s="43">
        <v>0</v>
      </c>
      <c r="P1606" s="43">
        <v>0</v>
      </c>
      <c r="Q1606" s="43">
        <v>0</v>
      </c>
      <c r="R1606" s="43">
        <v>0</v>
      </c>
      <c r="S1606" s="43">
        <v>0</v>
      </c>
      <c r="T1606" s="43">
        <v>0</v>
      </c>
      <c r="U1606" s="43">
        <v>0</v>
      </c>
      <c r="V1606" s="43">
        <v>0</v>
      </c>
      <c r="W1606" s="43">
        <v>0</v>
      </c>
      <c r="X1606" s="43">
        <v>0</v>
      </c>
      <c r="Y1606" s="43">
        <v>0</v>
      </c>
      <c r="Z1606" s="43">
        <v>0</v>
      </c>
      <c r="AA1606" s="43">
        <v>0</v>
      </c>
      <c r="AB1606" s="43">
        <v>0</v>
      </c>
      <c r="AC1606" s="43">
        <v>0</v>
      </c>
      <c r="AD1606" s="43">
        <v>0</v>
      </c>
      <c r="AE1606" s="43">
        <v>0</v>
      </c>
    </row>
    <row r="1607" spans="1:31" x14ac:dyDescent="0.45">
      <c r="A1607" t="s">
        <v>2464</v>
      </c>
      <c r="B1607" t="s">
        <v>110</v>
      </c>
      <c r="C1607" t="s">
        <v>117</v>
      </c>
      <c r="D1607">
        <v>1</v>
      </c>
      <c r="E1607" t="s">
        <v>2461</v>
      </c>
      <c r="L1607" s="43">
        <v>0</v>
      </c>
      <c r="M1607" s="43">
        <v>0</v>
      </c>
      <c r="N1607" s="43">
        <v>0</v>
      </c>
      <c r="O1607" s="43">
        <v>0</v>
      </c>
      <c r="P1607" s="43">
        <v>0</v>
      </c>
      <c r="Q1607" s="43">
        <v>0</v>
      </c>
      <c r="R1607" s="43">
        <v>0</v>
      </c>
      <c r="S1607" s="43">
        <v>0</v>
      </c>
      <c r="T1607" s="43">
        <v>0</v>
      </c>
      <c r="U1607" s="43">
        <v>0</v>
      </c>
      <c r="V1607" s="43">
        <v>0</v>
      </c>
      <c r="W1607" s="43">
        <v>0</v>
      </c>
      <c r="X1607" s="43">
        <v>0</v>
      </c>
      <c r="Y1607" s="43">
        <v>0</v>
      </c>
      <c r="Z1607" s="43">
        <v>0</v>
      </c>
      <c r="AA1607" s="43">
        <v>0</v>
      </c>
      <c r="AB1607" s="43">
        <v>0</v>
      </c>
      <c r="AC1607" s="43">
        <v>0</v>
      </c>
      <c r="AD1607" s="43">
        <v>0</v>
      </c>
      <c r="AE1607" s="43">
        <v>0</v>
      </c>
    </row>
    <row r="1608" spans="1:31" x14ac:dyDescent="0.45">
      <c r="A1608" t="s">
        <v>2465</v>
      </c>
      <c r="B1608" t="s">
        <v>110</v>
      </c>
      <c r="C1608" t="s">
        <v>43</v>
      </c>
      <c r="D1608">
        <v>2</v>
      </c>
      <c r="E1608" t="s">
        <v>2466</v>
      </c>
      <c r="L1608" s="43">
        <v>1901.7140738122609</v>
      </c>
      <c r="M1608" s="43">
        <v>1621.2301769893743</v>
      </c>
      <c r="N1608" s="43">
        <v>1820.8469202303741</v>
      </c>
      <c r="O1608" s="43">
        <v>1904.3670376253485</v>
      </c>
      <c r="P1608" s="43">
        <v>1961.702021253242</v>
      </c>
      <c r="Q1608" s="43">
        <v>1856.404797168507</v>
      </c>
      <c r="R1608" s="43">
        <v>1788.9492171961813</v>
      </c>
      <c r="S1608" s="43">
        <v>1732.3328660968311</v>
      </c>
      <c r="T1608" s="43">
        <v>1682.3885530274299</v>
      </c>
      <c r="U1608" s="43">
        <v>1641.4681088716557</v>
      </c>
      <c r="V1608" s="43">
        <v>1607.9067887450958</v>
      </c>
      <c r="W1608" s="43">
        <v>1581.3612458923553</v>
      </c>
      <c r="X1608" s="43">
        <v>1561.0275376536185</v>
      </c>
      <c r="Y1608" s="43">
        <v>1546.4517889063816</v>
      </c>
      <c r="Z1608" s="43">
        <v>1537.5943975526714</v>
      </c>
      <c r="AA1608" s="43">
        <v>1534.1781017151086</v>
      </c>
      <c r="AB1608" s="43">
        <v>1535.9010092298067</v>
      </c>
      <c r="AC1608" s="43">
        <v>1542.2263096902577</v>
      </c>
      <c r="AD1608" s="43">
        <v>1552.707818724469</v>
      </c>
      <c r="AE1608" s="43">
        <v>1567.016662377554</v>
      </c>
    </row>
    <row r="1609" spans="1:31" x14ac:dyDescent="0.45">
      <c r="A1609" t="s">
        <v>2467</v>
      </c>
      <c r="B1609" t="s">
        <v>110</v>
      </c>
      <c r="C1609" t="s">
        <v>113</v>
      </c>
      <c r="D1609">
        <v>2</v>
      </c>
      <c r="E1609" t="s">
        <v>2466</v>
      </c>
      <c r="L1609" s="43">
        <v>3210.4467592248702</v>
      </c>
      <c r="M1609" s="43">
        <v>2690.3404093921163</v>
      </c>
      <c r="N1609" s="43">
        <v>3047.5360888007326</v>
      </c>
      <c r="O1609" s="43">
        <v>3240.6928223889822</v>
      </c>
      <c r="P1609" s="43">
        <v>3273.2119677539522</v>
      </c>
      <c r="Q1609" s="43">
        <v>3089.4258527074826</v>
      </c>
      <c r="R1609" s="43">
        <v>2975.1242061609983</v>
      </c>
      <c r="S1609" s="43">
        <v>2878.4338008647092</v>
      </c>
      <c r="T1609" s="43">
        <v>2793.1021878663519</v>
      </c>
      <c r="U1609" s="43">
        <v>2721.6867792281105</v>
      </c>
      <c r="V1609" s="43">
        <v>2659.4365656902273</v>
      </c>
      <c r="W1609" s="43">
        <v>2608.3843590415554</v>
      </c>
      <c r="X1609" s="43">
        <v>2567.1439632109241</v>
      </c>
      <c r="Y1609" s="43">
        <v>2534.8641732295537</v>
      </c>
      <c r="Z1609" s="43">
        <v>2511.2970995969799</v>
      </c>
      <c r="AA1609" s="43">
        <v>2495.8988717310085</v>
      </c>
      <c r="AB1609" s="43">
        <v>2488.1145593655265</v>
      </c>
      <c r="AC1609" s="43">
        <v>2487.0912005211107</v>
      </c>
      <c r="AD1609" s="43">
        <v>2492.116697620846</v>
      </c>
      <c r="AE1609" s="43">
        <v>2502.6519509263308</v>
      </c>
    </row>
    <row r="1610" spans="1:31" x14ac:dyDescent="0.45">
      <c r="A1610" t="s">
        <v>2468</v>
      </c>
      <c r="B1610" t="s">
        <v>110</v>
      </c>
      <c r="C1610" t="s">
        <v>115</v>
      </c>
      <c r="D1610">
        <v>2</v>
      </c>
      <c r="E1610" t="s">
        <v>2466</v>
      </c>
      <c r="L1610" s="43">
        <v>0</v>
      </c>
      <c r="M1610" s="43">
        <v>0</v>
      </c>
      <c r="N1610" s="43">
        <v>0</v>
      </c>
      <c r="O1610" s="43">
        <v>0</v>
      </c>
      <c r="P1610" s="43">
        <v>0</v>
      </c>
      <c r="Q1610" s="43">
        <v>0</v>
      </c>
      <c r="R1610" s="43">
        <v>0</v>
      </c>
      <c r="S1610" s="43">
        <v>0</v>
      </c>
      <c r="T1610" s="43">
        <v>0</v>
      </c>
      <c r="U1610" s="43">
        <v>0</v>
      </c>
      <c r="V1610" s="43">
        <v>0</v>
      </c>
      <c r="W1610" s="43">
        <v>0</v>
      </c>
      <c r="X1610" s="43">
        <v>0</v>
      </c>
      <c r="Y1610" s="43">
        <v>0</v>
      </c>
      <c r="Z1610" s="43">
        <v>0</v>
      </c>
      <c r="AA1610" s="43">
        <v>0</v>
      </c>
      <c r="AB1610" s="43">
        <v>0</v>
      </c>
      <c r="AC1610" s="43">
        <v>0</v>
      </c>
      <c r="AD1610" s="43">
        <v>0</v>
      </c>
      <c r="AE1610" s="43">
        <v>0</v>
      </c>
    </row>
    <row r="1611" spans="1:31" x14ac:dyDescent="0.45">
      <c r="A1611" t="s">
        <v>2469</v>
      </c>
      <c r="B1611" t="s">
        <v>110</v>
      </c>
      <c r="C1611" t="s">
        <v>117</v>
      </c>
      <c r="D1611">
        <v>2</v>
      </c>
      <c r="E1611" t="s">
        <v>2466</v>
      </c>
      <c r="L1611" s="43">
        <v>0</v>
      </c>
      <c r="M1611" s="43">
        <v>0</v>
      </c>
      <c r="N1611" s="43">
        <v>0</v>
      </c>
      <c r="O1611" s="43">
        <v>0</v>
      </c>
      <c r="P1611" s="43">
        <v>0</v>
      </c>
      <c r="Q1611" s="43">
        <v>0</v>
      </c>
      <c r="R1611" s="43">
        <v>0</v>
      </c>
      <c r="S1611" s="43">
        <v>0</v>
      </c>
      <c r="T1611" s="43">
        <v>0</v>
      </c>
      <c r="U1611" s="43">
        <v>0</v>
      </c>
      <c r="V1611" s="43">
        <v>0</v>
      </c>
      <c r="W1611" s="43">
        <v>0</v>
      </c>
      <c r="X1611" s="43">
        <v>0</v>
      </c>
      <c r="Y1611" s="43">
        <v>0</v>
      </c>
      <c r="Z1611" s="43">
        <v>0</v>
      </c>
      <c r="AA1611" s="43">
        <v>0</v>
      </c>
      <c r="AB1611" s="43">
        <v>0</v>
      </c>
      <c r="AC1611" s="43">
        <v>0</v>
      </c>
      <c r="AD1611" s="43">
        <v>0</v>
      </c>
      <c r="AE1611" s="43">
        <v>0</v>
      </c>
    </row>
    <row r="1612" spans="1:31" x14ac:dyDescent="0.45">
      <c r="A1612" t="s">
        <v>2470</v>
      </c>
      <c r="B1612" t="s">
        <v>2471</v>
      </c>
      <c r="C1612" t="s">
        <v>43</v>
      </c>
      <c r="D1612">
        <v>2</v>
      </c>
      <c r="E1612" t="s">
        <v>2472</v>
      </c>
      <c r="L1612" s="43">
        <v>66.453659723176557</v>
      </c>
      <c r="M1612" s="43">
        <v>68.485475215764879</v>
      </c>
      <c r="N1612" s="43">
        <v>58.995402742046402</v>
      </c>
      <c r="O1612" s="43">
        <v>43.916716887965812</v>
      </c>
      <c r="P1612" s="43">
        <v>53.774364143577706</v>
      </c>
      <c r="Q1612" s="43">
        <v>50.675872845484811</v>
      </c>
      <c r="R1612" s="43">
        <v>55.46880544094482</v>
      </c>
      <c r="S1612" s="43">
        <v>61.779135607650517</v>
      </c>
      <c r="T1612" s="43">
        <v>68.278756797558202</v>
      </c>
      <c r="U1612" s="43">
        <v>74.667213426547335</v>
      </c>
      <c r="V1612" s="43">
        <v>82.597719303077696</v>
      </c>
      <c r="W1612" s="43">
        <v>90.528194297201395</v>
      </c>
      <c r="X1612" s="43">
        <v>98.458538681584031</v>
      </c>
      <c r="Y1612" s="43">
        <v>106.38879966199983</v>
      </c>
      <c r="Z1612" s="43">
        <v>114.31912307448249</v>
      </c>
      <c r="AA1612" s="43">
        <v>122.2493141862853</v>
      </c>
      <c r="AB1612" s="43">
        <v>130.17957112660253</v>
      </c>
      <c r="AC1612" s="43">
        <v>138.10868154539935</v>
      </c>
      <c r="AD1612" s="43">
        <v>146.0378588759541</v>
      </c>
      <c r="AE1612" s="43">
        <v>153.96697674227667</v>
      </c>
    </row>
    <row r="1613" spans="1:31" x14ac:dyDescent="0.45">
      <c r="A1613" t="s">
        <v>2473</v>
      </c>
      <c r="B1613" t="s">
        <v>2471</v>
      </c>
      <c r="C1613" t="s">
        <v>113</v>
      </c>
      <c r="D1613">
        <v>2</v>
      </c>
      <c r="E1613" t="s">
        <v>2472</v>
      </c>
      <c r="L1613" s="43">
        <v>66.453659723176557</v>
      </c>
      <c r="M1613" s="43">
        <v>68.485475215764879</v>
      </c>
      <c r="N1613" s="43">
        <v>58.995402742046402</v>
      </c>
      <c r="O1613" s="43">
        <v>43.916716887965812</v>
      </c>
      <c r="P1613" s="43">
        <v>53.774364143577706</v>
      </c>
      <c r="Q1613" s="43">
        <v>50.675872845484811</v>
      </c>
      <c r="R1613" s="43">
        <v>55.46880544094482</v>
      </c>
      <c r="S1613" s="43">
        <v>61.779135607650517</v>
      </c>
      <c r="T1613" s="43">
        <v>68.278756797558202</v>
      </c>
      <c r="U1613" s="43">
        <v>74.667213426547335</v>
      </c>
      <c r="V1613" s="43">
        <v>82.597719303077696</v>
      </c>
      <c r="W1613" s="43">
        <v>90.528194297201395</v>
      </c>
      <c r="X1613" s="43">
        <v>98.458538681584031</v>
      </c>
      <c r="Y1613" s="43">
        <v>106.38879966199983</v>
      </c>
      <c r="Z1613" s="43">
        <v>114.31912307448249</v>
      </c>
      <c r="AA1613" s="43">
        <v>122.2493141862853</v>
      </c>
      <c r="AB1613" s="43">
        <v>130.17957112660253</v>
      </c>
      <c r="AC1613" s="43">
        <v>138.10868154539935</v>
      </c>
      <c r="AD1613" s="43">
        <v>146.0378588759541</v>
      </c>
      <c r="AE1613" s="43">
        <v>153.96697674227667</v>
      </c>
    </row>
    <row r="1614" spans="1:31" x14ac:dyDescent="0.45">
      <c r="A1614" t="s">
        <v>2474</v>
      </c>
      <c r="B1614" t="s">
        <v>2471</v>
      </c>
      <c r="C1614" t="s">
        <v>115</v>
      </c>
      <c r="D1614">
        <v>2</v>
      </c>
      <c r="E1614" t="s">
        <v>2472</v>
      </c>
      <c r="L1614" s="43">
        <v>66.453659723176557</v>
      </c>
      <c r="M1614" s="43">
        <v>68.485475215764879</v>
      </c>
      <c r="N1614" s="43">
        <v>58.995402742046402</v>
      </c>
      <c r="O1614" s="43">
        <v>43.916716887965812</v>
      </c>
      <c r="P1614" s="43">
        <v>53.774364143577706</v>
      </c>
      <c r="Q1614" s="43">
        <v>50.675872845484811</v>
      </c>
      <c r="R1614" s="43">
        <v>55.46880544094482</v>
      </c>
      <c r="S1614" s="43">
        <v>61.779135607650517</v>
      </c>
      <c r="T1614" s="43">
        <v>68.278756797558202</v>
      </c>
      <c r="U1614" s="43">
        <v>74.667213426547335</v>
      </c>
      <c r="V1614" s="43">
        <v>82.597719303077696</v>
      </c>
      <c r="W1614" s="43">
        <v>90.528194297201395</v>
      </c>
      <c r="X1614" s="43">
        <v>98.458538681584031</v>
      </c>
      <c r="Y1614" s="43">
        <v>106.38879966199983</v>
      </c>
      <c r="Z1614" s="43">
        <v>114.31912307448249</v>
      </c>
      <c r="AA1614" s="43">
        <v>122.2493141862853</v>
      </c>
      <c r="AB1614" s="43">
        <v>130.17957112660253</v>
      </c>
      <c r="AC1614" s="43">
        <v>138.10868154539935</v>
      </c>
      <c r="AD1614" s="43">
        <v>146.0378588759541</v>
      </c>
      <c r="AE1614" s="43">
        <v>153.96697674227667</v>
      </c>
    </row>
    <row r="1615" spans="1:31" x14ac:dyDescent="0.45">
      <c r="A1615" t="s">
        <v>2475</v>
      </c>
      <c r="B1615" t="s">
        <v>2471</v>
      </c>
      <c r="C1615" t="s">
        <v>117</v>
      </c>
      <c r="D1615">
        <v>2</v>
      </c>
      <c r="E1615" t="s">
        <v>2472</v>
      </c>
      <c r="L1615" s="43">
        <v>66.453659723176557</v>
      </c>
      <c r="M1615" s="43">
        <v>68.485475215764879</v>
      </c>
      <c r="N1615" s="43">
        <v>58.995402742046402</v>
      </c>
      <c r="O1615" s="43">
        <v>43.916716887965812</v>
      </c>
      <c r="P1615" s="43">
        <v>53.774364143577706</v>
      </c>
      <c r="Q1615" s="43">
        <v>50.675872845484811</v>
      </c>
      <c r="R1615" s="43">
        <v>55.46880544094482</v>
      </c>
      <c r="S1615" s="43">
        <v>61.779135607650517</v>
      </c>
      <c r="T1615" s="43">
        <v>68.278756797558202</v>
      </c>
      <c r="U1615" s="43">
        <v>74.667213426547335</v>
      </c>
      <c r="V1615" s="43">
        <v>82.597719303077696</v>
      </c>
      <c r="W1615" s="43">
        <v>90.528194297201395</v>
      </c>
      <c r="X1615" s="43">
        <v>98.458538681584031</v>
      </c>
      <c r="Y1615" s="43">
        <v>106.38879966199983</v>
      </c>
      <c r="Z1615" s="43">
        <v>114.31912307448249</v>
      </c>
      <c r="AA1615" s="43">
        <v>122.2493141862853</v>
      </c>
      <c r="AB1615" s="43">
        <v>130.17957112660253</v>
      </c>
      <c r="AC1615" s="43">
        <v>138.10868154539935</v>
      </c>
      <c r="AD1615" s="43">
        <v>146.0378588759541</v>
      </c>
      <c r="AE1615" s="43">
        <v>153.96697674227667</v>
      </c>
    </row>
    <row r="1616" spans="1:31" x14ac:dyDescent="0.45">
      <c r="A1616" t="s">
        <v>2476</v>
      </c>
      <c r="B1616" t="s">
        <v>110</v>
      </c>
      <c r="C1616" t="s">
        <v>43</v>
      </c>
      <c r="D1616">
        <v>2</v>
      </c>
      <c r="E1616" t="s">
        <v>2477</v>
      </c>
      <c r="L1616" s="43">
        <v>1901.7140738122609</v>
      </c>
      <c r="M1616" s="43">
        <v>1621.2301769893743</v>
      </c>
      <c r="N1616" s="43">
        <v>1820.8469202303741</v>
      </c>
      <c r="O1616" s="43">
        <v>1904.3670376253485</v>
      </c>
      <c r="P1616" s="43">
        <v>1961.702021253242</v>
      </c>
      <c r="Q1616" s="43">
        <v>2038.9739202925941</v>
      </c>
      <c r="R1616" s="43">
        <v>1847.3650852128353</v>
      </c>
      <c r="S1616" s="43">
        <v>1927.6967656346794</v>
      </c>
      <c r="T1616" s="43">
        <v>2003.6478535386466</v>
      </c>
      <c r="U1616" s="43">
        <v>2080.420807425895</v>
      </c>
      <c r="V1616" s="43">
        <v>2158.1017458230463</v>
      </c>
      <c r="W1616" s="43">
        <v>2238.4314308137432</v>
      </c>
      <c r="X1616" s="43">
        <v>2322.0852782283118</v>
      </c>
      <c r="Y1616" s="43">
        <v>2409.9601076918048</v>
      </c>
      <c r="Z1616" s="43">
        <v>2503.4273650546652</v>
      </c>
      <c r="AA1616" s="43">
        <v>2603.380841256117</v>
      </c>
      <c r="AB1616" s="43">
        <v>2710.5421417180701</v>
      </c>
      <c r="AC1616" s="43">
        <v>2825.0739330466899</v>
      </c>
      <c r="AD1616" s="43">
        <v>2947.1310655860725</v>
      </c>
      <c r="AE1616" s="43">
        <v>3076.9518919077177</v>
      </c>
    </row>
    <row r="1617" spans="1:31" x14ac:dyDescent="0.45">
      <c r="A1617" t="s">
        <v>2478</v>
      </c>
      <c r="B1617" t="s">
        <v>110</v>
      </c>
      <c r="C1617" t="s">
        <v>113</v>
      </c>
      <c r="D1617">
        <v>2</v>
      </c>
      <c r="E1617" t="s">
        <v>2477</v>
      </c>
      <c r="L1617" s="43">
        <v>3210.4467592248702</v>
      </c>
      <c r="M1617" s="43">
        <v>2690.3404093921163</v>
      </c>
      <c r="N1617" s="43">
        <v>3047.5360888007326</v>
      </c>
      <c r="O1617" s="43">
        <v>3240.6928223889822</v>
      </c>
      <c r="P1617" s="43">
        <v>3273.2119677539522</v>
      </c>
      <c r="Q1617" s="43">
        <v>3368.228907853118</v>
      </c>
      <c r="R1617" s="43">
        <v>3064.6631828354202</v>
      </c>
      <c r="S1617" s="43">
        <v>3177.4158490906384</v>
      </c>
      <c r="T1617" s="43">
        <v>3284.1252951076308</v>
      </c>
      <c r="U1617" s="43">
        <v>3391.5167507993629</v>
      </c>
      <c r="V1617" s="43">
        <v>3495.4443719317869</v>
      </c>
      <c r="W1617" s="43">
        <v>3602.4640735657167</v>
      </c>
      <c r="X1617" s="43">
        <v>3713.4594095241946</v>
      </c>
      <c r="Y1617" s="43">
        <v>3829.5951733815596</v>
      </c>
      <c r="Z1617" s="43">
        <v>3952.6477392689649</v>
      </c>
      <c r="AA1617" s="43">
        <v>4083.733553983021</v>
      </c>
      <c r="AB1617" s="43">
        <v>4223.7247296458527</v>
      </c>
      <c r="AC1617" s="43">
        <v>4372.7475422680927</v>
      </c>
      <c r="AD1617" s="43">
        <v>4530.9176443081178</v>
      </c>
      <c r="AE1617" s="43">
        <v>4698.4592756394795</v>
      </c>
    </row>
    <row r="1618" spans="1:31" x14ac:dyDescent="0.45">
      <c r="A1618" t="s">
        <v>2479</v>
      </c>
      <c r="B1618" t="s">
        <v>110</v>
      </c>
      <c r="C1618" t="s">
        <v>115</v>
      </c>
      <c r="D1618">
        <v>2</v>
      </c>
      <c r="E1618" t="s">
        <v>2477</v>
      </c>
      <c r="L1618" s="43">
        <v>0</v>
      </c>
      <c r="M1618" s="43">
        <v>0</v>
      </c>
      <c r="N1618" s="43">
        <v>0</v>
      </c>
      <c r="O1618" s="43">
        <v>0</v>
      </c>
      <c r="P1618" s="43">
        <v>0</v>
      </c>
      <c r="Q1618" s="43">
        <v>0</v>
      </c>
      <c r="R1618" s="43">
        <v>0</v>
      </c>
      <c r="S1618" s="43">
        <v>0</v>
      </c>
      <c r="T1618" s="43">
        <v>0</v>
      </c>
      <c r="U1618" s="43">
        <v>0</v>
      </c>
      <c r="V1618" s="43">
        <v>0</v>
      </c>
      <c r="W1618" s="43">
        <v>0</v>
      </c>
      <c r="X1618" s="43">
        <v>0</v>
      </c>
      <c r="Y1618" s="43">
        <v>0</v>
      </c>
      <c r="Z1618" s="43">
        <v>0</v>
      </c>
      <c r="AA1618" s="43">
        <v>0</v>
      </c>
      <c r="AB1618" s="43">
        <v>0</v>
      </c>
      <c r="AC1618" s="43">
        <v>0</v>
      </c>
      <c r="AD1618" s="43">
        <v>0</v>
      </c>
      <c r="AE1618" s="43">
        <v>0</v>
      </c>
    </row>
    <row r="1619" spans="1:31" x14ac:dyDescent="0.45">
      <c r="A1619" t="s">
        <v>2480</v>
      </c>
      <c r="B1619" t="s">
        <v>110</v>
      </c>
      <c r="C1619" t="s">
        <v>117</v>
      </c>
      <c r="D1619">
        <v>2</v>
      </c>
      <c r="E1619" t="s">
        <v>2477</v>
      </c>
      <c r="L1619" s="43">
        <v>0</v>
      </c>
      <c r="M1619" s="43">
        <v>0</v>
      </c>
      <c r="N1619" s="43">
        <v>0</v>
      </c>
      <c r="O1619" s="43">
        <v>0</v>
      </c>
      <c r="P1619" s="43">
        <v>0</v>
      </c>
      <c r="Q1619" s="43">
        <v>0</v>
      </c>
      <c r="R1619" s="43">
        <v>0</v>
      </c>
      <c r="S1619" s="43">
        <v>0</v>
      </c>
      <c r="T1619" s="43">
        <v>0</v>
      </c>
      <c r="U1619" s="43">
        <v>0</v>
      </c>
      <c r="V1619" s="43">
        <v>0</v>
      </c>
      <c r="W1619" s="43">
        <v>0</v>
      </c>
      <c r="X1619" s="43">
        <v>0</v>
      </c>
      <c r="Y1619" s="43">
        <v>0</v>
      </c>
      <c r="Z1619" s="43">
        <v>0</v>
      </c>
      <c r="AA1619" s="43">
        <v>0</v>
      </c>
      <c r="AB1619" s="43">
        <v>0</v>
      </c>
      <c r="AC1619" s="43">
        <v>0</v>
      </c>
      <c r="AD1619" s="43">
        <v>0</v>
      </c>
      <c r="AE1619" s="43">
        <v>0</v>
      </c>
    </row>
    <row r="1620" spans="1:31" x14ac:dyDescent="0.45">
      <c r="A1620" t="s">
        <v>2481</v>
      </c>
      <c r="B1620" t="s">
        <v>2471</v>
      </c>
      <c r="C1620" t="s">
        <v>43</v>
      </c>
      <c r="D1620">
        <v>2</v>
      </c>
      <c r="E1620" t="s">
        <v>2482</v>
      </c>
      <c r="L1620" s="43">
        <v>66.453659723176557</v>
      </c>
      <c r="M1620" s="43">
        <v>68.485475215764879</v>
      </c>
      <c r="N1620" s="43">
        <v>58.995402742046402</v>
      </c>
      <c r="O1620" s="43">
        <v>43.916716887965812</v>
      </c>
      <c r="P1620" s="43">
        <v>53.774364143577706</v>
      </c>
      <c r="Q1620" s="43">
        <v>42.744789650417033</v>
      </c>
      <c r="R1620" s="43">
        <v>52.296372162917706</v>
      </c>
      <c r="S1620" s="43">
        <v>50.675619134555625</v>
      </c>
      <c r="T1620" s="43">
        <v>49.244157129395532</v>
      </c>
      <c r="U1620" s="43">
        <v>47.701530563316886</v>
      </c>
      <c r="V1620" s="43">
        <v>47.700953244779463</v>
      </c>
      <c r="W1620" s="43">
        <v>47.700345043835391</v>
      </c>
      <c r="X1620" s="43">
        <v>47.699606233150249</v>
      </c>
      <c r="Y1620" s="43">
        <v>47.698784018498259</v>
      </c>
      <c r="Z1620" s="43">
        <v>47.698024235913145</v>
      </c>
      <c r="AA1620" s="43">
        <v>47.69713215264818</v>
      </c>
      <c r="AB1620" s="43">
        <v>47.696305897897624</v>
      </c>
      <c r="AC1620" s="43">
        <v>47.694333121626656</v>
      </c>
      <c r="AD1620" s="43">
        <v>47.692427257113664</v>
      </c>
      <c r="AE1620" s="43">
        <v>47.690461928368428</v>
      </c>
    </row>
    <row r="1621" spans="1:31" x14ac:dyDescent="0.45">
      <c r="A1621" t="s">
        <v>2483</v>
      </c>
      <c r="B1621" t="s">
        <v>2471</v>
      </c>
      <c r="C1621" t="s">
        <v>113</v>
      </c>
      <c r="D1621">
        <v>2</v>
      </c>
      <c r="E1621" t="s">
        <v>2482</v>
      </c>
      <c r="L1621" s="43">
        <v>66.453659723176557</v>
      </c>
      <c r="M1621" s="43">
        <v>68.485475215764879</v>
      </c>
      <c r="N1621" s="43">
        <v>58.995402742046402</v>
      </c>
      <c r="O1621" s="43">
        <v>43.916716887965812</v>
      </c>
      <c r="P1621" s="43">
        <v>53.774364143577706</v>
      </c>
      <c r="Q1621" s="43">
        <v>42.744789650417033</v>
      </c>
      <c r="R1621" s="43">
        <v>52.296372162917706</v>
      </c>
      <c r="S1621" s="43">
        <v>50.675619134555625</v>
      </c>
      <c r="T1621" s="43">
        <v>49.244157129395532</v>
      </c>
      <c r="U1621" s="43">
        <v>47.701530563316886</v>
      </c>
      <c r="V1621" s="43">
        <v>47.700953244779463</v>
      </c>
      <c r="W1621" s="43">
        <v>47.700345043835391</v>
      </c>
      <c r="X1621" s="43">
        <v>47.699606233150249</v>
      </c>
      <c r="Y1621" s="43">
        <v>47.698784018498259</v>
      </c>
      <c r="Z1621" s="43">
        <v>47.698024235913145</v>
      </c>
      <c r="AA1621" s="43">
        <v>47.69713215264818</v>
      </c>
      <c r="AB1621" s="43">
        <v>47.696305897897624</v>
      </c>
      <c r="AC1621" s="43">
        <v>47.694333121626656</v>
      </c>
      <c r="AD1621" s="43">
        <v>47.692427257113664</v>
      </c>
      <c r="AE1621" s="43">
        <v>47.690461928368428</v>
      </c>
    </row>
    <row r="1622" spans="1:31" x14ac:dyDescent="0.45">
      <c r="A1622" t="s">
        <v>2484</v>
      </c>
      <c r="B1622" t="s">
        <v>2471</v>
      </c>
      <c r="C1622" t="s">
        <v>115</v>
      </c>
      <c r="D1622">
        <v>2</v>
      </c>
      <c r="E1622" t="s">
        <v>2482</v>
      </c>
      <c r="L1622" s="43">
        <v>66.453659723176557</v>
      </c>
      <c r="M1622" s="43">
        <v>68.485475215764879</v>
      </c>
      <c r="N1622" s="43">
        <v>58.995402742046402</v>
      </c>
      <c r="O1622" s="43">
        <v>43.916716887965812</v>
      </c>
      <c r="P1622" s="43">
        <v>53.774364143577706</v>
      </c>
      <c r="Q1622" s="43">
        <v>42.744789650417033</v>
      </c>
      <c r="R1622" s="43">
        <v>52.296372162917706</v>
      </c>
      <c r="S1622" s="43">
        <v>50.675619134555625</v>
      </c>
      <c r="T1622" s="43">
        <v>49.244157129395532</v>
      </c>
      <c r="U1622" s="43">
        <v>47.701530563316886</v>
      </c>
      <c r="V1622" s="43">
        <v>47.700953244779463</v>
      </c>
      <c r="W1622" s="43">
        <v>47.700345043835391</v>
      </c>
      <c r="X1622" s="43">
        <v>47.699606233150249</v>
      </c>
      <c r="Y1622" s="43">
        <v>47.698784018498259</v>
      </c>
      <c r="Z1622" s="43">
        <v>47.698024235913145</v>
      </c>
      <c r="AA1622" s="43">
        <v>47.69713215264818</v>
      </c>
      <c r="AB1622" s="43">
        <v>47.696305897897624</v>
      </c>
      <c r="AC1622" s="43">
        <v>47.694333121626656</v>
      </c>
      <c r="AD1622" s="43">
        <v>47.692427257113664</v>
      </c>
      <c r="AE1622" s="43">
        <v>47.690461928368428</v>
      </c>
    </row>
    <row r="1623" spans="1:31" x14ac:dyDescent="0.45">
      <c r="A1623" t="s">
        <v>2485</v>
      </c>
      <c r="B1623" t="s">
        <v>2471</v>
      </c>
      <c r="C1623" t="s">
        <v>117</v>
      </c>
      <c r="D1623">
        <v>2</v>
      </c>
      <c r="E1623" t="s">
        <v>2482</v>
      </c>
      <c r="L1623" s="43">
        <v>66.453659723176557</v>
      </c>
      <c r="M1623" s="43">
        <v>68.485475215764879</v>
      </c>
      <c r="N1623" s="43">
        <v>58.995402742046402</v>
      </c>
      <c r="O1623" s="43">
        <v>43.916716887965812</v>
      </c>
      <c r="P1623" s="43">
        <v>53.774364143577706</v>
      </c>
      <c r="Q1623" s="43">
        <v>42.744789650417033</v>
      </c>
      <c r="R1623" s="43">
        <v>52.296372162917706</v>
      </c>
      <c r="S1623" s="43">
        <v>50.675619134555625</v>
      </c>
      <c r="T1623" s="43">
        <v>49.244157129395532</v>
      </c>
      <c r="U1623" s="43">
        <v>47.701530563316886</v>
      </c>
      <c r="V1623" s="43">
        <v>47.700953244779463</v>
      </c>
      <c r="W1623" s="43">
        <v>47.700345043835391</v>
      </c>
      <c r="X1623" s="43">
        <v>47.699606233150249</v>
      </c>
      <c r="Y1623" s="43">
        <v>47.698784018498259</v>
      </c>
      <c r="Z1623" s="43">
        <v>47.698024235913145</v>
      </c>
      <c r="AA1623" s="43">
        <v>47.69713215264818</v>
      </c>
      <c r="AB1623" s="43">
        <v>47.696305897897624</v>
      </c>
      <c r="AC1623" s="43">
        <v>47.694333121626656</v>
      </c>
      <c r="AD1623" s="43">
        <v>47.692427257113664</v>
      </c>
      <c r="AE1623" s="43">
        <v>47.690461928368428</v>
      </c>
    </row>
    <row r="1624" spans="1:31" x14ac:dyDescent="0.45">
      <c r="A1624" t="s">
        <v>2486</v>
      </c>
      <c r="B1624" t="s">
        <v>110</v>
      </c>
      <c r="C1624" t="s">
        <v>43</v>
      </c>
      <c r="D1624">
        <v>2</v>
      </c>
      <c r="E1624" t="s">
        <v>2487</v>
      </c>
      <c r="L1624" s="43">
        <v>1901.7140738122609</v>
      </c>
      <c r="M1624" s="43">
        <v>1621.2301769893743</v>
      </c>
      <c r="N1624" s="43">
        <v>1820.8469202303741</v>
      </c>
      <c r="O1624" s="43">
        <v>1904.3670376253485</v>
      </c>
      <c r="P1624" s="43">
        <v>1961.702021253242</v>
      </c>
      <c r="Q1624" s="43">
        <v>2038.9739202925941</v>
      </c>
      <c r="R1624" s="43">
        <v>1847.3650852128353</v>
      </c>
      <c r="S1624" s="43">
        <v>1927.6967656346794</v>
      </c>
      <c r="T1624" s="43">
        <v>2003.6478535386466</v>
      </c>
      <c r="U1624" s="43">
        <v>2080.420807425895</v>
      </c>
      <c r="V1624" s="43">
        <v>2158.1017458230463</v>
      </c>
      <c r="W1624" s="43">
        <v>2238.4314308137432</v>
      </c>
      <c r="X1624" s="43">
        <v>2322.0852782283118</v>
      </c>
      <c r="Y1624" s="43">
        <v>2409.9601076918048</v>
      </c>
      <c r="Z1624" s="43">
        <v>2503.4273650546652</v>
      </c>
      <c r="AA1624" s="43">
        <v>2603.380841256117</v>
      </c>
      <c r="AB1624" s="43">
        <v>2710.5421417180701</v>
      </c>
      <c r="AC1624" s="43">
        <v>2825.0739330466899</v>
      </c>
      <c r="AD1624" s="43">
        <v>2947.1310655860725</v>
      </c>
      <c r="AE1624" s="43">
        <v>3076.9518919077177</v>
      </c>
    </row>
    <row r="1625" spans="1:31" x14ac:dyDescent="0.45">
      <c r="A1625" t="s">
        <v>2488</v>
      </c>
      <c r="B1625" t="s">
        <v>110</v>
      </c>
      <c r="C1625" t="s">
        <v>113</v>
      </c>
      <c r="D1625">
        <v>2</v>
      </c>
      <c r="E1625" t="s">
        <v>2487</v>
      </c>
      <c r="L1625" s="43">
        <v>3210.4467592248702</v>
      </c>
      <c r="M1625" s="43">
        <v>2690.3404093921163</v>
      </c>
      <c r="N1625" s="43">
        <v>3047.5360888007326</v>
      </c>
      <c r="O1625" s="43">
        <v>3240.6928223889822</v>
      </c>
      <c r="P1625" s="43">
        <v>3273.2119677539522</v>
      </c>
      <c r="Q1625" s="43">
        <v>3368.228907853118</v>
      </c>
      <c r="R1625" s="43">
        <v>3064.6631828354202</v>
      </c>
      <c r="S1625" s="43">
        <v>3177.4158490906384</v>
      </c>
      <c r="T1625" s="43">
        <v>3284.1252951076308</v>
      </c>
      <c r="U1625" s="43">
        <v>3391.5167507993629</v>
      </c>
      <c r="V1625" s="43">
        <v>3495.4443719317869</v>
      </c>
      <c r="W1625" s="43">
        <v>3602.4640735657167</v>
      </c>
      <c r="X1625" s="43">
        <v>3713.4594095241946</v>
      </c>
      <c r="Y1625" s="43">
        <v>3829.5951733815596</v>
      </c>
      <c r="Z1625" s="43">
        <v>3952.6477392689649</v>
      </c>
      <c r="AA1625" s="43">
        <v>4083.733553983021</v>
      </c>
      <c r="AB1625" s="43">
        <v>4223.7247296458527</v>
      </c>
      <c r="AC1625" s="43">
        <v>4372.7475422680927</v>
      </c>
      <c r="AD1625" s="43">
        <v>4530.9176443081178</v>
      </c>
      <c r="AE1625" s="43">
        <v>4698.4592756394795</v>
      </c>
    </row>
    <row r="1626" spans="1:31" x14ac:dyDescent="0.45">
      <c r="A1626" t="s">
        <v>2489</v>
      </c>
      <c r="B1626" t="s">
        <v>110</v>
      </c>
      <c r="C1626" t="s">
        <v>115</v>
      </c>
      <c r="D1626">
        <v>2</v>
      </c>
      <c r="E1626" t="s">
        <v>2487</v>
      </c>
      <c r="L1626" s="43">
        <v>0</v>
      </c>
      <c r="M1626" s="43">
        <v>0</v>
      </c>
      <c r="N1626" s="43">
        <v>0</v>
      </c>
      <c r="O1626" s="43">
        <v>0</v>
      </c>
      <c r="P1626" s="43">
        <v>0</v>
      </c>
      <c r="Q1626" s="43">
        <v>0</v>
      </c>
      <c r="R1626" s="43">
        <v>0</v>
      </c>
      <c r="S1626" s="43">
        <v>0</v>
      </c>
      <c r="T1626" s="43">
        <v>0</v>
      </c>
      <c r="U1626" s="43">
        <v>0</v>
      </c>
      <c r="V1626" s="43">
        <v>0</v>
      </c>
      <c r="W1626" s="43">
        <v>0</v>
      </c>
      <c r="X1626" s="43">
        <v>0</v>
      </c>
      <c r="Y1626" s="43">
        <v>0</v>
      </c>
      <c r="Z1626" s="43">
        <v>0</v>
      </c>
      <c r="AA1626" s="43">
        <v>0</v>
      </c>
      <c r="AB1626" s="43">
        <v>0</v>
      </c>
      <c r="AC1626" s="43">
        <v>0</v>
      </c>
      <c r="AD1626" s="43">
        <v>0</v>
      </c>
      <c r="AE1626" s="43">
        <v>0</v>
      </c>
    </row>
    <row r="1627" spans="1:31" x14ac:dyDescent="0.45">
      <c r="A1627" t="s">
        <v>2490</v>
      </c>
      <c r="B1627" t="s">
        <v>110</v>
      </c>
      <c r="C1627" t="s">
        <v>117</v>
      </c>
      <c r="D1627">
        <v>2</v>
      </c>
      <c r="E1627" t="s">
        <v>2487</v>
      </c>
      <c r="L1627" s="43">
        <v>0</v>
      </c>
      <c r="M1627" s="43">
        <v>0</v>
      </c>
      <c r="N1627" s="43">
        <v>0</v>
      </c>
      <c r="O1627" s="43">
        <v>0</v>
      </c>
      <c r="P1627" s="43">
        <v>0</v>
      </c>
      <c r="Q1627" s="43">
        <v>0</v>
      </c>
      <c r="R1627" s="43">
        <v>0</v>
      </c>
      <c r="S1627" s="43">
        <v>0</v>
      </c>
      <c r="T1627" s="43">
        <v>0</v>
      </c>
      <c r="U1627" s="43">
        <v>0</v>
      </c>
      <c r="V1627" s="43">
        <v>0</v>
      </c>
      <c r="W1627" s="43">
        <v>0</v>
      </c>
      <c r="X1627" s="43">
        <v>0</v>
      </c>
      <c r="Y1627" s="43">
        <v>0</v>
      </c>
      <c r="Z1627" s="43">
        <v>0</v>
      </c>
      <c r="AA1627" s="43">
        <v>0</v>
      </c>
      <c r="AB1627" s="43">
        <v>0</v>
      </c>
      <c r="AC1627" s="43">
        <v>0</v>
      </c>
      <c r="AD1627" s="43">
        <v>0</v>
      </c>
      <c r="AE1627" s="43">
        <v>0</v>
      </c>
    </row>
    <row r="1628" spans="1:31" x14ac:dyDescent="0.45">
      <c r="A1628" t="s">
        <v>2491</v>
      </c>
      <c r="B1628" t="s">
        <v>2471</v>
      </c>
      <c r="C1628" t="s">
        <v>43</v>
      </c>
      <c r="D1628">
        <v>2</v>
      </c>
      <c r="E1628" t="s">
        <v>2492</v>
      </c>
      <c r="L1628" s="43">
        <v>66.453659723176557</v>
      </c>
      <c r="M1628" s="43">
        <v>68.485475215764879</v>
      </c>
      <c r="N1628" s="43">
        <v>58.995402742046402</v>
      </c>
      <c r="O1628" s="43">
        <v>43.916716887965812</v>
      </c>
      <c r="P1628" s="43">
        <v>53.774364143577706</v>
      </c>
      <c r="Q1628" s="43">
        <v>42.744789650417033</v>
      </c>
      <c r="R1628" s="43">
        <v>52.296372162917706</v>
      </c>
      <c r="S1628" s="43">
        <v>50.675619134555625</v>
      </c>
      <c r="T1628" s="43">
        <v>49.244157129395532</v>
      </c>
      <c r="U1628" s="43">
        <v>47.701530563316886</v>
      </c>
      <c r="V1628" s="43">
        <v>47.700953244779463</v>
      </c>
      <c r="W1628" s="43">
        <v>47.700345043835391</v>
      </c>
      <c r="X1628" s="43">
        <v>47.699606233150249</v>
      </c>
      <c r="Y1628" s="43">
        <v>47.698784018498259</v>
      </c>
      <c r="Z1628" s="43">
        <v>47.698024235913145</v>
      </c>
      <c r="AA1628" s="43">
        <v>47.69713215264818</v>
      </c>
      <c r="AB1628" s="43">
        <v>47.696305897897624</v>
      </c>
      <c r="AC1628" s="43">
        <v>47.694333121626656</v>
      </c>
      <c r="AD1628" s="43">
        <v>47.692427257113664</v>
      </c>
      <c r="AE1628" s="43">
        <v>47.690461928368428</v>
      </c>
    </row>
    <row r="1629" spans="1:31" x14ac:dyDescent="0.45">
      <c r="A1629" t="s">
        <v>2493</v>
      </c>
      <c r="B1629" t="s">
        <v>2471</v>
      </c>
      <c r="C1629" t="s">
        <v>113</v>
      </c>
      <c r="D1629">
        <v>2</v>
      </c>
      <c r="E1629" t="s">
        <v>2492</v>
      </c>
      <c r="L1629" s="43">
        <v>66.453659723176557</v>
      </c>
      <c r="M1629" s="43">
        <v>68.485475215764879</v>
      </c>
      <c r="N1629" s="43">
        <v>58.995402742046402</v>
      </c>
      <c r="O1629" s="43">
        <v>43.916716887965812</v>
      </c>
      <c r="P1629" s="43">
        <v>53.774364143577706</v>
      </c>
      <c r="Q1629" s="43">
        <v>42.744789650417033</v>
      </c>
      <c r="R1629" s="43">
        <v>52.296372162917706</v>
      </c>
      <c r="S1629" s="43">
        <v>50.675619134555625</v>
      </c>
      <c r="T1629" s="43">
        <v>49.244157129395532</v>
      </c>
      <c r="U1629" s="43">
        <v>47.701530563316886</v>
      </c>
      <c r="V1629" s="43">
        <v>47.700953244779463</v>
      </c>
      <c r="W1629" s="43">
        <v>47.700345043835391</v>
      </c>
      <c r="X1629" s="43">
        <v>47.699606233150249</v>
      </c>
      <c r="Y1629" s="43">
        <v>47.698784018498259</v>
      </c>
      <c r="Z1629" s="43">
        <v>47.698024235913145</v>
      </c>
      <c r="AA1629" s="43">
        <v>47.69713215264818</v>
      </c>
      <c r="AB1629" s="43">
        <v>47.696305897897624</v>
      </c>
      <c r="AC1629" s="43">
        <v>47.694333121626656</v>
      </c>
      <c r="AD1629" s="43">
        <v>47.692427257113664</v>
      </c>
      <c r="AE1629" s="43">
        <v>47.690461928368428</v>
      </c>
    </row>
    <row r="1630" spans="1:31" x14ac:dyDescent="0.45">
      <c r="A1630" t="s">
        <v>2494</v>
      </c>
      <c r="B1630" t="s">
        <v>2471</v>
      </c>
      <c r="C1630" t="s">
        <v>115</v>
      </c>
      <c r="D1630">
        <v>2</v>
      </c>
      <c r="E1630" t="s">
        <v>2492</v>
      </c>
      <c r="L1630" s="43">
        <v>66.453659723176557</v>
      </c>
      <c r="M1630" s="43">
        <v>68.485475215764879</v>
      </c>
      <c r="N1630" s="43">
        <v>58.995402742046402</v>
      </c>
      <c r="O1630" s="43">
        <v>43.916716887965812</v>
      </c>
      <c r="P1630" s="43">
        <v>53.774364143577706</v>
      </c>
      <c r="Q1630" s="43">
        <v>42.744789650417033</v>
      </c>
      <c r="R1630" s="43">
        <v>52.296372162917706</v>
      </c>
      <c r="S1630" s="43">
        <v>50.675619134555625</v>
      </c>
      <c r="T1630" s="43">
        <v>49.244157129395532</v>
      </c>
      <c r="U1630" s="43">
        <v>47.701530563316886</v>
      </c>
      <c r="V1630" s="43">
        <v>47.700953244779463</v>
      </c>
      <c r="W1630" s="43">
        <v>47.700345043835391</v>
      </c>
      <c r="X1630" s="43">
        <v>47.699606233150249</v>
      </c>
      <c r="Y1630" s="43">
        <v>47.698784018498259</v>
      </c>
      <c r="Z1630" s="43">
        <v>47.698024235913145</v>
      </c>
      <c r="AA1630" s="43">
        <v>47.69713215264818</v>
      </c>
      <c r="AB1630" s="43">
        <v>47.696305897897624</v>
      </c>
      <c r="AC1630" s="43">
        <v>47.694333121626656</v>
      </c>
      <c r="AD1630" s="43">
        <v>47.692427257113664</v>
      </c>
      <c r="AE1630" s="43">
        <v>47.690461928368428</v>
      </c>
    </row>
    <row r="1631" spans="1:31" x14ac:dyDescent="0.45">
      <c r="A1631" t="s">
        <v>2495</v>
      </c>
      <c r="B1631" t="s">
        <v>2471</v>
      </c>
      <c r="C1631" t="s">
        <v>117</v>
      </c>
      <c r="D1631">
        <v>2</v>
      </c>
      <c r="E1631" t="s">
        <v>2492</v>
      </c>
      <c r="L1631" s="43">
        <v>66.453659723176557</v>
      </c>
      <c r="M1631" s="43">
        <v>68.485475215764879</v>
      </c>
      <c r="N1631" s="43">
        <v>58.995402742046402</v>
      </c>
      <c r="O1631" s="43">
        <v>43.916716887965812</v>
      </c>
      <c r="P1631" s="43">
        <v>53.774364143577706</v>
      </c>
      <c r="Q1631" s="43">
        <v>42.744789650417033</v>
      </c>
      <c r="R1631" s="43">
        <v>52.296372162917706</v>
      </c>
      <c r="S1631" s="43">
        <v>50.675619134555625</v>
      </c>
      <c r="T1631" s="43">
        <v>49.244157129395532</v>
      </c>
      <c r="U1631" s="43">
        <v>47.701530563316886</v>
      </c>
      <c r="V1631" s="43">
        <v>47.700953244779463</v>
      </c>
      <c r="W1631" s="43">
        <v>47.700345043835391</v>
      </c>
      <c r="X1631" s="43">
        <v>47.699606233150249</v>
      </c>
      <c r="Y1631" s="43">
        <v>47.698784018498259</v>
      </c>
      <c r="Z1631" s="43">
        <v>47.698024235913145</v>
      </c>
      <c r="AA1631" s="43">
        <v>47.69713215264818</v>
      </c>
      <c r="AB1631" s="43">
        <v>47.696305897897624</v>
      </c>
      <c r="AC1631" s="43">
        <v>47.694333121626656</v>
      </c>
      <c r="AD1631" s="43">
        <v>47.692427257113664</v>
      </c>
      <c r="AE1631" s="43">
        <v>47.690461928368428</v>
      </c>
    </row>
    <row r="1632" spans="1:31" x14ac:dyDescent="0.45">
      <c r="A1632" t="s">
        <v>2496</v>
      </c>
      <c r="B1632" t="s">
        <v>110</v>
      </c>
      <c r="C1632" t="s">
        <v>43</v>
      </c>
      <c r="D1632">
        <v>2</v>
      </c>
      <c r="E1632" t="s">
        <v>2497</v>
      </c>
      <c r="L1632" s="43">
        <v>1901.7140738122609</v>
      </c>
      <c r="M1632" s="43">
        <v>1621.2301769893743</v>
      </c>
      <c r="N1632" s="43">
        <v>1820.8469202303741</v>
      </c>
      <c r="O1632" s="43">
        <v>1904.3670376253485</v>
      </c>
      <c r="P1632" s="43">
        <v>1961.702021253242</v>
      </c>
      <c r="Q1632" s="43">
        <v>2038.9739202925941</v>
      </c>
      <c r="R1632" s="43">
        <v>1847.3650852128353</v>
      </c>
      <c r="S1632" s="43">
        <v>1927.6967656346794</v>
      </c>
      <c r="T1632" s="43">
        <v>2003.6478535386466</v>
      </c>
      <c r="U1632" s="43">
        <v>2080.420807425895</v>
      </c>
      <c r="V1632" s="43">
        <v>2158.1017458230463</v>
      </c>
      <c r="W1632" s="43">
        <v>2238.4314308137432</v>
      </c>
      <c r="X1632" s="43">
        <v>2322.0852782283118</v>
      </c>
      <c r="Y1632" s="43">
        <v>2409.9601076918048</v>
      </c>
      <c r="Z1632" s="43">
        <v>2503.4273650546652</v>
      </c>
      <c r="AA1632" s="43">
        <v>2603.380841256117</v>
      </c>
      <c r="AB1632" s="43">
        <v>2710.5421417180701</v>
      </c>
      <c r="AC1632" s="43">
        <v>2825.0739330466899</v>
      </c>
      <c r="AD1632" s="43">
        <v>2947.1310655860725</v>
      </c>
      <c r="AE1632" s="43">
        <v>3076.9518919077177</v>
      </c>
    </row>
    <row r="1633" spans="1:31" x14ac:dyDescent="0.45">
      <c r="A1633" t="s">
        <v>2498</v>
      </c>
      <c r="B1633" t="s">
        <v>110</v>
      </c>
      <c r="C1633" t="s">
        <v>113</v>
      </c>
      <c r="D1633">
        <v>2</v>
      </c>
      <c r="E1633" t="s">
        <v>2497</v>
      </c>
      <c r="L1633" s="43">
        <v>3210.4467592248702</v>
      </c>
      <c r="M1633" s="43">
        <v>2690.3404093921163</v>
      </c>
      <c r="N1633" s="43">
        <v>3047.5360888007326</v>
      </c>
      <c r="O1633" s="43">
        <v>3240.6928223889822</v>
      </c>
      <c r="P1633" s="43">
        <v>3273.2119677539522</v>
      </c>
      <c r="Q1633" s="43">
        <v>3368.228907853118</v>
      </c>
      <c r="R1633" s="43">
        <v>3064.6631828354202</v>
      </c>
      <c r="S1633" s="43">
        <v>3177.4158490906384</v>
      </c>
      <c r="T1633" s="43">
        <v>3284.1252951076308</v>
      </c>
      <c r="U1633" s="43">
        <v>3391.5167507993629</v>
      </c>
      <c r="V1633" s="43">
        <v>3495.4443719317869</v>
      </c>
      <c r="W1633" s="43">
        <v>3602.4640735657167</v>
      </c>
      <c r="X1633" s="43">
        <v>3713.4594095241946</v>
      </c>
      <c r="Y1633" s="43">
        <v>3829.5951733815596</v>
      </c>
      <c r="Z1633" s="43">
        <v>3952.6477392689649</v>
      </c>
      <c r="AA1633" s="43">
        <v>4083.733553983021</v>
      </c>
      <c r="AB1633" s="43">
        <v>4223.7247296458527</v>
      </c>
      <c r="AC1633" s="43">
        <v>4372.7475422680927</v>
      </c>
      <c r="AD1633" s="43">
        <v>4530.9176443081178</v>
      </c>
      <c r="AE1633" s="43">
        <v>4698.4592756394795</v>
      </c>
    </row>
    <row r="1634" spans="1:31" x14ac:dyDescent="0.45">
      <c r="A1634" t="s">
        <v>2499</v>
      </c>
      <c r="B1634" t="s">
        <v>110</v>
      </c>
      <c r="C1634" t="s">
        <v>115</v>
      </c>
      <c r="D1634">
        <v>2</v>
      </c>
      <c r="E1634" t="s">
        <v>2497</v>
      </c>
      <c r="L1634" s="43">
        <v>0</v>
      </c>
      <c r="M1634" s="43">
        <v>0</v>
      </c>
      <c r="N1634" s="43">
        <v>0</v>
      </c>
      <c r="O1634" s="43">
        <v>0</v>
      </c>
      <c r="P1634" s="43">
        <v>0</v>
      </c>
      <c r="Q1634" s="43">
        <v>0</v>
      </c>
      <c r="R1634" s="43">
        <v>0</v>
      </c>
      <c r="S1634" s="43">
        <v>0</v>
      </c>
      <c r="T1634" s="43">
        <v>0</v>
      </c>
      <c r="U1634" s="43">
        <v>0</v>
      </c>
      <c r="V1634" s="43">
        <v>0</v>
      </c>
      <c r="W1634" s="43">
        <v>0</v>
      </c>
      <c r="X1634" s="43">
        <v>0</v>
      </c>
      <c r="Y1634" s="43">
        <v>0</v>
      </c>
      <c r="Z1634" s="43">
        <v>0</v>
      </c>
      <c r="AA1634" s="43">
        <v>0</v>
      </c>
      <c r="AB1634" s="43">
        <v>0</v>
      </c>
      <c r="AC1634" s="43">
        <v>0</v>
      </c>
      <c r="AD1634" s="43">
        <v>0</v>
      </c>
      <c r="AE1634" s="43">
        <v>0</v>
      </c>
    </row>
    <row r="1635" spans="1:31" x14ac:dyDescent="0.45">
      <c r="A1635" t="s">
        <v>2500</v>
      </c>
      <c r="B1635" t="s">
        <v>110</v>
      </c>
      <c r="C1635" t="s">
        <v>117</v>
      </c>
      <c r="D1635">
        <v>2</v>
      </c>
      <c r="E1635" t="s">
        <v>2497</v>
      </c>
      <c r="L1635" s="43">
        <v>0</v>
      </c>
      <c r="M1635" s="43">
        <v>0</v>
      </c>
      <c r="N1635" s="43">
        <v>0</v>
      </c>
      <c r="O1635" s="43">
        <v>0</v>
      </c>
      <c r="P1635" s="43">
        <v>0</v>
      </c>
      <c r="Q1635" s="43">
        <v>0</v>
      </c>
      <c r="R1635" s="43">
        <v>0</v>
      </c>
      <c r="S1635" s="43">
        <v>0</v>
      </c>
      <c r="T1635" s="43">
        <v>0</v>
      </c>
      <c r="U1635" s="43">
        <v>0</v>
      </c>
      <c r="V1635" s="43">
        <v>0</v>
      </c>
      <c r="W1635" s="43">
        <v>0</v>
      </c>
      <c r="X1635" s="43">
        <v>0</v>
      </c>
      <c r="Y1635" s="43">
        <v>0</v>
      </c>
      <c r="Z1635" s="43">
        <v>0</v>
      </c>
      <c r="AA1635" s="43">
        <v>0</v>
      </c>
      <c r="AB1635" s="43">
        <v>0</v>
      </c>
      <c r="AC1635" s="43">
        <v>0</v>
      </c>
      <c r="AD1635" s="43">
        <v>0</v>
      </c>
      <c r="AE1635" s="43">
        <v>0</v>
      </c>
    </row>
    <row r="1636" spans="1:31" x14ac:dyDescent="0.45">
      <c r="A1636" t="s">
        <v>2501</v>
      </c>
      <c r="B1636" t="s">
        <v>2471</v>
      </c>
      <c r="C1636" t="s">
        <v>43</v>
      </c>
      <c r="D1636">
        <v>2</v>
      </c>
      <c r="E1636" t="s">
        <v>2502</v>
      </c>
      <c r="L1636" s="43">
        <v>66.453659723176557</v>
      </c>
      <c r="M1636" s="43">
        <v>68.485475215764879</v>
      </c>
      <c r="N1636" s="43">
        <v>58.995402742046402</v>
      </c>
      <c r="O1636" s="43">
        <v>43.916716887965812</v>
      </c>
      <c r="P1636" s="43">
        <v>53.774364143577706</v>
      </c>
      <c r="Q1636" s="43">
        <v>42.744789650417033</v>
      </c>
      <c r="R1636" s="43">
        <v>52.296372162917706</v>
      </c>
      <c r="S1636" s="43">
        <v>50.675619134555625</v>
      </c>
      <c r="T1636" s="43">
        <v>49.244157129395532</v>
      </c>
      <c r="U1636" s="43">
        <v>47.701530563316886</v>
      </c>
      <c r="V1636" s="43">
        <v>47.700953244779463</v>
      </c>
      <c r="W1636" s="43">
        <v>47.700345043835391</v>
      </c>
      <c r="X1636" s="43">
        <v>47.699606233150249</v>
      </c>
      <c r="Y1636" s="43">
        <v>47.698784018498259</v>
      </c>
      <c r="Z1636" s="43">
        <v>47.698024235913145</v>
      </c>
      <c r="AA1636" s="43">
        <v>47.69713215264818</v>
      </c>
      <c r="AB1636" s="43">
        <v>47.696305897897624</v>
      </c>
      <c r="AC1636" s="43">
        <v>47.694333121626656</v>
      </c>
      <c r="AD1636" s="43">
        <v>47.692427257113664</v>
      </c>
      <c r="AE1636" s="43">
        <v>47.690461928368428</v>
      </c>
    </row>
    <row r="1637" spans="1:31" x14ac:dyDescent="0.45">
      <c r="A1637" t="s">
        <v>2503</v>
      </c>
      <c r="B1637" t="s">
        <v>2471</v>
      </c>
      <c r="C1637" t="s">
        <v>113</v>
      </c>
      <c r="D1637">
        <v>2</v>
      </c>
      <c r="E1637" t="s">
        <v>2502</v>
      </c>
      <c r="L1637" s="43">
        <v>66.453659723176557</v>
      </c>
      <c r="M1637" s="43">
        <v>68.485475215764879</v>
      </c>
      <c r="N1637" s="43">
        <v>58.995402742046402</v>
      </c>
      <c r="O1637" s="43">
        <v>43.916716887965812</v>
      </c>
      <c r="P1637" s="43">
        <v>53.774364143577706</v>
      </c>
      <c r="Q1637" s="43">
        <v>42.744789650417033</v>
      </c>
      <c r="R1637" s="43">
        <v>52.296372162917706</v>
      </c>
      <c r="S1637" s="43">
        <v>50.675619134555625</v>
      </c>
      <c r="T1637" s="43">
        <v>49.244157129395532</v>
      </c>
      <c r="U1637" s="43">
        <v>47.701530563316886</v>
      </c>
      <c r="V1637" s="43">
        <v>47.700953244779463</v>
      </c>
      <c r="W1637" s="43">
        <v>47.700345043835391</v>
      </c>
      <c r="X1637" s="43">
        <v>47.699606233150249</v>
      </c>
      <c r="Y1637" s="43">
        <v>47.698784018498259</v>
      </c>
      <c r="Z1637" s="43">
        <v>47.698024235913145</v>
      </c>
      <c r="AA1637" s="43">
        <v>47.69713215264818</v>
      </c>
      <c r="AB1637" s="43">
        <v>47.696305897897624</v>
      </c>
      <c r="AC1637" s="43">
        <v>47.694333121626656</v>
      </c>
      <c r="AD1637" s="43">
        <v>47.692427257113664</v>
      </c>
      <c r="AE1637" s="43">
        <v>47.690461928368428</v>
      </c>
    </row>
    <row r="1638" spans="1:31" x14ac:dyDescent="0.45">
      <c r="A1638" t="s">
        <v>2504</v>
      </c>
      <c r="B1638" t="s">
        <v>2471</v>
      </c>
      <c r="C1638" t="s">
        <v>115</v>
      </c>
      <c r="D1638">
        <v>2</v>
      </c>
      <c r="E1638" t="s">
        <v>2502</v>
      </c>
      <c r="L1638" s="43">
        <v>66.453659723176557</v>
      </c>
      <c r="M1638" s="43">
        <v>68.485475215764879</v>
      </c>
      <c r="N1638" s="43">
        <v>58.995402742046402</v>
      </c>
      <c r="O1638" s="43">
        <v>43.916716887965812</v>
      </c>
      <c r="P1638" s="43">
        <v>53.774364143577706</v>
      </c>
      <c r="Q1638" s="43">
        <v>42.744789650417033</v>
      </c>
      <c r="R1638" s="43">
        <v>52.296372162917706</v>
      </c>
      <c r="S1638" s="43">
        <v>50.675619134555625</v>
      </c>
      <c r="T1638" s="43">
        <v>49.244157129395532</v>
      </c>
      <c r="U1638" s="43">
        <v>47.701530563316886</v>
      </c>
      <c r="V1638" s="43">
        <v>47.700953244779463</v>
      </c>
      <c r="W1638" s="43">
        <v>47.700345043835391</v>
      </c>
      <c r="X1638" s="43">
        <v>47.699606233150249</v>
      </c>
      <c r="Y1638" s="43">
        <v>47.698784018498259</v>
      </c>
      <c r="Z1638" s="43">
        <v>47.698024235913145</v>
      </c>
      <c r="AA1638" s="43">
        <v>47.69713215264818</v>
      </c>
      <c r="AB1638" s="43">
        <v>47.696305897897624</v>
      </c>
      <c r="AC1638" s="43">
        <v>47.694333121626656</v>
      </c>
      <c r="AD1638" s="43">
        <v>47.692427257113664</v>
      </c>
      <c r="AE1638" s="43">
        <v>47.690461928368428</v>
      </c>
    </row>
    <row r="1639" spans="1:31" x14ac:dyDescent="0.45">
      <c r="A1639" t="s">
        <v>2505</v>
      </c>
      <c r="B1639" t="s">
        <v>2471</v>
      </c>
      <c r="C1639" t="s">
        <v>117</v>
      </c>
      <c r="D1639">
        <v>2</v>
      </c>
      <c r="E1639" t="s">
        <v>2502</v>
      </c>
      <c r="L1639" s="43">
        <v>66.453659723176557</v>
      </c>
      <c r="M1639" s="43">
        <v>68.485475215764879</v>
      </c>
      <c r="N1639" s="43">
        <v>58.995402742046402</v>
      </c>
      <c r="O1639" s="43">
        <v>43.916716887965812</v>
      </c>
      <c r="P1639" s="43">
        <v>53.774364143577706</v>
      </c>
      <c r="Q1639" s="43">
        <v>42.744789650417033</v>
      </c>
      <c r="R1639" s="43">
        <v>52.296372162917706</v>
      </c>
      <c r="S1639" s="43">
        <v>50.675619134555625</v>
      </c>
      <c r="T1639" s="43">
        <v>49.244157129395532</v>
      </c>
      <c r="U1639" s="43">
        <v>47.701530563316886</v>
      </c>
      <c r="V1639" s="43">
        <v>47.700953244779463</v>
      </c>
      <c r="W1639" s="43">
        <v>47.700345043835391</v>
      </c>
      <c r="X1639" s="43">
        <v>47.699606233150249</v>
      </c>
      <c r="Y1639" s="43">
        <v>47.698784018498259</v>
      </c>
      <c r="Z1639" s="43">
        <v>47.698024235913145</v>
      </c>
      <c r="AA1639" s="43">
        <v>47.69713215264818</v>
      </c>
      <c r="AB1639" s="43">
        <v>47.696305897897624</v>
      </c>
      <c r="AC1639" s="43">
        <v>47.694333121626656</v>
      </c>
      <c r="AD1639" s="43">
        <v>47.692427257113664</v>
      </c>
      <c r="AE1639" s="43">
        <v>47.690461928368428</v>
      </c>
    </row>
    <row r="1640" spans="1:31" x14ac:dyDescent="0.45">
      <c r="A1640" t="s">
        <v>2506</v>
      </c>
      <c r="B1640" t="s">
        <v>110</v>
      </c>
      <c r="C1640" t="s">
        <v>43</v>
      </c>
      <c r="D1640">
        <v>2</v>
      </c>
      <c r="E1640" t="s">
        <v>2507</v>
      </c>
      <c r="L1640" s="43">
        <v>1901.7140738122609</v>
      </c>
      <c r="M1640" s="43">
        <v>1621.2301769893743</v>
      </c>
      <c r="N1640" s="43">
        <v>1820.8469202303741</v>
      </c>
      <c r="O1640" s="43">
        <v>1904.3670376253485</v>
      </c>
      <c r="P1640" s="43">
        <v>1961.702021253242</v>
      </c>
      <c r="Q1640" s="43">
        <v>2038.9739202925941</v>
      </c>
      <c r="R1640" s="43">
        <v>2053.7524223291048</v>
      </c>
      <c r="S1640" s="43">
        <v>2028.7258545687616</v>
      </c>
      <c r="T1640" s="43">
        <v>2003.6478535386473</v>
      </c>
      <c r="U1640" s="43">
        <v>1983.2706278023495</v>
      </c>
      <c r="V1640" s="43">
        <v>1966.960491119863</v>
      </c>
      <c r="W1640" s="43">
        <v>1955.5819635673633</v>
      </c>
      <c r="X1640" s="43">
        <v>1949.000028543926</v>
      </c>
      <c r="Y1640" s="43">
        <v>1947.3059514210311</v>
      </c>
      <c r="Z1640" s="43">
        <v>1950.9693766450584</v>
      </c>
      <c r="AA1640" s="43">
        <v>1960.0564283126205</v>
      </c>
      <c r="AB1640" s="43">
        <v>1974.5170929136352</v>
      </c>
      <c r="AC1640" s="43">
        <v>1993.9297991003125</v>
      </c>
      <c r="AD1640" s="43">
        <v>2017.9315635538314</v>
      </c>
      <c r="AE1640" s="43">
        <v>2046.2675129889969</v>
      </c>
    </row>
    <row r="1641" spans="1:31" x14ac:dyDescent="0.45">
      <c r="A1641" t="s">
        <v>2508</v>
      </c>
      <c r="B1641" t="s">
        <v>110</v>
      </c>
      <c r="C1641" t="s">
        <v>113</v>
      </c>
      <c r="D1641">
        <v>2</v>
      </c>
      <c r="E1641" t="s">
        <v>2507</v>
      </c>
      <c r="L1641" s="43">
        <v>3210.4467592248702</v>
      </c>
      <c r="M1641" s="43">
        <v>2690.3404093921163</v>
      </c>
      <c r="N1641" s="43">
        <v>3047.5360888007326</v>
      </c>
      <c r="O1641" s="43">
        <v>3240.6928223889822</v>
      </c>
      <c r="P1641" s="43">
        <v>3273.2119677539522</v>
      </c>
      <c r="Q1641" s="43">
        <v>3368.228907853118</v>
      </c>
      <c r="R1641" s="43">
        <v>3379.4779585853985</v>
      </c>
      <c r="S1641" s="43">
        <v>3331.2392751518291</v>
      </c>
      <c r="T1641" s="43">
        <v>3284.1252951076317</v>
      </c>
      <c r="U1641" s="43">
        <v>3244.0426318203517</v>
      </c>
      <c r="V1641" s="43">
        <v>3206.5962688425279</v>
      </c>
      <c r="W1641" s="43">
        <v>3176.9586228001854</v>
      </c>
      <c r="X1641" s="43">
        <v>3154.7672508666237</v>
      </c>
      <c r="Y1641" s="43">
        <v>3139.9898420802028</v>
      </c>
      <c r="Z1641" s="43">
        <v>3133.1186800267096</v>
      </c>
      <c r="AA1641" s="43">
        <v>3134.112488762697</v>
      </c>
      <c r="AB1641" s="43">
        <v>3142.7839499983083</v>
      </c>
      <c r="AC1641" s="43">
        <v>3158.4600343757443</v>
      </c>
      <c r="AD1641" s="43">
        <v>3180.5588326837142</v>
      </c>
      <c r="AE1641" s="43">
        <v>3208.6530755839376</v>
      </c>
    </row>
    <row r="1642" spans="1:31" x14ac:dyDescent="0.45">
      <c r="A1642" t="s">
        <v>2509</v>
      </c>
      <c r="B1642" t="s">
        <v>110</v>
      </c>
      <c r="C1642" t="s">
        <v>115</v>
      </c>
      <c r="D1642">
        <v>2</v>
      </c>
      <c r="E1642" t="s">
        <v>2507</v>
      </c>
      <c r="L1642" s="43">
        <v>0</v>
      </c>
      <c r="M1642" s="43">
        <v>0</v>
      </c>
      <c r="N1642" s="43">
        <v>0</v>
      </c>
      <c r="O1642" s="43">
        <v>0</v>
      </c>
      <c r="P1642" s="43">
        <v>0</v>
      </c>
      <c r="Q1642" s="43">
        <v>0</v>
      </c>
      <c r="R1642" s="43">
        <v>0</v>
      </c>
      <c r="S1642" s="43">
        <v>0</v>
      </c>
      <c r="T1642" s="43">
        <v>0</v>
      </c>
      <c r="U1642" s="43">
        <v>0</v>
      </c>
      <c r="V1642" s="43">
        <v>0</v>
      </c>
      <c r="W1642" s="43">
        <v>0</v>
      </c>
      <c r="X1642" s="43">
        <v>0</v>
      </c>
      <c r="Y1642" s="43">
        <v>0</v>
      </c>
      <c r="Z1642" s="43">
        <v>0</v>
      </c>
      <c r="AA1642" s="43">
        <v>0</v>
      </c>
      <c r="AB1642" s="43">
        <v>0</v>
      </c>
      <c r="AC1642" s="43">
        <v>0</v>
      </c>
      <c r="AD1642" s="43">
        <v>0</v>
      </c>
      <c r="AE1642" s="43">
        <v>0</v>
      </c>
    </row>
    <row r="1643" spans="1:31" x14ac:dyDescent="0.45">
      <c r="A1643" t="s">
        <v>2510</v>
      </c>
      <c r="B1643" t="s">
        <v>110</v>
      </c>
      <c r="C1643" t="s">
        <v>117</v>
      </c>
      <c r="D1643">
        <v>2</v>
      </c>
      <c r="E1643" t="s">
        <v>2507</v>
      </c>
      <c r="L1643" s="43">
        <v>0</v>
      </c>
      <c r="M1643" s="43">
        <v>0</v>
      </c>
      <c r="N1643" s="43">
        <v>0</v>
      </c>
      <c r="O1643" s="43">
        <v>0</v>
      </c>
      <c r="P1643" s="43">
        <v>0</v>
      </c>
      <c r="Q1643" s="43">
        <v>0</v>
      </c>
      <c r="R1643" s="43">
        <v>0</v>
      </c>
      <c r="S1643" s="43">
        <v>0</v>
      </c>
      <c r="T1643" s="43">
        <v>0</v>
      </c>
      <c r="U1643" s="43">
        <v>0</v>
      </c>
      <c r="V1643" s="43">
        <v>0</v>
      </c>
      <c r="W1643" s="43">
        <v>0</v>
      </c>
      <c r="X1643" s="43">
        <v>0</v>
      </c>
      <c r="Y1643" s="43">
        <v>0</v>
      </c>
      <c r="Z1643" s="43">
        <v>0</v>
      </c>
      <c r="AA1643" s="43">
        <v>0</v>
      </c>
      <c r="AB1643" s="43">
        <v>0</v>
      </c>
      <c r="AC1643" s="43">
        <v>0</v>
      </c>
      <c r="AD1643" s="43">
        <v>0</v>
      </c>
      <c r="AE1643" s="43">
        <v>0</v>
      </c>
    </row>
    <row r="1644" spans="1:31" x14ac:dyDescent="0.45">
      <c r="A1644" t="s">
        <v>2511</v>
      </c>
      <c r="B1644" t="s">
        <v>2471</v>
      </c>
      <c r="C1644" t="s">
        <v>43</v>
      </c>
      <c r="D1644">
        <v>2</v>
      </c>
      <c r="E1644" t="s">
        <v>2512</v>
      </c>
      <c r="L1644" s="43">
        <v>66.453659723176557</v>
      </c>
      <c r="M1644" s="43">
        <v>68.485475215764879</v>
      </c>
      <c r="N1644" s="43">
        <v>58.995402742046402</v>
      </c>
      <c r="O1644" s="43">
        <v>43.916716887965812</v>
      </c>
      <c r="P1644" s="43">
        <v>53.774364143577706</v>
      </c>
      <c r="Q1644" s="43">
        <v>42.744789650417033</v>
      </c>
      <c r="R1644" s="43">
        <v>42.779072328836371</v>
      </c>
      <c r="S1644" s="43">
        <v>45.916969217514961</v>
      </c>
      <c r="T1644" s="43">
        <v>49.244157129395532</v>
      </c>
      <c r="U1644" s="43">
        <v>52.460180480357558</v>
      </c>
      <c r="V1644" s="43">
        <v>57.218253078860805</v>
      </c>
      <c r="W1644" s="43">
        <v>61.976294794957397</v>
      </c>
      <c r="X1644" s="43">
        <v>66.734205901312919</v>
      </c>
      <c r="Y1644" s="43">
        <v>71.4920336037016</v>
      </c>
      <c r="Z1644" s="43">
        <v>76.24992373815715</v>
      </c>
      <c r="AA1644" s="43">
        <v>81.007681571932849</v>
      </c>
      <c r="AB1644" s="43">
        <v>85.765505234222971</v>
      </c>
      <c r="AC1644" s="43">
        <v>90.522182374992653</v>
      </c>
      <c r="AD1644" s="43">
        <v>95.278926427520332</v>
      </c>
      <c r="AE1644" s="43">
        <v>100.03561101581576</v>
      </c>
    </row>
    <row r="1645" spans="1:31" x14ac:dyDescent="0.45">
      <c r="A1645" t="s">
        <v>2513</v>
      </c>
      <c r="B1645" t="s">
        <v>2471</v>
      </c>
      <c r="C1645" t="s">
        <v>113</v>
      </c>
      <c r="D1645">
        <v>2</v>
      </c>
      <c r="E1645" t="s">
        <v>2512</v>
      </c>
      <c r="L1645" s="43">
        <v>66.453659723176557</v>
      </c>
      <c r="M1645" s="43">
        <v>68.485475215764879</v>
      </c>
      <c r="N1645" s="43">
        <v>58.995402742046402</v>
      </c>
      <c r="O1645" s="43">
        <v>43.916716887965812</v>
      </c>
      <c r="P1645" s="43">
        <v>53.774364143577706</v>
      </c>
      <c r="Q1645" s="43">
        <v>42.744789650417033</v>
      </c>
      <c r="R1645" s="43">
        <v>42.779072328836371</v>
      </c>
      <c r="S1645" s="43">
        <v>45.916969217514961</v>
      </c>
      <c r="T1645" s="43">
        <v>49.244157129395532</v>
      </c>
      <c r="U1645" s="43">
        <v>52.460180480357558</v>
      </c>
      <c r="V1645" s="43">
        <v>57.218253078860805</v>
      </c>
      <c r="W1645" s="43">
        <v>61.976294794957397</v>
      </c>
      <c r="X1645" s="43">
        <v>66.734205901312919</v>
      </c>
      <c r="Y1645" s="43">
        <v>71.4920336037016</v>
      </c>
      <c r="Z1645" s="43">
        <v>76.24992373815715</v>
      </c>
      <c r="AA1645" s="43">
        <v>81.007681571932849</v>
      </c>
      <c r="AB1645" s="43">
        <v>85.765505234222971</v>
      </c>
      <c r="AC1645" s="43">
        <v>90.522182374992653</v>
      </c>
      <c r="AD1645" s="43">
        <v>95.278926427520332</v>
      </c>
      <c r="AE1645" s="43">
        <v>100.03561101581576</v>
      </c>
    </row>
    <row r="1646" spans="1:31" x14ac:dyDescent="0.45">
      <c r="A1646" t="s">
        <v>2514</v>
      </c>
      <c r="B1646" t="s">
        <v>2471</v>
      </c>
      <c r="C1646" t="s">
        <v>115</v>
      </c>
      <c r="D1646">
        <v>2</v>
      </c>
      <c r="E1646" t="s">
        <v>2512</v>
      </c>
      <c r="L1646" s="43">
        <v>66.453659723176557</v>
      </c>
      <c r="M1646" s="43">
        <v>68.485475215764879</v>
      </c>
      <c r="N1646" s="43">
        <v>58.995402742046402</v>
      </c>
      <c r="O1646" s="43">
        <v>43.916716887965812</v>
      </c>
      <c r="P1646" s="43">
        <v>53.774364143577706</v>
      </c>
      <c r="Q1646" s="43">
        <v>42.744789650417033</v>
      </c>
      <c r="R1646" s="43">
        <v>42.779072328836371</v>
      </c>
      <c r="S1646" s="43">
        <v>45.916969217514961</v>
      </c>
      <c r="T1646" s="43">
        <v>49.244157129395532</v>
      </c>
      <c r="U1646" s="43">
        <v>52.460180480357558</v>
      </c>
      <c r="V1646" s="43">
        <v>57.218253078860805</v>
      </c>
      <c r="W1646" s="43">
        <v>61.976294794957397</v>
      </c>
      <c r="X1646" s="43">
        <v>66.734205901312919</v>
      </c>
      <c r="Y1646" s="43">
        <v>71.4920336037016</v>
      </c>
      <c r="Z1646" s="43">
        <v>76.24992373815715</v>
      </c>
      <c r="AA1646" s="43">
        <v>81.007681571932849</v>
      </c>
      <c r="AB1646" s="43">
        <v>85.765505234222971</v>
      </c>
      <c r="AC1646" s="43">
        <v>90.522182374992653</v>
      </c>
      <c r="AD1646" s="43">
        <v>95.278926427520332</v>
      </c>
      <c r="AE1646" s="43">
        <v>100.03561101581576</v>
      </c>
    </row>
    <row r="1647" spans="1:31" x14ac:dyDescent="0.45">
      <c r="A1647" t="s">
        <v>2515</v>
      </c>
      <c r="B1647" t="s">
        <v>2471</v>
      </c>
      <c r="C1647" t="s">
        <v>117</v>
      </c>
      <c r="D1647">
        <v>2</v>
      </c>
      <c r="E1647" t="s">
        <v>2512</v>
      </c>
      <c r="L1647" s="43">
        <v>66.453659723176557</v>
      </c>
      <c r="M1647" s="43">
        <v>68.485475215764879</v>
      </c>
      <c r="N1647" s="43">
        <v>58.995402742046402</v>
      </c>
      <c r="O1647" s="43">
        <v>43.916716887965812</v>
      </c>
      <c r="P1647" s="43">
        <v>53.774364143577706</v>
      </c>
      <c r="Q1647" s="43">
        <v>42.744789650417033</v>
      </c>
      <c r="R1647" s="43">
        <v>42.779072328836371</v>
      </c>
      <c r="S1647" s="43">
        <v>45.916969217514961</v>
      </c>
      <c r="T1647" s="43">
        <v>49.244157129395532</v>
      </c>
      <c r="U1647" s="43">
        <v>52.460180480357558</v>
      </c>
      <c r="V1647" s="43">
        <v>57.218253078860805</v>
      </c>
      <c r="W1647" s="43">
        <v>61.976294794957397</v>
      </c>
      <c r="X1647" s="43">
        <v>66.734205901312919</v>
      </c>
      <c r="Y1647" s="43">
        <v>71.4920336037016</v>
      </c>
      <c r="Z1647" s="43">
        <v>76.24992373815715</v>
      </c>
      <c r="AA1647" s="43">
        <v>81.007681571932849</v>
      </c>
      <c r="AB1647" s="43">
        <v>85.765505234222971</v>
      </c>
      <c r="AC1647" s="43">
        <v>90.522182374992653</v>
      </c>
      <c r="AD1647" s="43">
        <v>95.278926427520332</v>
      </c>
      <c r="AE1647" s="43">
        <v>100.03561101581576</v>
      </c>
    </row>
    <row r="1648" spans="1:31" x14ac:dyDescent="0.45">
      <c r="A1648" t="s">
        <v>2516</v>
      </c>
      <c r="B1648" t="s">
        <v>110</v>
      </c>
      <c r="C1648" t="s">
        <v>43</v>
      </c>
      <c r="D1648">
        <v>2</v>
      </c>
      <c r="E1648" t="s">
        <v>2517</v>
      </c>
      <c r="L1648" s="43">
        <v>1901.7140738122609</v>
      </c>
      <c r="M1648" s="43">
        <v>1621.2301769893743</v>
      </c>
      <c r="N1648" s="43">
        <v>1820.8469202303741</v>
      </c>
      <c r="O1648" s="43">
        <v>1904.3670376253485</v>
      </c>
      <c r="P1648" s="43">
        <v>1961.702021253242</v>
      </c>
      <c r="Q1648" s="43">
        <v>2038.9739202925941</v>
      </c>
      <c r="R1648" s="43">
        <v>2053.7524223291048</v>
      </c>
      <c r="S1648" s="43">
        <v>2028.7258545687616</v>
      </c>
      <c r="T1648" s="43">
        <v>2003.6478535386473</v>
      </c>
      <c r="U1648" s="43">
        <v>1983.2706278023495</v>
      </c>
      <c r="V1648" s="43">
        <v>1966.960491119863</v>
      </c>
      <c r="W1648" s="43">
        <v>1955.5819635673633</v>
      </c>
      <c r="X1648" s="43">
        <v>1949.000028543926</v>
      </c>
      <c r="Y1648" s="43">
        <v>1947.3059514210311</v>
      </c>
      <c r="Z1648" s="43">
        <v>1950.9693766450584</v>
      </c>
      <c r="AA1648" s="43">
        <v>1960.0564283126205</v>
      </c>
      <c r="AB1648" s="43">
        <v>1974.5170929136352</v>
      </c>
      <c r="AC1648" s="43">
        <v>1993.9297991003125</v>
      </c>
      <c r="AD1648" s="43">
        <v>2017.9315635538314</v>
      </c>
      <c r="AE1648" s="43">
        <v>2046.2675129889969</v>
      </c>
    </row>
    <row r="1649" spans="1:31" x14ac:dyDescent="0.45">
      <c r="A1649" t="s">
        <v>2518</v>
      </c>
      <c r="B1649" t="s">
        <v>110</v>
      </c>
      <c r="C1649" t="s">
        <v>113</v>
      </c>
      <c r="D1649">
        <v>2</v>
      </c>
      <c r="E1649" t="s">
        <v>2517</v>
      </c>
      <c r="L1649" s="43">
        <v>3210.4467592248702</v>
      </c>
      <c r="M1649" s="43">
        <v>2690.3404093921163</v>
      </c>
      <c r="N1649" s="43">
        <v>3047.5360888007326</v>
      </c>
      <c r="O1649" s="43">
        <v>3240.6928223889822</v>
      </c>
      <c r="P1649" s="43">
        <v>3273.2119677539522</v>
      </c>
      <c r="Q1649" s="43">
        <v>3368.228907853118</v>
      </c>
      <c r="R1649" s="43">
        <v>3379.4779585853985</v>
      </c>
      <c r="S1649" s="43">
        <v>3331.2392751518291</v>
      </c>
      <c r="T1649" s="43">
        <v>3284.1252951076317</v>
      </c>
      <c r="U1649" s="43">
        <v>3244.0426318203517</v>
      </c>
      <c r="V1649" s="43">
        <v>3206.5962688425279</v>
      </c>
      <c r="W1649" s="43">
        <v>3176.9586228001854</v>
      </c>
      <c r="X1649" s="43">
        <v>3154.7672508666237</v>
      </c>
      <c r="Y1649" s="43">
        <v>3139.9898420802028</v>
      </c>
      <c r="Z1649" s="43">
        <v>3133.1186800267096</v>
      </c>
      <c r="AA1649" s="43">
        <v>3134.112488762697</v>
      </c>
      <c r="AB1649" s="43">
        <v>3142.7839499983083</v>
      </c>
      <c r="AC1649" s="43">
        <v>3158.4600343757443</v>
      </c>
      <c r="AD1649" s="43">
        <v>3180.5588326837142</v>
      </c>
      <c r="AE1649" s="43">
        <v>3208.6530755839376</v>
      </c>
    </row>
    <row r="1650" spans="1:31" x14ac:dyDescent="0.45">
      <c r="A1650" t="s">
        <v>2519</v>
      </c>
      <c r="B1650" t="s">
        <v>110</v>
      </c>
      <c r="C1650" t="s">
        <v>115</v>
      </c>
      <c r="D1650">
        <v>2</v>
      </c>
      <c r="E1650" t="s">
        <v>2517</v>
      </c>
      <c r="L1650" s="43">
        <v>0</v>
      </c>
      <c r="M1650" s="43">
        <v>0</v>
      </c>
      <c r="N1650" s="43">
        <v>0</v>
      </c>
      <c r="O1650" s="43">
        <v>0</v>
      </c>
      <c r="P1650" s="43">
        <v>0</v>
      </c>
      <c r="Q1650" s="43">
        <v>0</v>
      </c>
      <c r="R1650" s="43">
        <v>0</v>
      </c>
      <c r="S1650" s="43">
        <v>0</v>
      </c>
      <c r="T1650" s="43">
        <v>0</v>
      </c>
      <c r="U1650" s="43">
        <v>0</v>
      </c>
      <c r="V1650" s="43">
        <v>0</v>
      </c>
      <c r="W1650" s="43">
        <v>0</v>
      </c>
      <c r="X1650" s="43">
        <v>0</v>
      </c>
      <c r="Y1650" s="43">
        <v>0</v>
      </c>
      <c r="Z1650" s="43">
        <v>0</v>
      </c>
      <c r="AA1650" s="43">
        <v>0</v>
      </c>
      <c r="AB1650" s="43">
        <v>0</v>
      </c>
      <c r="AC1650" s="43">
        <v>0</v>
      </c>
      <c r="AD1650" s="43">
        <v>0</v>
      </c>
      <c r="AE1650" s="43">
        <v>0</v>
      </c>
    </row>
    <row r="1651" spans="1:31" x14ac:dyDescent="0.45">
      <c r="A1651" t="s">
        <v>2520</v>
      </c>
      <c r="B1651" t="s">
        <v>110</v>
      </c>
      <c r="C1651" t="s">
        <v>117</v>
      </c>
      <c r="D1651">
        <v>2</v>
      </c>
      <c r="E1651" t="s">
        <v>2517</v>
      </c>
      <c r="L1651" s="43">
        <v>0</v>
      </c>
      <c r="M1651" s="43">
        <v>0</v>
      </c>
      <c r="N1651" s="43">
        <v>0</v>
      </c>
      <c r="O1651" s="43">
        <v>0</v>
      </c>
      <c r="P1651" s="43">
        <v>0</v>
      </c>
      <c r="Q1651" s="43">
        <v>0</v>
      </c>
      <c r="R1651" s="43">
        <v>0</v>
      </c>
      <c r="S1651" s="43">
        <v>0</v>
      </c>
      <c r="T1651" s="43">
        <v>0</v>
      </c>
      <c r="U1651" s="43">
        <v>0</v>
      </c>
      <c r="V1651" s="43">
        <v>0</v>
      </c>
      <c r="W1651" s="43">
        <v>0</v>
      </c>
      <c r="X1651" s="43">
        <v>0</v>
      </c>
      <c r="Y1651" s="43">
        <v>0</v>
      </c>
      <c r="Z1651" s="43">
        <v>0</v>
      </c>
      <c r="AA1651" s="43">
        <v>0</v>
      </c>
      <c r="AB1651" s="43">
        <v>0</v>
      </c>
      <c r="AC1651" s="43">
        <v>0</v>
      </c>
      <c r="AD1651" s="43">
        <v>0</v>
      </c>
      <c r="AE1651" s="43">
        <v>0</v>
      </c>
    </row>
    <row r="1652" spans="1:31" x14ac:dyDescent="0.45">
      <c r="A1652" t="s">
        <v>2521</v>
      </c>
      <c r="B1652" t="s">
        <v>2471</v>
      </c>
      <c r="C1652" t="s">
        <v>43</v>
      </c>
      <c r="D1652">
        <v>2</v>
      </c>
      <c r="E1652" t="s">
        <v>2522</v>
      </c>
      <c r="L1652" s="43">
        <v>66.453659723176557</v>
      </c>
      <c r="M1652" s="43">
        <v>68.485475215764879</v>
      </c>
      <c r="N1652" s="43">
        <v>58.995402742046402</v>
      </c>
      <c r="O1652" s="43">
        <v>43.916716887965812</v>
      </c>
      <c r="P1652" s="43">
        <v>53.774364143577706</v>
      </c>
      <c r="Q1652" s="43">
        <v>42.744789650417033</v>
      </c>
      <c r="R1652" s="43">
        <v>42.779072328836371</v>
      </c>
      <c r="S1652" s="43">
        <v>45.916969217514961</v>
      </c>
      <c r="T1652" s="43">
        <v>49.244157129395532</v>
      </c>
      <c r="U1652" s="43">
        <v>52.460180480357558</v>
      </c>
      <c r="V1652" s="43">
        <v>57.218253078860805</v>
      </c>
      <c r="W1652" s="43">
        <v>61.976294794957397</v>
      </c>
      <c r="X1652" s="43">
        <v>66.734205901312919</v>
      </c>
      <c r="Y1652" s="43">
        <v>71.4920336037016</v>
      </c>
      <c r="Z1652" s="43">
        <v>76.24992373815715</v>
      </c>
      <c r="AA1652" s="43">
        <v>81.007681571932849</v>
      </c>
      <c r="AB1652" s="43">
        <v>85.765505234222971</v>
      </c>
      <c r="AC1652" s="43">
        <v>90.522182374992653</v>
      </c>
      <c r="AD1652" s="43">
        <v>95.278926427520332</v>
      </c>
      <c r="AE1652" s="43">
        <v>100.03561101581576</v>
      </c>
    </row>
    <row r="1653" spans="1:31" x14ac:dyDescent="0.45">
      <c r="A1653" t="s">
        <v>2523</v>
      </c>
      <c r="B1653" t="s">
        <v>2471</v>
      </c>
      <c r="C1653" t="s">
        <v>113</v>
      </c>
      <c r="D1653">
        <v>2</v>
      </c>
      <c r="E1653" t="s">
        <v>2522</v>
      </c>
      <c r="L1653" s="43">
        <v>66.453659723176557</v>
      </c>
      <c r="M1653" s="43">
        <v>68.485475215764879</v>
      </c>
      <c r="N1653" s="43">
        <v>58.995402742046402</v>
      </c>
      <c r="O1653" s="43">
        <v>43.916716887965812</v>
      </c>
      <c r="P1653" s="43">
        <v>53.774364143577706</v>
      </c>
      <c r="Q1653" s="43">
        <v>42.744789650417033</v>
      </c>
      <c r="R1653" s="43">
        <v>42.779072328836371</v>
      </c>
      <c r="S1653" s="43">
        <v>45.916969217514961</v>
      </c>
      <c r="T1653" s="43">
        <v>49.244157129395532</v>
      </c>
      <c r="U1653" s="43">
        <v>52.460180480357558</v>
      </c>
      <c r="V1653" s="43">
        <v>57.218253078860805</v>
      </c>
      <c r="W1653" s="43">
        <v>61.976294794957397</v>
      </c>
      <c r="X1653" s="43">
        <v>66.734205901312919</v>
      </c>
      <c r="Y1653" s="43">
        <v>71.4920336037016</v>
      </c>
      <c r="Z1653" s="43">
        <v>76.24992373815715</v>
      </c>
      <c r="AA1653" s="43">
        <v>81.007681571932849</v>
      </c>
      <c r="AB1653" s="43">
        <v>85.765505234222971</v>
      </c>
      <c r="AC1653" s="43">
        <v>90.522182374992653</v>
      </c>
      <c r="AD1653" s="43">
        <v>95.278926427520332</v>
      </c>
      <c r="AE1653" s="43">
        <v>100.03561101581576</v>
      </c>
    </row>
    <row r="1654" spans="1:31" x14ac:dyDescent="0.45">
      <c r="A1654" t="s">
        <v>2524</v>
      </c>
      <c r="B1654" t="s">
        <v>2471</v>
      </c>
      <c r="C1654" t="s">
        <v>115</v>
      </c>
      <c r="D1654">
        <v>2</v>
      </c>
      <c r="E1654" t="s">
        <v>2522</v>
      </c>
      <c r="L1654" s="43">
        <v>66.453659723176557</v>
      </c>
      <c r="M1654" s="43">
        <v>68.485475215764879</v>
      </c>
      <c r="N1654" s="43">
        <v>58.995402742046402</v>
      </c>
      <c r="O1654" s="43">
        <v>43.916716887965812</v>
      </c>
      <c r="P1654" s="43">
        <v>53.774364143577706</v>
      </c>
      <c r="Q1654" s="43">
        <v>42.744789650417033</v>
      </c>
      <c r="R1654" s="43">
        <v>42.779072328836371</v>
      </c>
      <c r="S1654" s="43">
        <v>45.916969217514961</v>
      </c>
      <c r="T1654" s="43">
        <v>49.244157129395532</v>
      </c>
      <c r="U1654" s="43">
        <v>52.460180480357558</v>
      </c>
      <c r="V1654" s="43">
        <v>57.218253078860805</v>
      </c>
      <c r="W1654" s="43">
        <v>61.976294794957397</v>
      </c>
      <c r="X1654" s="43">
        <v>66.734205901312919</v>
      </c>
      <c r="Y1654" s="43">
        <v>71.4920336037016</v>
      </c>
      <c r="Z1654" s="43">
        <v>76.24992373815715</v>
      </c>
      <c r="AA1654" s="43">
        <v>81.007681571932849</v>
      </c>
      <c r="AB1654" s="43">
        <v>85.765505234222971</v>
      </c>
      <c r="AC1654" s="43">
        <v>90.522182374992653</v>
      </c>
      <c r="AD1654" s="43">
        <v>95.278926427520332</v>
      </c>
      <c r="AE1654" s="43">
        <v>100.03561101581576</v>
      </c>
    </row>
    <row r="1655" spans="1:31" x14ac:dyDescent="0.45">
      <c r="A1655" t="s">
        <v>2525</v>
      </c>
      <c r="B1655" t="s">
        <v>2471</v>
      </c>
      <c r="C1655" t="s">
        <v>117</v>
      </c>
      <c r="D1655">
        <v>2</v>
      </c>
      <c r="E1655" t="s">
        <v>2522</v>
      </c>
      <c r="L1655" s="43">
        <v>66.453659723176557</v>
      </c>
      <c r="M1655" s="43">
        <v>68.485475215764879</v>
      </c>
      <c r="N1655" s="43">
        <v>58.995402742046402</v>
      </c>
      <c r="O1655" s="43">
        <v>43.916716887965812</v>
      </c>
      <c r="P1655" s="43">
        <v>53.774364143577706</v>
      </c>
      <c r="Q1655" s="43">
        <v>42.744789650417033</v>
      </c>
      <c r="R1655" s="43">
        <v>42.779072328836371</v>
      </c>
      <c r="S1655" s="43">
        <v>45.916969217514961</v>
      </c>
      <c r="T1655" s="43">
        <v>49.244157129395532</v>
      </c>
      <c r="U1655" s="43">
        <v>52.460180480357558</v>
      </c>
      <c r="V1655" s="43">
        <v>57.218253078860805</v>
      </c>
      <c r="W1655" s="43">
        <v>61.976294794957397</v>
      </c>
      <c r="X1655" s="43">
        <v>66.734205901312919</v>
      </c>
      <c r="Y1655" s="43">
        <v>71.4920336037016</v>
      </c>
      <c r="Z1655" s="43">
        <v>76.24992373815715</v>
      </c>
      <c r="AA1655" s="43">
        <v>81.007681571932849</v>
      </c>
      <c r="AB1655" s="43">
        <v>85.765505234222971</v>
      </c>
      <c r="AC1655" s="43">
        <v>90.522182374992653</v>
      </c>
      <c r="AD1655" s="43">
        <v>95.278926427520332</v>
      </c>
      <c r="AE1655" s="43">
        <v>100.03561101581576</v>
      </c>
    </row>
    <row r="1656" spans="1:31" x14ac:dyDescent="0.45">
      <c r="A1656" t="s">
        <v>2526</v>
      </c>
      <c r="B1656" t="s">
        <v>110</v>
      </c>
      <c r="C1656" t="s">
        <v>43</v>
      </c>
      <c r="D1656">
        <v>2</v>
      </c>
      <c r="E1656" t="s">
        <v>2527</v>
      </c>
      <c r="L1656" s="43">
        <v>1901.7140738122609</v>
      </c>
      <c r="M1656" s="43">
        <v>1621.2301769893743</v>
      </c>
      <c r="N1656" s="43">
        <v>1820.8469202303741</v>
      </c>
      <c r="O1656" s="43">
        <v>1904.3670376253485</v>
      </c>
      <c r="P1656" s="43">
        <v>1961.702021253242</v>
      </c>
      <c r="Q1656" s="43">
        <v>2038.9739202925941</v>
      </c>
      <c r="R1656" s="43">
        <v>2053.7524223291048</v>
      </c>
      <c r="S1656" s="43">
        <v>2028.7258545687616</v>
      </c>
      <c r="T1656" s="43">
        <v>2003.6478535386473</v>
      </c>
      <c r="U1656" s="43">
        <v>1983.2706278023495</v>
      </c>
      <c r="V1656" s="43">
        <v>1966.960491119863</v>
      </c>
      <c r="W1656" s="43">
        <v>1955.5819635673633</v>
      </c>
      <c r="X1656" s="43">
        <v>1949.000028543926</v>
      </c>
      <c r="Y1656" s="43">
        <v>1947.3059514210311</v>
      </c>
      <c r="Z1656" s="43">
        <v>1950.9693766450584</v>
      </c>
      <c r="AA1656" s="43">
        <v>1960.0564283126205</v>
      </c>
      <c r="AB1656" s="43">
        <v>1974.5170929136352</v>
      </c>
      <c r="AC1656" s="43">
        <v>1993.9297991003125</v>
      </c>
      <c r="AD1656" s="43">
        <v>2017.9315635538314</v>
      </c>
      <c r="AE1656" s="43">
        <v>2046.2675129889969</v>
      </c>
    </row>
    <row r="1657" spans="1:31" x14ac:dyDescent="0.45">
      <c r="A1657" t="s">
        <v>2528</v>
      </c>
      <c r="B1657" t="s">
        <v>110</v>
      </c>
      <c r="C1657" t="s">
        <v>113</v>
      </c>
      <c r="D1657">
        <v>2</v>
      </c>
      <c r="E1657" t="s">
        <v>2527</v>
      </c>
      <c r="L1657" s="43">
        <v>3210.4467592248702</v>
      </c>
      <c r="M1657" s="43">
        <v>2690.3404093921163</v>
      </c>
      <c r="N1657" s="43">
        <v>3047.5360888007326</v>
      </c>
      <c r="O1657" s="43">
        <v>3240.6928223889822</v>
      </c>
      <c r="P1657" s="43">
        <v>3273.2119677539522</v>
      </c>
      <c r="Q1657" s="43">
        <v>3368.228907853118</v>
      </c>
      <c r="R1657" s="43">
        <v>3379.4779585853985</v>
      </c>
      <c r="S1657" s="43">
        <v>3331.2392751518291</v>
      </c>
      <c r="T1657" s="43">
        <v>3284.1252951076317</v>
      </c>
      <c r="U1657" s="43">
        <v>3244.0426318203517</v>
      </c>
      <c r="V1657" s="43">
        <v>3206.5962688425279</v>
      </c>
      <c r="W1657" s="43">
        <v>3176.9586228001854</v>
      </c>
      <c r="X1657" s="43">
        <v>3154.7672508666237</v>
      </c>
      <c r="Y1657" s="43">
        <v>3139.9898420802028</v>
      </c>
      <c r="Z1657" s="43">
        <v>3133.1186800267096</v>
      </c>
      <c r="AA1657" s="43">
        <v>3134.112488762697</v>
      </c>
      <c r="AB1657" s="43">
        <v>3142.7839499983083</v>
      </c>
      <c r="AC1657" s="43">
        <v>3158.4600343757443</v>
      </c>
      <c r="AD1657" s="43">
        <v>3180.5588326837142</v>
      </c>
      <c r="AE1657" s="43">
        <v>3208.6530755839376</v>
      </c>
    </row>
    <row r="1658" spans="1:31" x14ac:dyDescent="0.45">
      <c r="A1658" t="s">
        <v>2529</v>
      </c>
      <c r="B1658" t="s">
        <v>110</v>
      </c>
      <c r="C1658" t="s">
        <v>115</v>
      </c>
      <c r="D1658">
        <v>2</v>
      </c>
      <c r="E1658" t="s">
        <v>2527</v>
      </c>
      <c r="L1658" s="43">
        <v>0</v>
      </c>
      <c r="M1658" s="43">
        <v>0</v>
      </c>
      <c r="N1658" s="43">
        <v>0</v>
      </c>
      <c r="O1658" s="43">
        <v>0</v>
      </c>
      <c r="P1658" s="43">
        <v>0</v>
      </c>
      <c r="Q1658" s="43">
        <v>0</v>
      </c>
      <c r="R1658" s="43">
        <v>0</v>
      </c>
      <c r="S1658" s="43">
        <v>0</v>
      </c>
      <c r="T1658" s="43">
        <v>0</v>
      </c>
      <c r="U1658" s="43">
        <v>0</v>
      </c>
      <c r="V1658" s="43">
        <v>0</v>
      </c>
      <c r="W1658" s="43">
        <v>0</v>
      </c>
      <c r="X1658" s="43">
        <v>0</v>
      </c>
      <c r="Y1658" s="43">
        <v>0</v>
      </c>
      <c r="Z1658" s="43">
        <v>0</v>
      </c>
      <c r="AA1658" s="43">
        <v>0</v>
      </c>
      <c r="AB1658" s="43">
        <v>0</v>
      </c>
      <c r="AC1658" s="43">
        <v>0</v>
      </c>
      <c r="AD1658" s="43">
        <v>0</v>
      </c>
      <c r="AE1658" s="43">
        <v>0</v>
      </c>
    </row>
    <row r="1659" spans="1:31" x14ac:dyDescent="0.45">
      <c r="A1659" t="s">
        <v>2530</v>
      </c>
      <c r="B1659" t="s">
        <v>110</v>
      </c>
      <c r="C1659" t="s">
        <v>117</v>
      </c>
      <c r="D1659">
        <v>2</v>
      </c>
      <c r="E1659" t="s">
        <v>2527</v>
      </c>
      <c r="L1659" s="43">
        <v>0</v>
      </c>
      <c r="M1659" s="43">
        <v>0</v>
      </c>
      <c r="N1659" s="43">
        <v>0</v>
      </c>
      <c r="O1659" s="43">
        <v>0</v>
      </c>
      <c r="P1659" s="43">
        <v>0</v>
      </c>
      <c r="Q1659" s="43">
        <v>0</v>
      </c>
      <c r="R1659" s="43">
        <v>0</v>
      </c>
      <c r="S1659" s="43">
        <v>0</v>
      </c>
      <c r="T1659" s="43">
        <v>0</v>
      </c>
      <c r="U1659" s="43">
        <v>0</v>
      </c>
      <c r="V1659" s="43">
        <v>0</v>
      </c>
      <c r="W1659" s="43">
        <v>0</v>
      </c>
      <c r="X1659" s="43">
        <v>0</v>
      </c>
      <c r="Y1659" s="43">
        <v>0</v>
      </c>
      <c r="Z1659" s="43">
        <v>0</v>
      </c>
      <c r="AA1659" s="43">
        <v>0</v>
      </c>
      <c r="AB1659" s="43">
        <v>0</v>
      </c>
      <c r="AC1659" s="43">
        <v>0</v>
      </c>
      <c r="AD1659" s="43">
        <v>0</v>
      </c>
      <c r="AE1659" s="43">
        <v>0</v>
      </c>
    </row>
    <row r="1660" spans="1:31" x14ac:dyDescent="0.45">
      <c r="A1660" t="s">
        <v>2531</v>
      </c>
      <c r="B1660" t="s">
        <v>2471</v>
      </c>
      <c r="C1660" t="s">
        <v>43</v>
      </c>
      <c r="D1660">
        <v>2</v>
      </c>
      <c r="E1660" t="s">
        <v>2532</v>
      </c>
      <c r="L1660" s="43">
        <v>66.453659723176557</v>
      </c>
      <c r="M1660" s="43">
        <v>68.485475215764879</v>
      </c>
      <c r="N1660" s="43">
        <v>58.995402742046402</v>
      </c>
      <c r="O1660" s="43">
        <v>43.916716887965812</v>
      </c>
      <c r="P1660" s="43">
        <v>53.774364143577706</v>
      </c>
      <c r="Q1660" s="43">
        <v>42.744789650417033</v>
      </c>
      <c r="R1660" s="43">
        <v>42.779072328836371</v>
      </c>
      <c r="S1660" s="43">
        <v>45.916969217514961</v>
      </c>
      <c r="T1660" s="43">
        <v>49.244157129395532</v>
      </c>
      <c r="U1660" s="43">
        <v>52.460180480357558</v>
      </c>
      <c r="V1660" s="43">
        <v>57.218253078860805</v>
      </c>
      <c r="W1660" s="43">
        <v>61.976294794957397</v>
      </c>
      <c r="X1660" s="43">
        <v>66.734205901312919</v>
      </c>
      <c r="Y1660" s="43">
        <v>71.4920336037016</v>
      </c>
      <c r="Z1660" s="43">
        <v>76.24992373815715</v>
      </c>
      <c r="AA1660" s="43">
        <v>81.007681571932849</v>
      </c>
      <c r="AB1660" s="43">
        <v>85.765505234222971</v>
      </c>
      <c r="AC1660" s="43">
        <v>90.522182374992653</v>
      </c>
      <c r="AD1660" s="43">
        <v>95.278926427520332</v>
      </c>
      <c r="AE1660" s="43">
        <v>100.03561101581576</v>
      </c>
    </row>
    <row r="1661" spans="1:31" x14ac:dyDescent="0.45">
      <c r="A1661" t="s">
        <v>2533</v>
      </c>
      <c r="B1661" t="s">
        <v>2471</v>
      </c>
      <c r="C1661" t="s">
        <v>113</v>
      </c>
      <c r="D1661">
        <v>2</v>
      </c>
      <c r="E1661" t="s">
        <v>2532</v>
      </c>
      <c r="L1661" s="43">
        <v>66.453659723176557</v>
      </c>
      <c r="M1661" s="43">
        <v>68.485475215764879</v>
      </c>
      <c r="N1661" s="43">
        <v>58.995402742046402</v>
      </c>
      <c r="O1661" s="43">
        <v>43.916716887965812</v>
      </c>
      <c r="P1661" s="43">
        <v>53.774364143577706</v>
      </c>
      <c r="Q1661" s="43">
        <v>42.744789650417033</v>
      </c>
      <c r="R1661" s="43">
        <v>42.779072328836371</v>
      </c>
      <c r="S1661" s="43">
        <v>45.916969217514961</v>
      </c>
      <c r="T1661" s="43">
        <v>49.244157129395532</v>
      </c>
      <c r="U1661" s="43">
        <v>52.460180480357558</v>
      </c>
      <c r="V1661" s="43">
        <v>57.218253078860805</v>
      </c>
      <c r="W1661" s="43">
        <v>61.976294794957397</v>
      </c>
      <c r="X1661" s="43">
        <v>66.734205901312919</v>
      </c>
      <c r="Y1661" s="43">
        <v>71.4920336037016</v>
      </c>
      <c r="Z1661" s="43">
        <v>76.24992373815715</v>
      </c>
      <c r="AA1661" s="43">
        <v>81.007681571932849</v>
      </c>
      <c r="AB1661" s="43">
        <v>85.765505234222971</v>
      </c>
      <c r="AC1661" s="43">
        <v>90.522182374992653</v>
      </c>
      <c r="AD1661" s="43">
        <v>95.278926427520332</v>
      </c>
      <c r="AE1661" s="43">
        <v>100.03561101581576</v>
      </c>
    </row>
    <row r="1662" spans="1:31" x14ac:dyDescent="0.45">
      <c r="A1662" t="s">
        <v>2534</v>
      </c>
      <c r="B1662" t="s">
        <v>2471</v>
      </c>
      <c r="C1662" t="s">
        <v>115</v>
      </c>
      <c r="D1662">
        <v>2</v>
      </c>
      <c r="E1662" t="s">
        <v>2532</v>
      </c>
      <c r="L1662" s="43">
        <v>66.453659723176557</v>
      </c>
      <c r="M1662" s="43">
        <v>68.485475215764879</v>
      </c>
      <c r="N1662" s="43">
        <v>58.995402742046402</v>
      </c>
      <c r="O1662" s="43">
        <v>43.916716887965812</v>
      </c>
      <c r="P1662" s="43">
        <v>53.774364143577706</v>
      </c>
      <c r="Q1662" s="43">
        <v>42.744789650417033</v>
      </c>
      <c r="R1662" s="43">
        <v>42.779072328836371</v>
      </c>
      <c r="S1662" s="43">
        <v>45.916969217514961</v>
      </c>
      <c r="T1662" s="43">
        <v>49.244157129395532</v>
      </c>
      <c r="U1662" s="43">
        <v>52.460180480357558</v>
      </c>
      <c r="V1662" s="43">
        <v>57.218253078860805</v>
      </c>
      <c r="W1662" s="43">
        <v>61.976294794957397</v>
      </c>
      <c r="X1662" s="43">
        <v>66.734205901312919</v>
      </c>
      <c r="Y1662" s="43">
        <v>71.4920336037016</v>
      </c>
      <c r="Z1662" s="43">
        <v>76.24992373815715</v>
      </c>
      <c r="AA1662" s="43">
        <v>81.007681571932849</v>
      </c>
      <c r="AB1662" s="43">
        <v>85.765505234222971</v>
      </c>
      <c r="AC1662" s="43">
        <v>90.522182374992653</v>
      </c>
      <c r="AD1662" s="43">
        <v>95.278926427520332</v>
      </c>
      <c r="AE1662" s="43">
        <v>100.03561101581576</v>
      </c>
    </row>
    <row r="1663" spans="1:31" x14ac:dyDescent="0.45">
      <c r="A1663" t="s">
        <v>2535</v>
      </c>
      <c r="B1663" t="s">
        <v>2471</v>
      </c>
      <c r="C1663" t="s">
        <v>117</v>
      </c>
      <c r="D1663">
        <v>2</v>
      </c>
      <c r="E1663" t="s">
        <v>2532</v>
      </c>
      <c r="L1663" s="43">
        <v>66.453659723176557</v>
      </c>
      <c r="M1663" s="43">
        <v>68.485475215764879</v>
      </c>
      <c r="N1663" s="43">
        <v>58.995402742046402</v>
      </c>
      <c r="O1663" s="43">
        <v>43.916716887965812</v>
      </c>
      <c r="P1663" s="43">
        <v>53.774364143577706</v>
      </c>
      <c r="Q1663" s="43">
        <v>42.744789650417033</v>
      </c>
      <c r="R1663" s="43">
        <v>42.779072328836371</v>
      </c>
      <c r="S1663" s="43">
        <v>45.916969217514961</v>
      </c>
      <c r="T1663" s="43">
        <v>49.244157129395532</v>
      </c>
      <c r="U1663" s="43">
        <v>52.460180480357558</v>
      </c>
      <c r="V1663" s="43">
        <v>57.218253078860805</v>
      </c>
      <c r="W1663" s="43">
        <v>61.976294794957397</v>
      </c>
      <c r="X1663" s="43">
        <v>66.734205901312919</v>
      </c>
      <c r="Y1663" s="43">
        <v>71.4920336037016</v>
      </c>
      <c r="Z1663" s="43">
        <v>76.24992373815715</v>
      </c>
      <c r="AA1663" s="43">
        <v>81.007681571932849</v>
      </c>
      <c r="AB1663" s="43">
        <v>85.765505234222971</v>
      </c>
      <c r="AC1663" s="43">
        <v>90.522182374992653</v>
      </c>
      <c r="AD1663" s="43">
        <v>95.278926427520332</v>
      </c>
      <c r="AE1663" s="43">
        <v>100.03561101581576</v>
      </c>
    </row>
    <row r="1666" spans="1:35" x14ac:dyDescent="0.45">
      <c r="A1666" s="52" t="s">
        <v>2897</v>
      </c>
    </row>
    <row r="1667" spans="1:35" x14ac:dyDescent="0.45">
      <c r="A1667" t="s">
        <v>3102</v>
      </c>
      <c r="D1667" s="92">
        <f>MAX(F1669:F1704)</f>
        <v>0</v>
      </c>
      <c r="F1667" t="s">
        <v>3103</v>
      </c>
    </row>
    <row r="1668" spans="1:35" x14ac:dyDescent="0.45">
      <c r="A1668" s="50" t="s">
        <v>1488</v>
      </c>
      <c r="B1668" s="50"/>
      <c r="C1668" s="50"/>
      <c r="D1668" s="50" t="s">
        <v>47</v>
      </c>
      <c r="E1668" s="50" t="s">
        <v>1156</v>
      </c>
      <c r="F1668" s="50" t="s">
        <v>1958</v>
      </c>
      <c r="G1668" s="50"/>
      <c r="H1668" s="50"/>
      <c r="I1668" s="50" t="s">
        <v>1489</v>
      </c>
      <c r="J1668" s="50"/>
      <c r="K1668" s="50">
        <v>2021</v>
      </c>
      <c r="L1668" s="50">
        <v>2022</v>
      </c>
      <c r="M1668" s="50">
        <v>2023</v>
      </c>
      <c r="N1668" s="50">
        <v>2024</v>
      </c>
      <c r="O1668" s="50">
        <v>2025</v>
      </c>
      <c r="P1668" s="50">
        <v>2026</v>
      </c>
      <c r="Q1668" s="50">
        <v>2027</v>
      </c>
      <c r="R1668" s="50">
        <v>2028</v>
      </c>
      <c r="S1668" s="50">
        <v>2029</v>
      </c>
      <c r="T1668" s="50">
        <v>2030</v>
      </c>
      <c r="U1668" s="50">
        <v>2031</v>
      </c>
      <c r="V1668" s="50">
        <v>2032</v>
      </c>
      <c r="W1668" s="50">
        <v>2033</v>
      </c>
      <c r="X1668" s="50">
        <v>2034</v>
      </c>
      <c r="Y1668" s="50">
        <v>2035</v>
      </c>
      <c r="Z1668" s="50">
        <v>2036</v>
      </c>
      <c r="AA1668" s="50">
        <v>2037</v>
      </c>
      <c r="AB1668" s="50">
        <v>2038</v>
      </c>
      <c r="AC1668" s="50">
        <v>2039</v>
      </c>
      <c r="AD1668" s="50">
        <v>2040</v>
      </c>
      <c r="AE1668" s="50">
        <v>2041</v>
      </c>
      <c r="AF1668" s="50">
        <v>2042</v>
      </c>
      <c r="AG1668" s="50">
        <v>2043</v>
      </c>
      <c r="AH1668" s="50">
        <v>2044</v>
      </c>
      <c r="AI1668" s="50">
        <v>2045</v>
      </c>
    </row>
    <row r="1669" spans="1:35" x14ac:dyDescent="0.45">
      <c r="A1669" t="s">
        <v>2898</v>
      </c>
      <c r="D1669">
        <v>1</v>
      </c>
      <c r="E1669" t="s">
        <v>1161</v>
      </c>
      <c r="F1669">
        <f t="shared" ref="F1669:F1698" si="363">MAX(MAX(L1669:AE1669),-MIN(L1669:AE1669))</f>
        <v>0</v>
      </c>
      <c r="I1669">
        <v>0</v>
      </c>
      <c r="L1669">
        <f>Fund_Industry!L190</f>
        <v>0</v>
      </c>
      <c r="M1669">
        <f>Fund_Industry!M190</f>
        <v>0</v>
      </c>
      <c r="N1669">
        <f>Fund_Industry!N190</f>
        <v>0</v>
      </c>
      <c r="O1669">
        <f>Fund_Industry!O190</f>
        <v>0</v>
      </c>
      <c r="P1669">
        <f>Fund_Industry!P190</f>
        <v>0</v>
      </c>
      <c r="Q1669">
        <f>Fund_Industry!Q190</f>
        <v>0</v>
      </c>
      <c r="R1669">
        <f>Fund_Industry!R190</f>
        <v>0</v>
      </c>
      <c r="S1669">
        <f>Fund_Industry!S190</f>
        <v>0</v>
      </c>
      <c r="T1669">
        <f>Fund_Industry!T190</f>
        <v>0</v>
      </c>
      <c r="U1669">
        <f>Fund_Industry!U190</f>
        <v>0</v>
      </c>
      <c r="V1669">
        <f>Fund_Industry!V190</f>
        <v>0</v>
      </c>
      <c r="W1669">
        <f>Fund_Industry!W190</f>
        <v>0</v>
      </c>
      <c r="X1669">
        <f>Fund_Industry!X190</f>
        <v>0</v>
      </c>
      <c r="Y1669">
        <f>Fund_Industry!Y190</f>
        <v>0</v>
      </c>
      <c r="Z1669">
        <f>Fund_Industry!Z190</f>
        <v>0</v>
      </c>
      <c r="AA1669">
        <f>Fund_Industry!AA190</f>
        <v>0</v>
      </c>
      <c r="AB1669">
        <f>Fund_Industry!AB190</f>
        <v>0</v>
      </c>
      <c r="AC1669">
        <f>Fund_Industry!AC190</f>
        <v>0</v>
      </c>
      <c r="AD1669">
        <f>Fund_Industry!AD190</f>
        <v>0</v>
      </c>
      <c r="AE1669">
        <f>Fund_Industry!AE190</f>
        <v>0</v>
      </c>
    </row>
    <row r="1670" spans="1:35" x14ac:dyDescent="0.45">
      <c r="A1670" t="s">
        <v>2899</v>
      </c>
      <c r="D1670">
        <v>1</v>
      </c>
      <c r="E1670" t="s">
        <v>1161</v>
      </c>
      <c r="F1670">
        <f t="shared" si="363"/>
        <v>0</v>
      </c>
      <c r="I1670">
        <v>0</v>
      </c>
      <c r="L1670">
        <f>Fund_Industry!L195*(Fund_Industry!L122&gt;0)*(1-Fund_Industry!L197)*(Fund_Industry!L124&gt;0)</f>
        <v>0</v>
      </c>
      <c r="M1670">
        <f>Fund_Industry!M195*(Fund_Industry!M122&gt;0)*(1-Fund_Industry!M197)*(Fund_Industry!M124&gt;0)</f>
        <v>0</v>
      </c>
      <c r="N1670">
        <f>Fund_Industry!N195*(Fund_Industry!N122&gt;0)*(1-Fund_Industry!N197)*(Fund_Industry!N124&gt;0)</f>
        <v>0</v>
      </c>
      <c r="O1670">
        <f>Fund_Industry!O195*(Fund_Industry!O122&gt;0)*(1-Fund_Industry!O197)*(Fund_Industry!O124&gt;0)</f>
        <v>0</v>
      </c>
      <c r="P1670">
        <f>Fund_Industry!P195*(Fund_Industry!P122&gt;0)*(1-Fund_Industry!P197)*(Fund_Industry!P124&gt;0)</f>
        <v>0</v>
      </c>
      <c r="Q1670">
        <f>Fund_Industry!Q195*(Fund_Industry!Q122&gt;0)*(1-Fund_Industry!Q197)*(Fund_Industry!Q124&gt;0)</f>
        <v>0</v>
      </c>
      <c r="R1670">
        <f>Fund_Industry!R195*(Fund_Industry!R122&gt;0)*(1-Fund_Industry!R197)*(Fund_Industry!R124&gt;0)</f>
        <v>0</v>
      </c>
      <c r="S1670">
        <f>Fund_Industry!S195*(Fund_Industry!S122&gt;0)*(1-Fund_Industry!S197)*(Fund_Industry!S124&gt;0)</f>
        <v>0</v>
      </c>
      <c r="T1670">
        <f>Fund_Industry!T195*(Fund_Industry!T122&gt;0)*(1-Fund_Industry!T197)*(Fund_Industry!T124&gt;0)</f>
        <v>0</v>
      </c>
      <c r="U1670">
        <f>Fund_Industry!U195*(Fund_Industry!U122&gt;0)*(1-Fund_Industry!U197)*(Fund_Industry!U124&gt;0)</f>
        <v>0</v>
      </c>
      <c r="V1670">
        <f>Fund_Industry!V195*(Fund_Industry!V122&gt;0)*(1-Fund_Industry!V197)*(Fund_Industry!V124&gt;0)</f>
        <v>0</v>
      </c>
      <c r="W1670">
        <f>Fund_Industry!W195*(Fund_Industry!W122&gt;0)*(1-Fund_Industry!W197)*(Fund_Industry!W124&gt;0)</f>
        <v>0</v>
      </c>
      <c r="X1670">
        <f>Fund_Industry!X195*(Fund_Industry!X122&gt;0)*(1-Fund_Industry!X197)*(Fund_Industry!X124&gt;0)</f>
        <v>0</v>
      </c>
      <c r="Y1670">
        <f>Fund_Industry!Y195*(Fund_Industry!Y122&gt;0)*(1-Fund_Industry!Y197)*(Fund_Industry!Y124&gt;0)</f>
        <v>0</v>
      </c>
      <c r="Z1670">
        <f>Fund_Industry!Z195*(Fund_Industry!Z122&gt;0)*(1-Fund_Industry!Z197)*(Fund_Industry!Z124&gt;0)</f>
        <v>0</v>
      </c>
      <c r="AA1670">
        <f>Fund_Industry!AA195*(Fund_Industry!AA122&gt;0)*(1-Fund_Industry!AA197)*(Fund_Industry!AA124&gt;0)</f>
        <v>0</v>
      </c>
      <c r="AB1670">
        <f>Fund_Industry!AB195*(Fund_Industry!AB122&gt;0)*(1-Fund_Industry!AB197)*(Fund_Industry!AB124&gt;0)</f>
        <v>0</v>
      </c>
      <c r="AC1670">
        <f>Fund_Industry!AC195*(Fund_Industry!AC122&gt;0)*(1-Fund_Industry!AC197)*(Fund_Industry!AC124&gt;0)</f>
        <v>0</v>
      </c>
      <c r="AD1670">
        <f>Fund_Industry!AD195*(Fund_Industry!AD122&gt;0)*(1-Fund_Industry!AD197)*(Fund_Industry!AD124&gt;0)</f>
        <v>0</v>
      </c>
      <c r="AE1670">
        <f>Fund_Industry!AE195*(Fund_Industry!AE122&gt;0)*(1-Fund_Industry!AE197)*(Fund_Industry!AE124&gt;0)</f>
        <v>0</v>
      </c>
    </row>
    <row r="1671" spans="1:35" x14ac:dyDescent="0.45">
      <c r="A1671" t="s">
        <v>2900</v>
      </c>
      <c r="D1671">
        <v>1</v>
      </c>
      <c r="E1671" t="s">
        <v>1161</v>
      </c>
      <c r="F1671" s="97">
        <f t="shared" si="363"/>
        <v>0</v>
      </c>
      <c r="I1671">
        <v>0</v>
      </c>
      <c r="L1671" s="97">
        <f>Mitigation_Industry!L360+Mitigation_Industry!L371-Fund_Industry!L123+Fund_Industry!L191</f>
        <v>0</v>
      </c>
      <c r="M1671" s="97">
        <f>Mitigation_Industry!M360+Mitigation_Industry!M371-Fund_Industry!M123+Fund_Industry!M191</f>
        <v>0</v>
      </c>
      <c r="N1671" s="97">
        <f>Mitigation_Industry!N360+Mitigation_Industry!N371-Fund_Industry!N123+Fund_Industry!N191</f>
        <v>0</v>
      </c>
      <c r="O1671" s="97">
        <f>Mitigation_Industry!O360+Mitigation_Industry!O371-Fund_Industry!O123+Fund_Industry!O191</f>
        <v>0</v>
      </c>
      <c r="P1671" s="97">
        <f>Mitigation_Industry!P360+Mitigation_Industry!P371-Fund_Industry!P123+Fund_Industry!P191</f>
        <v>0</v>
      </c>
      <c r="Q1671" s="97">
        <f>Mitigation_Industry!Q360+Mitigation_Industry!Q371-Fund_Industry!Q123+Fund_Industry!Q191</f>
        <v>0</v>
      </c>
      <c r="R1671" s="97">
        <f>Mitigation_Industry!R360+Mitigation_Industry!R371-Fund_Industry!R123+Fund_Industry!R191</f>
        <v>0</v>
      </c>
      <c r="S1671" s="97">
        <f>Mitigation_Industry!S360+Mitigation_Industry!S371-Fund_Industry!S123+Fund_Industry!S191</f>
        <v>0</v>
      </c>
      <c r="T1671" s="97">
        <f>Mitigation_Industry!T360+Mitigation_Industry!T371-Fund_Industry!T123+Fund_Industry!T191</f>
        <v>0</v>
      </c>
      <c r="U1671" s="97">
        <f>Mitigation_Industry!U360+Mitigation_Industry!U371-Fund_Industry!U123+Fund_Industry!U191</f>
        <v>0</v>
      </c>
      <c r="V1671" s="97">
        <f>Mitigation_Industry!V360+Mitigation_Industry!V371-Fund_Industry!V123+Fund_Industry!V191</f>
        <v>0</v>
      </c>
      <c r="W1671" s="97">
        <f>Mitigation_Industry!W360+Mitigation_Industry!W371-Fund_Industry!W123+Fund_Industry!W191</f>
        <v>0</v>
      </c>
      <c r="X1671" s="97">
        <f>Mitigation_Industry!X360+Mitigation_Industry!X371-Fund_Industry!X123+Fund_Industry!X191</f>
        <v>0</v>
      </c>
      <c r="Y1671" s="97">
        <f>Mitigation_Industry!Y360+Mitigation_Industry!Y371-Fund_Industry!Y123+Fund_Industry!Y191</f>
        <v>0</v>
      </c>
      <c r="Z1671" s="97">
        <f>Mitigation_Industry!Z360+Mitigation_Industry!Z371-Fund_Industry!Z123+Fund_Industry!Z191</f>
        <v>0</v>
      </c>
      <c r="AA1671" s="97">
        <f>Mitigation_Industry!AA360+Mitigation_Industry!AA371-Fund_Industry!AA123+Fund_Industry!AA191</f>
        <v>0</v>
      </c>
      <c r="AB1671" s="97">
        <f>Mitigation_Industry!AB360+Mitigation_Industry!AB371-Fund_Industry!AB123+Fund_Industry!AB191</f>
        <v>0</v>
      </c>
      <c r="AC1671" s="97">
        <f>Mitigation_Industry!AC360+Mitigation_Industry!AC371-Fund_Industry!AC123+Fund_Industry!AC191</f>
        <v>0</v>
      </c>
      <c r="AD1671" s="97">
        <f>Mitigation_Industry!AD360+Mitigation_Industry!AD371-Fund_Industry!AD123+Fund_Industry!AD191</f>
        <v>0</v>
      </c>
      <c r="AE1671" s="97">
        <f>Mitigation_Industry!AE360+Mitigation_Industry!AE371-Fund_Industry!AE123+Fund_Industry!AE191</f>
        <v>0</v>
      </c>
    </row>
    <row r="1672" spans="1:35" x14ac:dyDescent="0.45">
      <c r="A1672" t="s">
        <v>2901</v>
      </c>
      <c r="D1672">
        <v>1</v>
      </c>
      <c r="E1672" t="s">
        <v>1161</v>
      </c>
      <c r="F1672">
        <f t="shared" si="363"/>
        <v>0</v>
      </c>
      <c r="I1672">
        <v>0</v>
      </c>
      <c r="L1672">
        <f>IF(Fund_Industry!L11=0,Fund_Industry!L121-Mitigation_Industry!L400,0)</f>
        <v>0</v>
      </c>
      <c r="M1672">
        <f>IF(Fund_Industry!M11=0,Fund_Industry!M121-Mitigation_Industry!M400,0)</f>
        <v>0</v>
      </c>
      <c r="N1672">
        <f>IF(Fund_Industry!N11=0,Fund_Industry!N121-Mitigation_Industry!N400,0)</f>
        <v>0</v>
      </c>
      <c r="O1672">
        <f>IF(Fund_Industry!O11=0,Fund_Industry!O121-Mitigation_Industry!O400,0)</f>
        <v>0</v>
      </c>
      <c r="P1672">
        <f>IF(Fund_Industry!P11=0,Fund_Industry!P121-Mitigation_Industry!P400,0)</f>
        <v>0</v>
      </c>
      <c r="Q1672">
        <f>IF(Fund_Industry!Q11=0,Fund_Industry!Q121-Mitigation_Industry!Q400,0)</f>
        <v>0</v>
      </c>
      <c r="R1672">
        <f>IF(Fund_Industry!R11=0,Fund_Industry!R121-Mitigation_Industry!R400,0)</f>
        <v>0</v>
      </c>
      <c r="S1672">
        <f>IF(Fund_Industry!S11=0,Fund_Industry!S121-Mitigation_Industry!S400,0)</f>
        <v>0</v>
      </c>
      <c r="T1672">
        <f>IF(Fund_Industry!T11=0,Fund_Industry!T121-Mitigation_Industry!T400,0)</f>
        <v>0</v>
      </c>
      <c r="U1672">
        <f>IF(Fund_Industry!U11=0,Fund_Industry!U121-Mitigation_Industry!U400,0)</f>
        <v>0</v>
      </c>
      <c r="V1672">
        <f>IF(Fund_Industry!V11=0,Fund_Industry!V121-Mitigation_Industry!V400,0)</f>
        <v>0</v>
      </c>
      <c r="W1672">
        <f>IF(Fund_Industry!W11=0,Fund_Industry!W121-Mitigation_Industry!W400,0)</f>
        <v>0</v>
      </c>
      <c r="X1672">
        <f>IF(Fund_Industry!X11=0,Fund_Industry!X121-Mitigation_Industry!X400,0)</f>
        <v>0</v>
      </c>
      <c r="Y1672">
        <f>IF(Fund_Industry!Y11=0,Fund_Industry!Y121-Mitigation_Industry!Y400,0)</f>
        <v>0</v>
      </c>
      <c r="Z1672">
        <f>IF(Fund_Industry!Z11=0,Fund_Industry!Z121-Mitigation_Industry!Z400,0)</f>
        <v>0</v>
      </c>
      <c r="AA1672">
        <f>IF(Fund_Industry!AA11=0,Fund_Industry!AA121-Mitigation_Industry!AA400,0)</f>
        <v>0</v>
      </c>
      <c r="AB1672">
        <f>IF(Fund_Industry!AB11=0,Fund_Industry!AB121-Mitigation_Industry!AB400,0)</f>
        <v>0</v>
      </c>
      <c r="AC1672">
        <f>IF(Fund_Industry!AC11=0,Fund_Industry!AC121-Mitigation_Industry!AC400,0)</f>
        <v>0</v>
      </c>
      <c r="AD1672">
        <f>IF(Fund_Industry!AD11=0,Fund_Industry!AD121-Mitigation_Industry!AD400,0)</f>
        <v>0</v>
      </c>
      <c r="AE1672">
        <f>IF(Fund_Industry!AE11=0,Fund_Industry!AE121-Mitigation_Industry!AE400,0)</f>
        <v>0</v>
      </c>
    </row>
    <row r="1673" spans="1:35" x14ac:dyDescent="0.45">
      <c r="A1673" t="s">
        <v>2902</v>
      </c>
      <c r="D1673">
        <v>1</v>
      </c>
      <c r="E1673" t="s">
        <v>1161</v>
      </c>
      <c r="F1673" s="133">
        <f t="shared" si="363"/>
        <v>0</v>
      </c>
      <c r="I1673">
        <v>0</v>
      </c>
      <c r="L1673" s="133">
        <f>Mitigation_Industry!L250-Fund_Industry!L122</f>
        <v>0</v>
      </c>
      <c r="M1673" s="133">
        <f>Mitigation_Industry!M250-Fund_Industry!M122</f>
        <v>0</v>
      </c>
      <c r="N1673" s="133">
        <f>Mitigation_Industry!N250-Fund_Industry!N122</f>
        <v>0</v>
      </c>
      <c r="O1673" s="133">
        <f>Mitigation_Industry!O250-Fund_Industry!O122</f>
        <v>0</v>
      </c>
      <c r="P1673" s="133">
        <f>Mitigation_Industry!P250-Fund_Industry!P122</f>
        <v>0</v>
      </c>
      <c r="Q1673" s="133">
        <f>Mitigation_Industry!Q250-Fund_Industry!Q122</f>
        <v>0</v>
      </c>
      <c r="R1673" s="133">
        <f>Mitigation_Industry!R250-Fund_Industry!R122</f>
        <v>0</v>
      </c>
      <c r="S1673" s="133">
        <f>Mitigation_Industry!S250-Fund_Industry!S122</f>
        <v>0</v>
      </c>
      <c r="T1673" s="133">
        <f>Mitigation_Industry!T250-Fund_Industry!T122</f>
        <v>0</v>
      </c>
      <c r="U1673" s="133">
        <f>Mitigation_Industry!U250-Fund_Industry!U122</f>
        <v>0</v>
      </c>
      <c r="V1673" s="133">
        <f>Mitigation_Industry!V250-Fund_Industry!V122</f>
        <v>0</v>
      </c>
      <c r="W1673" s="133">
        <f>Mitigation_Industry!W250-Fund_Industry!W122</f>
        <v>0</v>
      </c>
      <c r="X1673" s="133">
        <f>Mitigation_Industry!X250-Fund_Industry!X122</f>
        <v>0</v>
      </c>
      <c r="Y1673" s="133">
        <f>Mitigation_Industry!Y250-Fund_Industry!Y122</f>
        <v>0</v>
      </c>
      <c r="Z1673" s="133">
        <f>Mitigation_Industry!Z250-Fund_Industry!Z122</f>
        <v>0</v>
      </c>
      <c r="AA1673" s="133">
        <f>Mitigation_Industry!AA250-Fund_Industry!AA122</f>
        <v>0</v>
      </c>
      <c r="AB1673" s="133">
        <f>Mitigation_Industry!AB250-Fund_Industry!AB122</f>
        <v>0</v>
      </c>
      <c r="AC1673" s="133">
        <f>Mitigation_Industry!AC250-Fund_Industry!AC122</f>
        <v>0</v>
      </c>
      <c r="AD1673" s="133">
        <f>Mitigation_Industry!AD250-Fund_Industry!AD122</f>
        <v>0</v>
      </c>
      <c r="AE1673" s="133">
        <f>Mitigation_Industry!AE250-Fund_Industry!AE122</f>
        <v>0</v>
      </c>
    </row>
    <row r="1674" spans="1:35" x14ac:dyDescent="0.45">
      <c r="A1674" t="s">
        <v>2899</v>
      </c>
      <c r="D1674">
        <v>2</v>
      </c>
      <c r="E1674" t="s">
        <v>1161</v>
      </c>
      <c r="F1674">
        <f t="shared" si="363"/>
        <v>0</v>
      </c>
      <c r="I1674">
        <v>0</v>
      </c>
      <c r="L1674">
        <f>Fund_Industry!L402*(Fund_Industry!L329&gt;0)*(1-Fund_Industry!L404)*(Fund_Industry!L331&gt;0)</f>
        <v>0</v>
      </c>
      <c r="M1674">
        <f>Fund_Industry!M402*(Fund_Industry!M329&gt;0)*(1-Fund_Industry!M404)*(Fund_Industry!M331&gt;0)</f>
        <v>0</v>
      </c>
      <c r="N1674">
        <f>Fund_Industry!N402*(Fund_Industry!N329&gt;0)*(1-Fund_Industry!N404)*(Fund_Industry!N331&gt;0)</f>
        <v>0</v>
      </c>
      <c r="O1674">
        <f>Fund_Industry!O402*(Fund_Industry!O329&gt;0)*(1-Fund_Industry!O404)*(Fund_Industry!O331&gt;0)</f>
        <v>0</v>
      </c>
      <c r="P1674">
        <f>Fund_Industry!P402*(Fund_Industry!P329&gt;0)*(1-Fund_Industry!P404)*(Fund_Industry!P331&gt;0)</f>
        <v>0</v>
      </c>
      <c r="Q1674">
        <f>Fund_Industry!Q402*(Fund_Industry!Q329&gt;0)*(1-Fund_Industry!Q404)*(Fund_Industry!Q331&gt;0)</f>
        <v>0</v>
      </c>
      <c r="R1674">
        <f>Fund_Industry!R402*(Fund_Industry!R329&gt;0)*(1-Fund_Industry!R404)*(Fund_Industry!R331&gt;0)</f>
        <v>0</v>
      </c>
      <c r="S1674">
        <f>Fund_Industry!S402*(Fund_Industry!S329&gt;0)*(1-Fund_Industry!S404)*(Fund_Industry!S331&gt;0)</f>
        <v>0</v>
      </c>
      <c r="T1674">
        <f>Fund_Industry!T402*(Fund_Industry!T329&gt;0)*(1-Fund_Industry!T404)*(Fund_Industry!T331&gt;0)</f>
        <v>0</v>
      </c>
      <c r="U1674">
        <f>Fund_Industry!U402*(Fund_Industry!U329&gt;0)*(1-Fund_Industry!U404)*(Fund_Industry!U331&gt;0)</f>
        <v>0</v>
      </c>
      <c r="V1674">
        <f>Fund_Industry!V402*(Fund_Industry!V329&gt;0)*(1-Fund_Industry!V404)*(Fund_Industry!V331&gt;0)</f>
        <v>0</v>
      </c>
      <c r="W1674">
        <f>Fund_Industry!W402*(Fund_Industry!W329&gt;0)*(1-Fund_Industry!W404)*(Fund_Industry!W331&gt;0)</f>
        <v>0</v>
      </c>
      <c r="X1674">
        <f>Fund_Industry!X402*(Fund_Industry!X329&gt;0)*(1-Fund_Industry!X404)*(Fund_Industry!X331&gt;0)</f>
        <v>0</v>
      </c>
      <c r="Y1674">
        <f>Fund_Industry!Y402*(Fund_Industry!Y329&gt;0)*(1-Fund_Industry!Y404)*(Fund_Industry!Y331&gt;0)</f>
        <v>0</v>
      </c>
      <c r="Z1674">
        <f>Fund_Industry!Z402*(Fund_Industry!Z329&gt;0)*(1-Fund_Industry!Z404)*(Fund_Industry!Z331&gt;0)</f>
        <v>0</v>
      </c>
      <c r="AA1674">
        <f>Fund_Industry!AA402*(Fund_Industry!AA329&gt;0)*(1-Fund_Industry!AA404)*(Fund_Industry!AA331&gt;0)</f>
        <v>0</v>
      </c>
      <c r="AB1674">
        <f>Fund_Industry!AB402*(Fund_Industry!AB329&gt;0)*(1-Fund_Industry!AB404)*(Fund_Industry!AB331&gt;0)</f>
        <v>0</v>
      </c>
      <c r="AC1674">
        <f>Fund_Industry!AC402*(Fund_Industry!AC329&gt;0)*(1-Fund_Industry!AC404)*(Fund_Industry!AC331&gt;0)</f>
        <v>0</v>
      </c>
      <c r="AD1674">
        <f>Fund_Industry!AD402*(Fund_Industry!AD329&gt;0)*(1-Fund_Industry!AD404)*(Fund_Industry!AD331&gt;0)</f>
        <v>0</v>
      </c>
      <c r="AE1674">
        <f>Fund_Industry!AE402*(Fund_Industry!AE329&gt;0)*(1-Fund_Industry!AE404)*(Fund_Industry!AE331&gt;0)</f>
        <v>0</v>
      </c>
    </row>
    <row r="1675" spans="1:35" x14ac:dyDescent="0.45">
      <c r="A1675" t="s">
        <v>2900</v>
      </c>
      <c r="D1675">
        <v>2</v>
      </c>
      <c r="E1675" t="s">
        <v>1161</v>
      </c>
      <c r="F1675" s="97">
        <f t="shared" si="363"/>
        <v>0</v>
      </c>
      <c r="I1675">
        <v>0</v>
      </c>
      <c r="L1675" s="97">
        <f>Mitigation_Industry!L759+Mitigation_Industry!L770-Fund_Industry!L330+Fund_Industry!L398</f>
        <v>0</v>
      </c>
      <c r="M1675" s="97">
        <f>Mitigation_Industry!M759+Mitigation_Industry!M770-Fund_Industry!M330+Fund_Industry!M398</f>
        <v>0</v>
      </c>
      <c r="N1675" s="97">
        <f>Mitigation_Industry!N759+Mitigation_Industry!N770-Fund_Industry!N330+Fund_Industry!N398</f>
        <v>0</v>
      </c>
      <c r="O1675" s="97">
        <f>Mitigation_Industry!O759+Mitigation_Industry!O770-Fund_Industry!O330+Fund_Industry!O398</f>
        <v>0</v>
      </c>
      <c r="P1675" s="97">
        <f>Mitigation_Industry!P759+Mitigation_Industry!P770-Fund_Industry!P330+Fund_Industry!P398</f>
        <v>0</v>
      </c>
      <c r="Q1675" s="97">
        <f>Mitigation_Industry!Q759+Mitigation_Industry!Q770-Fund_Industry!Q330+Fund_Industry!Q398</f>
        <v>0</v>
      </c>
      <c r="R1675" s="97">
        <f>Mitigation_Industry!R759+Mitigation_Industry!R770-Fund_Industry!R330+Fund_Industry!R398</f>
        <v>0</v>
      </c>
      <c r="S1675" s="97">
        <f>Mitigation_Industry!S759+Mitigation_Industry!S770-Fund_Industry!S330+Fund_Industry!S398</f>
        <v>0</v>
      </c>
      <c r="T1675" s="97">
        <f>Mitigation_Industry!T759+Mitigation_Industry!T770-Fund_Industry!T330+Fund_Industry!T398</f>
        <v>0</v>
      </c>
      <c r="U1675" s="97">
        <f>Mitigation_Industry!U759+Mitigation_Industry!U770-Fund_Industry!U330+Fund_Industry!U398</f>
        <v>0</v>
      </c>
      <c r="V1675" s="97">
        <f>Mitigation_Industry!V759+Mitigation_Industry!V770-Fund_Industry!V330+Fund_Industry!V398</f>
        <v>0</v>
      </c>
      <c r="W1675" s="97">
        <f>Mitigation_Industry!W759+Mitigation_Industry!W770-Fund_Industry!W330+Fund_Industry!W398</f>
        <v>0</v>
      </c>
      <c r="X1675" s="97">
        <f>Mitigation_Industry!X759+Mitigation_Industry!X770-Fund_Industry!X330+Fund_Industry!X398</f>
        <v>0</v>
      </c>
      <c r="Y1675" s="97">
        <f>Mitigation_Industry!Y759+Mitigation_Industry!Y770-Fund_Industry!Y330+Fund_Industry!Y398</f>
        <v>0</v>
      </c>
      <c r="Z1675" s="97">
        <f>Mitigation_Industry!Z759+Mitigation_Industry!Z770-Fund_Industry!Z330+Fund_Industry!Z398</f>
        <v>0</v>
      </c>
      <c r="AA1675" s="97">
        <f>Mitigation_Industry!AA759+Mitigation_Industry!AA770-Fund_Industry!AA330+Fund_Industry!AA398</f>
        <v>0</v>
      </c>
      <c r="AB1675" s="97">
        <f>Mitigation_Industry!AB759+Mitigation_Industry!AB770-Fund_Industry!AB330+Fund_Industry!AB398</f>
        <v>0</v>
      </c>
      <c r="AC1675" s="97">
        <f>Mitigation_Industry!AC759+Mitigation_Industry!AC770-Fund_Industry!AC330+Fund_Industry!AC398</f>
        <v>0</v>
      </c>
      <c r="AD1675" s="97">
        <f>Mitigation_Industry!AD759+Mitigation_Industry!AD770-Fund_Industry!AD330+Fund_Industry!AD398</f>
        <v>0</v>
      </c>
      <c r="AE1675" s="97">
        <f>Mitigation_Industry!AE759+Mitigation_Industry!AE770-Fund_Industry!AE330+Fund_Industry!AE398</f>
        <v>0</v>
      </c>
    </row>
    <row r="1676" spans="1:35" x14ac:dyDescent="0.45">
      <c r="A1676" t="s">
        <v>2901</v>
      </c>
      <c r="D1676">
        <v>2</v>
      </c>
      <c r="E1676" t="s">
        <v>1161</v>
      </c>
      <c r="F1676">
        <f t="shared" si="363"/>
        <v>0</v>
      </c>
      <c r="I1676">
        <v>0</v>
      </c>
      <c r="L1676">
        <f>IF(Fund_Industry!L218=0,Fund_Industry!L328-Mitigation_Industry!L799,0)</f>
        <v>0</v>
      </c>
      <c r="M1676">
        <f>IF(Fund_Industry!M218=0,Fund_Industry!M328-Mitigation_Industry!M799,0)</f>
        <v>0</v>
      </c>
      <c r="N1676">
        <f>IF(Fund_Industry!N218=0,Fund_Industry!N328-Mitigation_Industry!N799,0)</f>
        <v>0</v>
      </c>
      <c r="O1676">
        <f>IF(Fund_Industry!O218=0,Fund_Industry!O328-Mitigation_Industry!O799,0)</f>
        <v>0</v>
      </c>
      <c r="P1676">
        <f>IF(Fund_Industry!P218=0,Fund_Industry!P328-Mitigation_Industry!P799,0)</f>
        <v>0</v>
      </c>
      <c r="Q1676">
        <f>IF(Fund_Industry!Q218=0,Fund_Industry!Q328-Mitigation_Industry!Q799,0)</f>
        <v>0</v>
      </c>
      <c r="R1676">
        <f>IF(Fund_Industry!R218=0,Fund_Industry!R328-Mitigation_Industry!R799,0)</f>
        <v>0</v>
      </c>
      <c r="S1676">
        <f>IF(Fund_Industry!S218=0,Fund_Industry!S328-Mitigation_Industry!S799,0)</f>
        <v>0</v>
      </c>
      <c r="T1676">
        <f>IF(Fund_Industry!T218=0,Fund_Industry!T328-Mitigation_Industry!T799,0)</f>
        <v>0</v>
      </c>
      <c r="U1676">
        <f>IF(Fund_Industry!U218=0,Fund_Industry!U328-Mitigation_Industry!U799,0)</f>
        <v>0</v>
      </c>
      <c r="V1676">
        <f>IF(Fund_Industry!V218=0,Fund_Industry!V328-Mitigation_Industry!V799,0)</f>
        <v>0</v>
      </c>
      <c r="W1676">
        <f>IF(Fund_Industry!W218=0,Fund_Industry!W328-Mitigation_Industry!W799,0)</f>
        <v>0</v>
      </c>
      <c r="X1676">
        <f>IF(Fund_Industry!X218=0,Fund_Industry!X328-Mitigation_Industry!X799,0)</f>
        <v>0</v>
      </c>
      <c r="Y1676">
        <f>IF(Fund_Industry!Y218=0,Fund_Industry!Y328-Mitigation_Industry!Y799,0)</f>
        <v>0</v>
      </c>
      <c r="Z1676">
        <f>IF(Fund_Industry!Z218=0,Fund_Industry!Z328-Mitigation_Industry!Z799,0)</f>
        <v>0</v>
      </c>
      <c r="AA1676">
        <f>IF(Fund_Industry!AA218=0,Fund_Industry!AA328-Mitigation_Industry!AA799,0)</f>
        <v>0</v>
      </c>
      <c r="AB1676">
        <f>IF(Fund_Industry!AB218=0,Fund_Industry!AB328-Mitigation_Industry!AB799,0)</f>
        <v>0</v>
      </c>
      <c r="AC1676">
        <f>IF(Fund_Industry!AC218=0,Fund_Industry!AC328-Mitigation_Industry!AC799,0)</f>
        <v>0</v>
      </c>
      <c r="AD1676">
        <f>IF(Fund_Industry!AD218=0,Fund_Industry!AD328-Mitigation_Industry!AD799,0)</f>
        <v>0</v>
      </c>
      <c r="AE1676">
        <f>IF(Fund_Industry!AE218=0,Fund_Industry!AE328-Mitigation_Industry!AE799,0)</f>
        <v>0</v>
      </c>
    </row>
    <row r="1677" spans="1:35" x14ac:dyDescent="0.45">
      <c r="A1677" t="s">
        <v>2902</v>
      </c>
      <c r="D1677">
        <v>2</v>
      </c>
      <c r="E1677" t="s">
        <v>1161</v>
      </c>
      <c r="F1677" s="133">
        <f t="shared" si="363"/>
        <v>0</v>
      </c>
      <c r="I1677">
        <v>0</v>
      </c>
      <c r="L1677" s="133">
        <f>Mitigation_Industry!L649-Fund_Industry!L329</f>
        <v>0</v>
      </c>
      <c r="M1677" s="133">
        <f>Mitigation_Industry!M649-Fund_Industry!M329</f>
        <v>0</v>
      </c>
      <c r="N1677" s="133">
        <f>Mitigation_Industry!N649-Fund_Industry!N329</f>
        <v>0</v>
      </c>
      <c r="O1677" s="133">
        <f>Mitigation_Industry!O649-Fund_Industry!O329</f>
        <v>0</v>
      </c>
      <c r="P1677" s="133">
        <f>Mitigation_Industry!P649-Fund_Industry!P329</f>
        <v>0</v>
      </c>
      <c r="Q1677" s="133">
        <f>Mitigation_Industry!Q649-Fund_Industry!Q329</f>
        <v>0</v>
      </c>
      <c r="R1677" s="133">
        <f>Mitigation_Industry!R649-Fund_Industry!R329</f>
        <v>0</v>
      </c>
      <c r="S1677" s="133">
        <f>Mitigation_Industry!S649-Fund_Industry!S329</f>
        <v>0</v>
      </c>
      <c r="T1677" s="133">
        <f>Mitigation_Industry!T649-Fund_Industry!T329</f>
        <v>0</v>
      </c>
      <c r="U1677" s="133">
        <f>Mitigation_Industry!U649-Fund_Industry!U329</f>
        <v>0</v>
      </c>
      <c r="V1677" s="133">
        <f>Mitigation_Industry!V649-Fund_Industry!V329</f>
        <v>0</v>
      </c>
      <c r="W1677" s="133">
        <f>Mitigation_Industry!W649-Fund_Industry!W329</f>
        <v>0</v>
      </c>
      <c r="X1677" s="133">
        <f>Mitigation_Industry!X649-Fund_Industry!X329</f>
        <v>0</v>
      </c>
      <c r="Y1677" s="133">
        <f>Mitigation_Industry!Y649-Fund_Industry!Y329</f>
        <v>0</v>
      </c>
      <c r="Z1677" s="133">
        <f>Mitigation_Industry!Z649-Fund_Industry!Z329</f>
        <v>0</v>
      </c>
      <c r="AA1677" s="133">
        <f>Mitigation_Industry!AA649-Fund_Industry!AA329</f>
        <v>0</v>
      </c>
      <c r="AB1677" s="133">
        <f>Mitigation_Industry!AB649-Fund_Industry!AB329</f>
        <v>0</v>
      </c>
      <c r="AC1677" s="133">
        <f>Mitigation_Industry!AC649-Fund_Industry!AC329</f>
        <v>0</v>
      </c>
      <c r="AD1677" s="133">
        <f>Mitigation_Industry!AD649-Fund_Industry!AD329</f>
        <v>0</v>
      </c>
      <c r="AE1677" s="133">
        <f>Mitigation_Industry!AE649-Fund_Industry!AE329</f>
        <v>0</v>
      </c>
    </row>
    <row r="1678" spans="1:35" x14ac:dyDescent="0.45">
      <c r="A1678" t="s">
        <v>2903</v>
      </c>
      <c r="D1678">
        <v>2</v>
      </c>
      <c r="E1678" t="s">
        <v>1161</v>
      </c>
      <c r="F1678">
        <f t="shared" si="363"/>
        <v>0</v>
      </c>
      <c r="I1678">
        <v>0</v>
      </c>
      <c r="L1678">
        <f>SUM(Mitigation_Industry!L426:L434)-SUM(Mitigation_Industry!L416:L424)-SUM(Fund_Industry!L410:L418)*Fund_Industry!$F$6</f>
        <v>0</v>
      </c>
      <c r="M1678">
        <f>SUM(Mitigation_Industry!M426:M434)-SUM(Mitigation_Industry!M416:M424)-SUM(Fund_Industry!M410:M418)*Fund_Industry!$F$6</f>
        <v>0</v>
      </c>
      <c r="N1678">
        <f>SUM(Mitigation_Industry!N426:N434)-SUM(Mitigation_Industry!N416:N424)-SUM(Fund_Industry!N410:N418)*Fund_Industry!$F$6</f>
        <v>0</v>
      </c>
      <c r="O1678">
        <f>SUM(Mitigation_Industry!O426:O434)-SUM(Mitigation_Industry!O416:O424)-SUM(Fund_Industry!O410:O418)*Fund_Industry!$F$6</f>
        <v>0</v>
      </c>
      <c r="P1678">
        <f>SUM(Mitigation_Industry!P426:P434)-SUM(Mitigation_Industry!P416:P424)-SUM(Fund_Industry!P410:P418)*Fund_Industry!$F$6</f>
        <v>0</v>
      </c>
      <c r="Q1678">
        <f>SUM(Mitigation_Industry!Q426:Q434)-SUM(Mitigation_Industry!Q416:Q424)-SUM(Fund_Industry!Q410:Q418)*Fund_Industry!$F$6</f>
        <v>0</v>
      </c>
      <c r="R1678">
        <f>SUM(Mitigation_Industry!R426:R434)-SUM(Mitigation_Industry!R416:R424)-SUM(Fund_Industry!R410:R418)*Fund_Industry!$F$6</f>
        <v>0</v>
      </c>
      <c r="S1678">
        <f>SUM(Mitigation_Industry!S426:S434)-SUM(Mitigation_Industry!S416:S424)-SUM(Fund_Industry!S410:S418)*Fund_Industry!$F$6</f>
        <v>0</v>
      </c>
      <c r="T1678">
        <f>SUM(Mitigation_Industry!T426:T434)-SUM(Mitigation_Industry!T416:T424)-SUM(Fund_Industry!T410:T418)*Fund_Industry!$F$6</f>
        <v>0</v>
      </c>
      <c r="U1678">
        <f>SUM(Mitigation_Industry!U426:U434)-SUM(Mitigation_Industry!U416:U424)-SUM(Fund_Industry!U410:U418)*Fund_Industry!$F$6</f>
        <v>0</v>
      </c>
      <c r="V1678">
        <f>SUM(Mitigation_Industry!V426:V434)-SUM(Mitigation_Industry!V416:V424)-SUM(Fund_Industry!V410:V418)*Fund_Industry!$F$6</f>
        <v>0</v>
      </c>
      <c r="W1678">
        <f>SUM(Mitigation_Industry!W426:W434)-SUM(Mitigation_Industry!W416:W424)-SUM(Fund_Industry!W410:W418)*Fund_Industry!$F$6</f>
        <v>0</v>
      </c>
      <c r="X1678">
        <f>SUM(Mitigation_Industry!X426:X434)-SUM(Mitigation_Industry!X416:X424)-SUM(Fund_Industry!X410:X418)*Fund_Industry!$F$6</f>
        <v>0</v>
      </c>
      <c r="Y1678">
        <f>SUM(Mitigation_Industry!Y426:Y434)-SUM(Mitigation_Industry!Y416:Y424)-SUM(Fund_Industry!Y410:Y418)*Fund_Industry!$F$6</f>
        <v>0</v>
      </c>
      <c r="Z1678">
        <f>SUM(Mitigation_Industry!Z426:Z434)-SUM(Mitigation_Industry!Z416:Z424)-SUM(Fund_Industry!Z410:Z418)*Fund_Industry!$F$6</f>
        <v>0</v>
      </c>
      <c r="AA1678">
        <f>SUM(Mitigation_Industry!AA426:AA434)-SUM(Mitigation_Industry!AA416:AA424)-SUM(Fund_Industry!AA410:AA418)*Fund_Industry!$F$6</f>
        <v>0</v>
      </c>
      <c r="AB1678">
        <f>SUM(Mitigation_Industry!AB426:AB434)-SUM(Mitigation_Industry!AB416:AB424)-SUM(Fund_Industry!AB410:AB418)*Fund_Industry!$F$6</f>
        <v>0</v>
      </c>
      <c r="AC1678">
        <f>SUM(Mitigation_Industry!AC426:AC434)-SUM(Mitigation_Industry!AC416:AC424)-SUM(Fund_Industry!AC410:AC418)*Fund_Industry!$F$6</f>
        <v>0</v>
      </c>
      <c r="AD1678">
        <f>SUM(Mitigation_Industry!AD426:AD434)-SUM(Mitigation_Industry!AD416:AD424)-SUM(Fund_Industry!AD410:AD418)*Fund_Industry!$F$6</f>
        <v>0</v>
      </c>
      <c r="AE1678">
        <f>SUM(Mitigation_Industry!AE426:AE434)-SUM(Mitigation_Industry!AE416:AE424)-SUM(Fund_Industry!AE410:AE418)*Fund_Industry!$F$6</f>
        <v>0</v>
      </c>
    </row>
    <row r="1679" spans="1:35" x14ac:dyDescent="0.45">
      <c r="A1679" t="s">
        <v>2904</v>
      </c>
      <c r="D1679">
        <v>2</v>
      </c>
      <c r="E1679" t="s">
        <v>1161</v>
      </c>
      <c r="F1679">
        <f t="shared" si="363"/>
        <v>0</v>
      </c>
      <c r="I1679">
        <v>0</v>
      </c>
      <c r="L1679">
        <f>SUM(Mitigation_Industry!L486:L494)-SUM(Mitigation_Industry!L476:L484)-SUM(Fund_Industry!L410:L418)*Fund_Industry!$F$6</f>
        <v>0</v>
      </c>
      <c r="M1679">
        <f>SUM(Mitigation_Industry!M486:M494)-SUM(Mitigation_Industry!M476:M484)-SUM(Fund_Industry!M410:M418)*Fund_Industry!$F$6</f>
        <v>0</v>
      </c>
      <c r="N1679">
        <f>SUM(Mitigation_Industry!N486:N494)-SUM(Mitigation_Industry!N476:N484)-SUM(Fund_Industry!N410:N418)*Fund_Industry!$F$6</f>
        <v>0</v>
      </c>
      <c r="O1679">
        <f>SUM(Mitigation_Industry!O486:O494)-SUM(Mitigation_Industry!O476:O484)-SUM(Fund_Industry!O410:O418)*Fund_Industry!$F$6</f>
        <v>0</v>
      </c>
      <c r="P1679">
        <f>SUM(Mitigation_Industry!P486:P494)-SUM(Mitigation_Industry!P476:P484)-SUM(Fund_Industry!P410:P418)*Fund_Industry!$F$6</f>
        <v>0</v>
      </c>
      <c r="Q1679">
        <f>SUM(Mitigation_Industry!Q486:Q494)-SUM(Mitigation_Industry!Q476:Q484)-SUM(Fund_Industry!Q410:Q418)*Fund_Industry!$F$6</f>
        <v>0</v>
      </c>
      <c r="R1679">
        <f>SUM(Mitigation_Industry!R486:R494)-SUM(Mitigation_Industry!R476:R484)-SUM(Fund_Industry!R410:R418)*Fund_Industry!$F$6</f>
        <v>0</v>
      </c>
      <c r="S1679">
        <f>SUM(Mitigation_Industry!S486:S494)-SUM(Mitigation_Industry!S476:S484)-SUM(Fund_Industry!S410:S418)*Fund_Industry!$F$6</f>
        <v>0</v>
      </c>
      <c r="T1679">
        <f>SUM(Mitigation_Industry!T486:T494)-SUM(Mitigation_Industry!T476:T484)-SUM(Fund_Industry!T410:T418)*Fund_Industry!$F$6</f>
        <v>0</v>
      </c>
      <c r="U1679">
        <f>SUM(Mitigation_Industry!U486:U494)-SUM(Mitigation_Industry!U476:U484)-SUM(Fund_Industry!U410:U418)*Fund_Industry!$F$6</f>
        <v>0</v>
      </c>
      <c r="V1679">
        <f>SUM(Mitigation_Industry!V486:V494)-SUM(Mitigation_Industry!V476:V484)-SUM(Fund_Industry!V410:V418)*Fund_Industry!$F$6</f>
        <v>0</v>
      </c>
      <c r="W1679">
        <f>SUM(Mitigation_Industry!W486:W494)-SUM(Mitigation_Industry!W476:W484)-SUM(Fund_Industry!W410:W418)*Fund_Industry!$F$6</f>
        <v>0</v>
      </c>
      <c r="X1679">
        <f>SUM(Mitigation_Industry!X486:X494)-SUM(Mitigation_Industry!X476:X484)-SUM(Fund_Industry!X410:X418)*Fund_Industry!$F$6</f>
        <v>0</v>
      </c>
      <c r="Y1679">
        <f>SUM(Mitigation_Industry!Y486:Y494)-SUM(Mitigation_Industry!Y476:Y484)-SUM(Fund_Industry!Y410:Y418)*Fund_Industry!$F$6</f>
        <v>0</v>
      </c>
      <c r="Z1679">
        <f>SUM(Mitigation_Industry!Z486:Z494)-SUM(Mitigation_Industry!Z476:Z484)-SUM(Fund_Industry!Z410:Z418)*Fund_Industry!$F$6</f>
        <v>0</v>
      </c>
      <c r="AA1679">
        <f>SUM(Mitigation_Industry!AA486:AA494)-SUM(Mitigation_Industry!AA476:AA484)-SUM(Fund_Industry!AA410:AA418)*Fund_Industry!$F$6</f>
        <v>0</v>
      </c>
      <c r="AB1679">
        <f>SUM(Mitigation_Industry!AB486:AB494)-SUM(Mitigation_Industry!AB476:AB484)-SUM(Fund_Industry!AB410:AB418)*Fund_Industry!$F$6</f>
        <v>0</v>
      </c>
      <c r="AC1679">
        <f>SUM(Mitigation_Industry!AC486:AC494)-SUM(Mitigation_Industry!AC476:AC484)-SUM(Fund_Industry!AC410:AC418)*Fund_Industry!$F$6</f>
        <v>0</v>
      </c>
      <c r="AD1679">
        <f>SUM(Mitigation_Industry!AD486:AD494)-SUM(Mitigation_Industry!AD476:AD484)-SUM(Fund_Industry!AD410:AD418)*Fund_Industry!$F$6</f>
        <v>0</v>
      </c>
      <c r="AE1679">
        <f>SUM(Mitigation_Industry!AE486:AE494)-SUM(Mitigation_Industry!AE476:AE484)-SUM(Fund_Industry!AE410:AE418)*Fund_Industry!$F$6</f>
        <v>0</v>
      </c>
    </row>
    <row r="1680" spans="1:35" x14ac:dyDescent="0.45">
      <c r="A1680" t="s">
        <v>2905</v>
      </c>
      <c r="D1680">
        <v>2</v>
      </c>
      <c r="E1680" t="s">
        <v>1161</v>
      </c>
      <c r="F1680">
        <f t="shared" si="363"/>
        <v>0</v>
      </c>
      <c r="I1680">
        <v>0</v>
      </c>
      <c r="L1680">
        <f>SUM(Mitigation_Industry!L546:L554)-SUM(Mitigation_Industry!L536:L544)-SUM(Fund_Industry!L410:L418)*Fund_Industry!$F$6</f>
        <v>0</v>
      </c>
      <c r="M1680">
        <f>SUM(Mitigation_Industry!M546:M554)-SUM(Mitigation_Industry!M536:M544)-SUM(Fund_Industry!M410:M418)*Fund_Industry!$F$6</f>
        <v>0</v>
      </c>
      <c r="N1680">
        <f>SUM(Mitigation_Industry!N546:N554)-SUM(Mitigation_Industry!N536:N544)-SUM(Fund_Industry!N410:N418)*Fund_Industry!$F$6</f>
        <v>0</v>
      </c>
      <c r="O1680">
        <f>SUM(Mitigation_Industry!O546:O554)-SUM(Mitigation_Industry!O536:O544)-SUM(Fund_Industry!O410:O418)*Fund_Industry!$F$6</f>
        <v>0</v>
      </c>
      <c r="P1680">
        <f>SUM(Mitigation_Industry!P546:P554)-SUM(Mitigation_Industry!P536:P544)-SUM(Fund_Industry!P410:P418)*Fund_Industry!$F$6</f>
        <v>0</v>
      </c>
      <c r="Q1680">
        <f>SUM(Mitigation_Industry!Q546:Q554)-SUM(Mitigation_Industry!Q536:Q544)-SUM(Fund_Industry!Q410:Q418)*Fund_Industry!$F$6</f>
        <v>0</v>
      </c>
      <c r="R1680">
        <f>SUM(Mitigation_Industry!R546:R554)-SUM(Mitigation_Industry!R536:R544)-SUM(Fund_Industry!R410:R418)*Fund_Industry!$F$6</f>
        <v>0</v>
      </c>
      <c r="S1680">
        <f>SUM(Mitigation_Industry!S546:S554)-SUM(Mitigation_Industry!S536:S544)-SUM(Fund_Industry!S410:S418)*Fund_Industry!$F$6</f>
        <v>0</v>
      </c>
      <c r="T1680">
        <f>SUM(Mitigation_Industry!T546:T554)-SUM(Mitigation_Industry!T536:T544)-SUM(Fund_Industry!T410:T418)*Fund_Industry!$F$6</f>
        <v>0</v>
      </c>
      <c r="U1680">
        <f>SUM(Mitigation_Industry!U546:U554)-SUM(Mitigation_Industry!U536:U544)-SUM(Fund_Industry!U410:U418)*Fund_Industry!$F$6</f>
        <v>0</v>
      </c>
      <c r="V1680">
        <f>SUM(Mitigation_Industry!V546:V554)-SUM(Mitigation_Industry!V536:V544)-SUM(Fund_Industry!V410:V418)*Fund_Industry!$F$6</f>
        <v>0</v>
      </c>
      <c r="W1680">
        <f>SUM(Mitigation_Industry!W546:W554)-SUM(Mitigation_Industry!W536:W544)-SUM(Fund_Industry!W410:W418)*Fund_Industry!$F$6</f>
        <v>0</v>
      </c>
      <c r="X1680">
        <f>SUM(Mitigation_Industry!X546:X554)-SUM(Mitigation_Industry!X536:X544)-SUM(Fund_Industry!X410:X418)*Fund_Industry!$F$6</f>
        <v>0</v>
      </c>
      <c r="Y1680">
        <f>SUM(Mitigation_Industry!Y546:Y554)-SUM(Mitigation_Industry!Y536:Y544)-SUM(Fund_Industry!Y410:Y418)*Fund_Industry!$F$6</f>
        <v>0</v>
      </c>
      <c r="Z1680">
        <f>SUM(Mitigation_Industry!Z546:Z554)-SUM(Mitigation_Industry!Z536:Z544)-SUM(Fund_Industry!Z410:Z418)*Fund_Industry!$F$6</f>
        <v>0</v>
      </c>
      <c r="AA1680">
        <f>SUM(Mitigation_Industry!AA546:AA554)-SUM(Mitigation_Industry!AA536:AA544)-SUM(Fund_Industry!AA410:AA418)*Fund_Industry!$F$6</f>
        <v>0</v>
      </c>
      <c r="AB1680">
        <f>SUM(Mitigation_Industry!AB546:AB554)-SUM(Mitigation_Industry!AB536:AB544)-SUM(Fund_Industry!AB410:AB418)*Fund_Industry!$F$6</f>
        <v>0</v>
      </c>
      <c r="AC1680">
        <f>SUM(Mitigation_Industry!AC546:AC554)-SUM(Mitigation_Industry!AC536:AC544)-SUM(Fund_Industry!AC410:AC418)*Fund_Industry!$F$6</f>
        <v>0</v>
      </c>
      <c r="AD1680">
        <f>SUM(Mitigation_Industry!AD546:AD554)-SUM(Mitigation_Industry!AD536:AD544)-SUM(Fund_Industry!AD410:AD418)*Fund_Industry!$F$6</f>
        <v>0</v>
      </c>
      <c r="AE1680">
        <f>SUM(Mitigation_Industry!AE546:AE554)-SUM(Mitigation_Industry!AE536:AE544)-SUM(Fund_Industry!AE410:AE418)*Fund_Industry!$F$6</f>
        <v>0</v>
      </c>
    </row>
    <row r="1681" spans="1:31" x14ac:dyDescent="0.45">
      <c r="A1681" t="s">
        <v>2906</v>
      </c>
      <c r="D1681">
        <v>2</v>
      </c>
      <c r="E1681" t="s">
        <v>1161</v>
      </c>
      <c r="F1681">
        <f t="shared" si="363"/>
        <v>0</v>
      </c>
      <c r="I1681">
        <v>0</v>
      </c>
      <c r="L1681">
        <f>SUM(Mitigation_Industry!L606:L614)-SUM(Mitigation_Industry!L596:L604)-SUM(Fund_Industry!L410:L418)*Fund_Industry!$F$6</f>
        <v>0</v>
      </c>
      <c r="M1681">
        <f>SUM(Mitigation_Industry!M606:M614)-SUM(Mitigation_Industry!M596:M604)-SUM(Fund_Industry!M410:M418)*Fund_Industry!$F$6</f>
        <v>0</v>
      </c>
      <c r="N1681">
        <f>SUM(Mitigation_Industry!N606:N614)-SUM(Mitigation_Industry!N596:N604)-SUM(Fund_Industry!N410:N418)*Fund_Industry!$F$6</f>
        <v>0</v>
      </c>
      <c r="O1681">
        <f>SUM(Mitigation_Industry!O606:O614)-SUM(Mitigation_Industry!O596:O604)-SUM(Fund_Industry!O410:O418)*Fund_Industry!$F$6</f>
        <v>0</v>
      </c>
      <c r="P1681">
        <f>SUM(Mitigation_Industry!P606:P614)-SUM(Mitigation_Industry!P596:P604)-SUM(Fund_Industry!P410:P418)*Fund_Industry!$F$6</f>
        <v>0</v>
      </c>
      <c r="Q1681">
        <f>SUM(Mitigation_Industry!Q606:Q614)-SUM(Mitigation_Industry!Q596:Q604)-SUM(Fund_Industry!Q410:Q418)*Fund_Industry!$F$6</f>
        <v>0</v>
      </c>
      <c r="R1681">
        <f>SUM(Mitigation_Industry!R606:R614)-SUM(Mitigation_Industry!R596:R604)-SUM(Fund_Industry!R410:R418)*Fund_Industry!$F$6</f>
        <v>0</v>
      </c>
      <c r="S1681">
        <f>SUM(Mitigation_Industry!S606:S614)-SUM(Mitigation_Industry!S596:S604)-SUM(Fund_Industry!S410:S418)*Fund_Industry!$F$6</f>
        <v>0</v>
      </c>
      <c r="T1681">
        <f>SUM(Mitigation_Industry!T606:T614)-SUM(Mitigation_Industry!T596:T604)-SUM(Fund_Industry!T410:T418)*Fund_Industry!$F$6</f>
        <v>0</v>
      </c>
      <c r="U1681">
        <f>SUM(Mitigation_Industry!U606:U614)-SUM(Mitigation_Industry!U596:U604)-SUM(Fund_Industry!U410:U418)*Fund_Industry!$F$6</f>
        <v>0</v>
      </c>
      <c r="V1681">
        <f>SUM(Mitigation_Industry!V606:V614)-SUM(Mitigation_Industry!V596:V604)-SUM(Fund_Industry!V410:V418)*Fund_Industry!$F$6</f>
        <v>0</v>
      </c>
      <c r="W1681">
        <f>SUM(Mitigation_Industry!W606:W614)-SUM(Mitigation_Industry!W596:W604)-SUM(Fund_Industry!W410:W418)*Fund_Industry!$F$6</f>
        <v>0</v>
      </c>
      <c r="X1681">
        <f>SUM(Mitigation_Industry!X606:X614)-SUM(Mitigation_Industry!X596:X604)-SUM(Fund_Industry!X410:X418)*Fund_Industry!$F$6</f>
        <v>0</v>
      </c>
      <c r="Y1681">
        <f>SUM(Mitigation_Industry!Y606:Y614)-SUM(Mitigation_Industry!Y596:Y604)-SUM(Fund_Industry!Y410:Y418)*Fund_Industry!$F$6</f>
        <v>0</v>
      </c>
      <c r="Z1681">
        <f>SUM(Mitigation_Industry!Z606:Z614)-SUM(Mitigation_Industry!Z596:Z604)-SUM(Fund_Industry!Z410:Z418)*Fund_Industry!$F$6</f>
        <v>0</v>
      </c>
      <c r="AA1681">
        <f>SUM(Mitigation_Industry!AA606:AA614)-SUM(Mitigation_Industry!AA596:AA604)-SUM(Fund_Industry!AA410:AA418)*Fund_Industry!$F$6</f>
        <v>0</v>
      </c>
      <c r="AB1681">
        <f>SUM(Mitigation_Industry!AB606:AB614)-SUM(Mitigation_Industry!AB596:AB604)-SUM(Fund_Industry!AB410:AB418)*Fund_Industry!$F$6</f>
        <v>0</v>
      </c>
      <c r="AC1681">
        <f>SUM(Mitigation_Industry!AC606:AC614)-SUM(Mitigation_Industry!AC596:AC604)-SUM(Fund_Industry!AC410:AC418)*Fund_Industry!$F$6</f>
        <v>0</v>
      </c>
      <c r="AD1681">
        <f>SUM(Mitigation_Industry!AD606:AD614)-SUM(Mitigation_Industry!AD596:AD604)-SUM(Fund_Industry!AD410:AD418)*Fund_Industry!$F$6</f>
        <v>0</v>
      </c>
      <c r="AE1681">
        <f>SUM(Mitigation_Industry!AE606:AE614)-SUM(Mitigation_Industry!AE596:AE604)-SUM(Fund_Industry!AE410:AE418)*Fund_Industry!$F$6</f>
        <v>0</v>
      </c>
    </row>
    <row r="1682" spans="1:31" x14ac:dyDescent="0.45">
      <c r="A1682" t="s">
        <v>2907</v>
      </c>
      <c r="D1682">
        <v>2</v>
      </c>
      <c r="E1682" t="s">
        <v>1161</v>
      </c>
      <c r="F1682">
        <f t="shared" si="363"/>
        <v>0</v>
      </c>
      <c r="I1682">
        <v>0</v>
      </c>
      <c r="L1682">
        <f>Scenarios!L49-Fund_Industry!L397</f>
        <v>0</v>
      </c>
      <c r="M1682">
        <f>Scenarios!M49-Fund_Industry!M397</f>
        <v>0</v>
      </c>
      <c r="N1682">
        <f>Scenarios!N49-Fund_Industry!N397</f>
        <v>0</v>
      </c>
      <c r="O1682">
        <f>Scenarios!O49-Fund_Industry!O397</f>
        <v>0</v>
      </c>
      <c r="P1682">
        <f>Scenarios!P49-Fund_Industry!P397</f>
        <v>0</v>
      </c>
      <c r="Q1682">
        <f>Scenarios!Q49-Fund_Industry!Q397</f>
        <v>0</v>
      </c>
      <c r="R1682">
        <f>Scenarios!R49-Fund_Industry!R397</f>
        <v>0</v>
      </c>
      <c r="S1682">
        <f>Scenarios!S49-Fund_Industry!S397</f>
        <v>0</v>
      </c>
      <c r="T1682">
        <f>Scenarios!T49-Fund_Industry!T397</f>
        <v>0</v>
      </c>
      <c r="U1682">
        <f>Scenarios!U49-Fund_Industry!U397</f>
        <v>0</v>
      </c>
      <c r="V1682">
        <f>Scenarios!V49-Fund_Industry!V397</f>
        <v>0</v>
      </c>
      <c r="W1682">
        <f>Scenarios!W49-Fund_Industry!W397</f>
        <v>0</v>
      </c>
      <c r="X1682">
        <f>Scenarios!X49-Fund_Industry!X397</f>
        <v>0</v>
      </c>
      <c r="Y1682">
        <f>Scenarios!Y49-Fund_Industry!Y397</f>
        <v>0</v>
      </c>
      <c r="Z1682">
        <f>Scenarios!Z49-Fund_Industry!Z397</f>
        <v>0</v>
      </c>
      <c r="AA1682">
        <f>Scenarios!AA49-Fund_Industry!AA397</f>
        <v>0</v>
      </c>
      <c r="AB1682">
        <f>Scenarios!AB49-Fund_Industry!AB397</f>
        <v>0</v>
      </c>
      <c r="AC1682">
        <f>Scenarios!AC49-Fund_Industry!AC397</f>
        <v>0</v>
      </c>
      <c r="AD1682">
        <f>Scenarios!AD49-Fund_Industry!AD397</f>
        <v>0</v>
      </c>
      <c r="AE1682">
        <f>Scenarios!AE49-Fund_Industry!AE397</f>
        <v>0</v>
      </c>
    </row>
    <row r="1683" spans="1:31" x14ac:dyDescent="0.45">
      <c r="A1683" t="s">
        <v>2908</v>
      </c>
      <c r="D1683">
        <v>2</v>
      </c>
      <c r="E1683" t="s">
        <v>1161</v>
      </c>
      <c r="F1683">
        <f t="shared" si="363"/>
        <v>0</v>
      </c>
      <c r="I1683">
        <v>0</v>
      </c>
      <c r="L1683">
        <f>Mitigation_Industry!L648-Fund_Industry!L397</f>
        <v>0</v>
      </c>
      <c r="M1683">
        <f>Mitigation_Industry!M648-Fund_Industry!M397</f>
        <v>0</v>
      </c>
      <c r="N1683">
        <f>Mitigation_Industry!N648-Fund_Industry!N397</f>
        <v>0</v>
      </c>
      <c r="O1683">
        <f>Mitigation_Industry!O648-Fund_Industry!O397</f>
        <v>0</v>
      </c>
      <c r="P1683">
        <f>Mitigation_Industry!P648-Fund_Industry!P397</f>
        <v>0</v>
      </c>
      <c r="Q1683">
        <f>Mitigation_Industry!Q648-Fund_Industry!Q397</f>
        <v>0</v>
      </c>
      <c r="R1683">
        <f>Mitigation_Industry!R648-Fund_Industry!R397</f>
        <v>0</v>
      </c>
      <c r="S1683">
        <f>Mitigation_Industry!S648-Fund_Industry!S397</f>
        <v>0</v>
      </c>
      <c r="T1683">
        <f>Mitigation_Industry!T648-Fund_Industry!T397</f>
        <v>0</v>
      </c>
      <c r="U1683">
        <f>Mitigation_Industry!U648-Fund_Industry!U397</f>
        <v>0</v>
      </c>
      <c r="V1683">
        <f>Mitigation_Industry!V648-Fund_Industry!V397</f>
        <v>0</v>
      </c>
      <c r="W1683">
        <f>Mitigation_Industry!W648-Fund_Industry!W397</f>
        <v>0</v>
      </c>
      <c r="X1683">
        <f>Mitigation_Industry!X648-Fund_Industry!X397</f>
        <v>0</v>
      </c>
      <c r="Y1683">
        <f>Mitigation_Industry!Y648-Fund_Industry!Y397</f>
        <v>0</v>
      </c>
      <c r="Z1683">
        <f>Mitigation_Industry!Z648-Fund_Industry!Z397</f>
        <v>0</v>
      </c>
      <c r="AA1683">
        <f>Mitigation_Industry!AA648-Fund_Industry!AA397</f>
        <v>0</v>
      </c>
      <c r="AB1683">
        <f>Mitigation_Industry!AB648-Fund_Industry!AB397</f>
        <v>0</v>
      </c>
      <c r="AC1683">
        <f>Mitigation_Industry!AC648-Fund_Industry!AC397</f>
        <v>0</v>
      </c>
      <c r="AD1683">
        <f>Mitigation_Industry!AD648-Fund_Industry!AD397</f>
        <v>0</v>
      </c>
      <c r="AE1683">
        <f>Mitigation_Industry!AE648-Fund_Industry!AE397</f>
        <v>0</v>
      </c>
    </row>
    <row r="1684" spans="1:31" x14ac:dyDescent="0.45">
      <c r="A1684" t="s">
        <v>2909</v>
      </c>
      <c r="D1684">
        <v>1</v>
      </c>
      <c r="E1684" t="s">
        <v>1161</v>
      </c>
      <c r="F1684">
        <f t="shared" si="363"/>
        <v>0</v>
      </c>
      <c r="I1684">
        <v>0</v>
      </c>
      <c r="L1684">
        <f>Mitigation_Industry!L63-INDEX(L$1726:L$1827,MATCH("v2:ener:1:irn:",$A$1726:$A$1827,0))</f>
        <v>0</v>
      </c>
      <c r="M1684">
        <f>Mitigation_Industry!M63-INDEX(M$1726:M$1827,MATCH("v2:ener:1:irn:",$A$1726:$A$1827,0))</f>
        <v>0</v>
      </c>
      <c r="N1684">
        <f>Mitigation_Industry!N63-INDEX(N$1726:N$1827,MATCH("v2:ener:1:irn:",$A$1726:$A$1827,0))</f>
        <v>0</v>
      </c>
      <c r="O1684">
        <f>Mitigation_Industry!O63-INDEX(O$1726:O$1827,MATCH("v2:ener:1:irn:",$A$1726:$A$1827,0))</f>
        <v>0</v>
      </c>
      <c r="P1684">
        <f>Mitigation_Industry!P63-INDEX(P$1726:P$1827,MATCH("v2:ener:1:irn:",$A$1726:$A$1827,0))</f>
        <v>0</v>
      </c>
      <c r="Q1684">
        <f>Mitigation_Industry!Q63-INDEX(Q$1726:Q$1827,MATCH("v2:ener:1:irn:",$A$1726:$A$1827,0))</f>
        <v>0</v>
      </c>
      <c r="R1684">
        <f>Mitigation_Industry!R63-INDEX(R$1726:R$1827,MATCH("v2:ener:1:irn:",$A$1726:$A$1827,0))</f>
        <v>0</v>
      </c>
      <c r="S1684">
        <f>Mitigation_Industry!S63-INDEX(S$1726:S$1827,MATCH("v2:ener:1:irn:",$A$1726:$A$1827,0))</f>
        <v>0</v>
      </c>
      <c r="T1684">
        <f>Mitigation_Industry!T63-INDEX(T$1726:T$1827,MATCH("v2:ener:1:irn:",$A$1726:$A$1827,0))</f>
        <v>0</v>
      </c>
      <c r="U1684">
        <f>Mitigation_Industry!U63-INDEX(U$1726:U$1827,MATCH("v2:ener:1:irn:",$A$1726:$A$1827,0))</f>
        <v>0</v>
      </c>
      <c r="V1684">
        <f>Mitigation_Industry!V63-INDEX(V$1726:V$1827,MATCH("v2:ener:1:irn:",$A$1726:$A$1827,0))</f>
        <v>0</v>
      </c>
      <c r="W1684">
        <f>Mitigation_Industry!W63-INDEX(W$1726:W$1827,MATCH("v2:ener:1:irn:",$A$1726:$A$1827,0))</f>
        <v>0</v>
      </c>
      <c r="X1684">
        <f>Mitigation_Industry!X63-INDEX(X$1726:X$1827,MATCH("v2:ener:1:irn:",$A$1726:$A$1827,0))</f>
        <v>0</v>
      </c>
      <c r="Y1684">
        <f>Mitigation_Industry!Y63-INDEX(Y$1726:Y$1827,MATCH("v2:ener:1:irn:",$A$1726:$A$1827,0))</f>
        <v>0</v>
      </c>
      <c r="Z1684">
        <f>Mitigation_Industry!Z63-INDEX(Z$1726:Z$1827,MATCH("v2:ener:1:irn:",$A$1726:$A$1827,0))</f>
        <v>0</v>
      </c>
      <c r="AA1684">
        <f>Mitigation_Industry!AA63-INDEX(AA$1726:AA$1827,MATCH("v2:ener:1:irn:",$A$1726:$A$1827,0))</f>
        <v>0</v>
      </c>
      <c r="AB1684">
        <f>Mitigation_Industry!AB63-INDEX(AB$1726:AB$1827,MATCH("v2:ener:1:irn:",$A$1726:$A$1827,0))</f>
        <v>0</v>
      </c>
      <c r="AC1684">
        <f>Mitigation_Industry!AC63-INDEX(AC$1726:AC$1827,MATCH("v2:ener:1:irn:",$A$1726:$A$1827,0))</f>
        <v>0</v>
      </c>
      <c r="AD1684">
        <f>Mitigation_Industry!AD63-INDEX(AD$1726:AD$1827,MATCH("v2:ener:1:irn:",$A$1726:$A$1827,0))</f>
        <v>0</v>
      </c>
      <c r="AE1684">
        <f>Mitigation_Industry!AE63-INDEX(AE$1726:AE$1827,MATCH("v2:ener:1:irn:",$A$1726:$A$1827,0))</f>
        <v>0</v>
      </c>
    </row>
    <row r="1685" spans="1:31" x14ac:dyDescent="0.45">
      <c r="A1685" t="s">
        <v>2910</v>
      </c>
      <c r="D1685">
        <v>1</v>
      </c>
      <c r="E1685" t="s">
        <v>1161</v>
      </c>
      <c r="F1685">
        <f t="shared" si="363"/>
        <v>0</v>
      </c>
      <c r="I1685">
        <v>0</v>
      </c>
      <c r="L1685">
        <f>Mitigation_Industry!L123-INDEX(L$1726:L$1827,MATCH("v2:ener:1:cem:",$A$1726:$A$1827,0))</f>
        <v>0</v>
      </c>
      <c r="M1685">
        <f>Mitigation_Industry!M123-INDEX(M$1726:M$1827,MATCH("v2:ener:1:cem:",$A$1726:$A$1827,0))</f>
        <v>0</v>
      </c>
      <c r="N1685">
        <f>Mitigation_Industry!N123-INDEX(N$1726:N$1827,MATCH("v2:ener:1:cem:",$A$1726:$A$1827,0))</f>
        <v>0</v>
      </c>
      <c r="O1685">
        <f>Mitigation_Industry!O123-INDEX(O$1726:O$1827,MATCH("v2:ener:1:cem:",$A$1726:$A$1827,0))</f>
        <v>0</v>
      </c>
      <c r="P1685">
        <f>Mitigation_Industry!P123-INDEX(P$1726:P$1827,MATCH("v2:ener:1:cem:",$A$1726:$A$1827,0))</f>
        <v>0</v>
      </c>
      <c r="Q1685">
        <f>Mitigation_Industry!Q123-INDEX(Q$1726:Q$1827,MATCH("v2:ener:1:cem:",$A$1726:$A$1827,0))</f>
        <v>0</v>
      </c>
      <c r="R1685">
        <f>Mitigation_Industry!R123-INDEX(R$1726:R$1827,MATCH("v2:ener:1:cem:",$A$1726:$A$1827,0))</f>
        <v>0</v>
      </c>
      <c r="S1685">
        <f>Mitigation_Industry!S123-INDEX(S$1726:S$1827,MATCH("v2:ener:1:cem:",$A$1726:$A$1827,0))</f>
        <v>0</v>
      </c>
      <c r="T1685">
        <f>Mitigation_Industry!T123-INDEX(T$1726:T$1827,MATCH("v2:ener:1:cem:",$A$1726:$A$1827,0))</f>
        <v>0</v>
      </c>
      <c r="U1685">
        <f>Mitigation_Industry!U123-INDEX(U$1726:U$1827,MATCH("v2:ener:1:cem:",$A$1726:$A$1827,0))</f>
        <v>0</v>
      </c>
      <c r="V1685">
        <f>Mitigation_Industry!V123-INDEX(V$1726:V$1827,MATCH("v2:ener:1:cem:",$A$1726:$A$1827,0))</f>
        <v>0</v>
      </c>
      <c r="W1685">
        <f>Mitigation_Industry!W123-INDEX(W$1726:W$1827,MATCH("v2:ener:1:cem:",$A$1726:$A$1827,0))</f>
        <v>0</v>
      </c>
      <c r="X1685">
        <f>Mitigation_Industry!X123-INDEX(X$1726:X$1827,MATCH("v2:ener:1:cem:",$A$1726:$A$1827,0))</f>
        <v>0</v>
      </c>
      <c r="Y1685">
        <f>Mitigation_Industry!Y123-INDEX(Y$1726:Y$1827,MATCH("v2:ener:1:cem:",$A$1726:$A$1827,0))</f>
        <v>0</v>
      </c>
      <c r="Z1685">
        <f>Mitigation_Industry!Z123-INDEX(Z$1726:Z$1827,MATCH("v2:ener:1:cem:",$A$1726:$A$1827,0))</f>
        <v>0</v>
      </c>
      <c r="AA1685">
        <f>Mitigation_Industry!AA123-INDEX(AA$1726:AA$1827,MATCH("v2:ener:1:cem:",$A$1726:$A$1827,0))</f>
        <v>0</v>
      </c>
      <c r="AB1685">
        <f>Mitigation_Industry!AB123-INDEX(AB$1726:AB$1827,MATCH("v2:ener:1:cem:",$A$1726:$A$1827,0))</f>
        <v>0</v>
      </c>
      <c r="AC1685">
        <f>Mitigation_Industry!AC123-INDEX(AC$1726:AC$1827,MATCH("v2:ener:1:cem:",$A$1726:$A$1827,0))</f>
        <v>0</v>
      </c>
      <c r="AD1685">
        <f>Mitigation_Industry!AD123-INDEX(AD$1726:AD$1827,MATCH("v2:ener:1:cem:",$A$1726:$A$1827,0))</f>
        <v>0</v>
      </c>
      <c r="AE1685">
        <f>Mitigation_Industry!AE123-INDEX(AE$1726:AE$1827,MATCH("v2:ener:1:cem:",$A$1726:$A$1827,0))</f>
        <v>0</v>
      </c>
    </row>
    <row r="1686" spans="1:31" x14ac:dyDescent="0.45">
      <c r="A1686" t="s">
        <v>2911</v>
      </c>
      <c r="D1686">
        <v>1</v>
      </c>
      <c r="E1686" t="s">
        <v>1161</v>
      </c>
      <c r="F1686">
        <f t="shared" si="363"/>
        <v>0</v>
      </c>
      <c r="I1686">
        <v>0</v>
      </c>
      <c r="L1686">
        <f>Mitigation_Industry!L183-INDEX(L$1726:L$1827,MATCH("v2:ener:1:nfm:",$A$1726:$A$1827,0))</f>
        <v>0</v>
      </c>
      <c r="M1686">
        <f>Mitigation_Industry!M183-INDEX(M$1726:M$1827,MATCH("v2:ener:1:nfm:",$A$1726:$A$1827,0))</f>
        <v>0</v>
      </c>
      <c r="N1686">
        <f>Mitigation_Industry!N183-INDEX(N$1726:N$1827,MATCH("v2:ener:1:nfm:",$A$1726:$A$1827,0))</f>
        <v>0</v>
      </c>
      <c r="O1686">
        <f>Mitigation_Industry!O183-INDEX(O$1726:O$1827,MATCH("v2:ener:1:nfm:",$A$1726:$A$1827,0))</f>
        <v>0</v>
      </c>
      <c r="P1686">
        <f>Mitigation_Industry!P183-INDEX(P$1726:P$1827,MATCH("v2:ener:1:nfm:",$A$1726:$A$1827,0))</f>
        <v>0</v>
      </c>
      <c r="Q1686">
        <f>Mitigation_Industry!Q183-INDEX(Q$1726:Q$1827,MATCH("v2:ener:1:nfm:",$A$1726:$A$1827,0))</f>
        <v>0</v>
      </c>
      <c r="R1686">
        <f>Mitigation_Industry!R183-INDEX(R$1726:R$1827,MATCH("v2:ener:1:nfm:",$A$1726:$A$1827,0))</f>
        <v>0</v>
      </c>
      <c r="S1686">
        <f>Mitigation_Industry!S183-INDEX(S$1726:S$1827,MATCH("v2:ener:1:nfm:",$A$1726:$A$1827,0))</f>
        <v>0</v>
      </c>
      <c r="T1686">
        <f>Mitigation_Industry!T183-INDEX(T$1726:T$1827,MATCH("v2:ener:1:nfm:",$A$1726:$A$1827,0))</f>
        <v>0</v>
      </c>
      <c r="U1686">
        <f>Mitigation_Industry!U183-INDEX(U$1726:U$1827,MATCH("v2:ener:1:nfm:",$A$1726:$A$1827,0))</f>
        <v>0</v>
      </c>
      <c r="V1686">
        <f>Mitigation_Industry!V183-INDEX(V$1726:V$1827,MATCH("v2:ener:1:nfm:",$A$1726:$A$1827,0))</f>
        <v>0</v>
      </c>
      <c r="W1686">
        <f>Mitigation_Industry!W183-INDEX(W$1726:W$1827,MATCH("v2:ener:1:nfm:",$A$1726:$A$1827,0))</f>
        <v>0</v>
      </c>
      <c r="X1686">
        <f>Mitigation_Industry!X183-INDEX(X$1726:X$1827,MATCH("v2:ener:1:nfm:",$A$1726:$A$1827,0))</f>
        <v>0</v>
      </c>
      <c r="Y1686">
        <f>Mitigation_Industry!Y183-INDEX(Y$1726:Y$1827,MATCH("v2:ener:1:nfm:",$A$1726:$A$1827,0))</f>
        <v>0</v>
      </c>
      <c r="Z1686">
        <f>Mitigation_Industry!Z183-INDEX(Z$1726:Z$1827,MATCH("v2:ener:1:nfm:",$A$1726:$A$1827,0))</f>
        <v>0</v>
      </c>
      <c r="AA1686">
        <f>Mitigation_Industry!AA183-INDEX(AA$1726:AA$1827,MATCH("v2:ener:1:nfm:",$A$1726:$A$1827,0))</f>
        <v>0</v>
      </c>
      <c r="AB1686">
        <f>Mitigation_Industry!AB183-INDEX(AB$1726:AB$1827,MATCH("v2:ener:1:nfm:",$A$1726:$A$1827,0))</f>
        <v>0</v>
      </c>
      <c r="AC1686">
        <f>Mitigation_Industry!AC183-INDEX(AC$1726:AC$1827,MATCH("v2:ener:1:nfm:",$A$1726:$A$1827,0))</f>
        <v>0</v>
      </c>
      <c r="AD1686">
        <f>Mitigation_Industry!AD183-INDEX(AD$1726:AD$1827,MATCH("v2:ener:1:nfm:",$A$1726:$A$1827,0))</f>
        <v>0</v>
      </c>
      <c r="AE1686">
        <f>Mitigation_Industry!AE183-INDEX(AE$1726:AE$1827,MATCH("v2:ener:1:nfm:",$A$1726:$A$1827,0))</f>
        <v>0</v>
      </c>
    </row>
    <row r="1687" spans="1:31" x14ac:dyDescent="0.45">
      <c r="A1687" t="s">
        <v>2912</v>
      </c>
      <c r="D1687">
        <v>1</v>
      </c>
      <c r="E1687" t="s">
        <v>1161</v>
      </c>
      <c r="F1687">
        <f t="shared" si="363"/>
        <v>0</v>
      </c>
      <c r="I1687">
        <v>0</v>
      </c>
      <c r="L1687">
        <f>Mitigation_Industry!L243-INDEX(L$1726:L$1827,MATCH("v2:ener:1:mch:",$A$1726:$A$1827,0))</f>
        <v>0</v>
      </c>
      <c r="M1687">
        <f>Mitigation_Industry!M243-INDEX(M$1726:M$1827,MATCH("v2:ener:1:mch:",$A$1726:$A$1827,0))</f>
        <v>0</v>
      </c>
      <c r="N1687">
        <f>Mitigation_Industry!N243-INDEX(N$1726:N$1827,MATCH("v2:ener:1:mch:",$A$1726:$A$1827,0))</f>
        <v>0</v>
      </c>
      <c r="O1687">
        <f>Mitigation_Industry!O243-INDEX(O$1726:O$1827,MATCH("v2:ener:1:mch:",$A$1726:$A$1827,0))</f>
        <v>0</v>
      </c>
      <c r="P1687">
        <f>Mitigation_Industry!P243-INDEX(P$1726:P$1827,MATCH("v2:ener:1:mch:",$A$1726:$A$1827,0))</f>
        <v>0</v>
      </c>
      <c r="Q1687">
        <f>Mitigation_Industry!Q243-INDEX(Q$1726:Q$1827,MATCH("v2:ener:1:mch:",$A$1726:$A$1827,0))</f>
        <v>0</v>
      </c>
      <c r="R1687">
        <f>Mitigation_Industry!R243-INDEX(R$1726:R$1827,MATCH("v2:ener:1:mch:",$A$1726:$A$1827,0))</f>
        <v>0</v>
      </c>
      <c r="S1687">
        <f>Mitigation_Industry!S243-INDEX(S$1726:S$1827,MATCH("v2:ener:1:mch:",$A$1726:$A$1827,0))</f>
        <v>0</v>
      </c>
      <c r="T1687">
        <f>Mitigation_Industry!T243-INDEX(T$1726:T$1827,MATCH("v2:ener:1:mch:",$A$1726:$A$1827,0))</f>
        <v>0</v>
      </c>
      <c r="U1687">
        <f>Mitigation_Industry!U243-INDEX(U$1726:U$1827,MATCH("v2:ener:1:mch:",$A$1726:$A$1827,0))</f>
        <v>0</v>
      </c>
      <c r="V1687">
        <f>Mitigation_Industry!V243-INDEX(V$1726:V$1827,MATCH("v2:ener:1:mch:",$A$1726:$A$1827,0))</f>
        <v>0</v>
      </c>
      <c r="W1687">
        <f>Mitigation_Industry!W243-INDEX(W$1726:W$1827,MATCH("v2:ener:1:mch:",$A$1726:$A$1827,0))</f>
        <v>0</v>
      </c>
      <c r="X1687">
        <f>Mitigation_Industry!X243-INDEX(X$1726:X$1827,MATCH("v2:ener:1:mch:",$A$1726:$A$1827,0))</f>
        <v>0</v>
      </c>
      <c r="Y1687">
        <f>Mitigation_Industry!Y243-INDEX(Y$1726:Y$1827,MATCH("v2:ener:1:mch:",$A$1726:$A$1827,0))</f>
        <v>0</v>
      </c>
      <c r="Z1687">
        <f>Mitigation_Industry!Z243-INDEX(Z$1726:Z$1827,MATCH("v2:ener:1:mch:",$A$1726:$A$1827,0))</f>
        <v>0</v>
      </c>
      <c r="AA1687">
        <f>Mitigation_Industry!AA243-INDEX(AA$1726:AA$1827,MATCH("v2:ener:1:mch:",$A$1726:$A$1827,0))</f>
        <v>0</v>
      </c>
      <c r="AB1687">
        <f>Mitigation_Industry!AB243-INDEX(AB$1726:AB$1827,MATCH("v2:ener:1:mch:",$A$1726:$A$1827,0))</f>
        <v>0</v>
      </c>
      <c r="AC1687">
        <f>Mitigation_Industry!AC243-INDEX(AC$1726:AC$1827,MATCH("v2:ener:1:mch:",$A$1726:$A$1827,0))</f>
        <v>0</v>
      </c>
      <c r="AD1687">
        <f>Mitigation_Industry!AD243-INDEX(AD$1726:AD$1827,MATCH("v2:ener:1:mch:",$A$1726:$A$1827,0))</f>
        <v>0</v>
      </c>
      <c r="AE1687">
        <f>Mitigation_Industry!AE243-INDEX(AE$1726:AE$1827,MATCH("v2:ener:1:mch:",$A$1726:$A$1827,0))</f>
        <v>0</v>
      </c>
    </row>
    <row r="1688" spans="1:31" x14ac:dyDescent="0.45">
      <c r="A1688" t="s">
        <v>2913</v>
      </c>
      <c r="D1688">
        <v>2</v>
      </c>
      <c r="E1688" t="s">
        <v>1161</v>
      </c>
      <c r="F1688">
        <f t="shared" si="363"/>
        <v>0</v>
      </c>
      <c r="I1688">
        <v>0</v>
      </c>
      <c r="L1688">
        <f>IF(Scenarios!$J$27=0,Mitigation_Industry!L462-INDEX(L$1726:L$1827,MATCH("v2:ener:2:irn:"&amp;Settings!$B$10,$A$1726:$A$1827,0)),0)</f>
        <v>0</v>
      </c>
      <c r="M1688">
        <f>IF(Scenarios!$J$27=0,Mitigation_Industry!M462-INDEX(M$1726:M$1827,MATCH("v2:ener:2:irn:"&amp;Settings!$B$10,$A$1726:$A$1827,0)),0)</f>
        <v>0</v>
      </c>
      <c r="N1688">
        <f>IF(Scenarios!$J$27=0,Mitigation_Industry!N462-INDEX(N$1726:N$1827,MATCH("v2:ener:2:irn:"&amp;Settings!$B$10,$A$1726:$A$1827,0)),0)</f>
        <v>0</v>
      </c>
      <c r="O1688">
        <f>IF(Scenarios!$J$27=0,Mitigation_Industry!O462-INDEX(O$1726:O$1827,MATCH("v2:ener:2:irn:"&amp;Settings!$B$10,$A$1726:$A$1827,0)),0)</f>
        <v>0</v>
      </c>
      <c r="P1688">
        <f>IF(Scenarios!$J$27=0,Mitigation_Industry!P462-INDEX(P$1726:P$1827,MATCH("v2:ener:2:irn:"&amp;Settings!$B$10,$A$1726:$A$1827,0)),0)</f>
        <v>0</v>
      </c>
      <c r="Q1688">
        <f>IF(Scenarios!$J$27=0,Mitigation_Industry!Q462-INDEX(Q$1726:Q$1827,MATCH("v2:ener:2:irn:"&amp;Settings!$B$10,$A$1726:$A$1827,0)),0)</f>
        <v>0</v>
      </c>
      <c r="R1688">
        <f>IF(Scenarios!$J$27=0,Mitigation_Industry!R462-INDEX(R$1726:R$1827,MATCH("v2:ener:2:irn:"&amp;Settings!$B$10,$A$1726:$A$1827,0)),0)</f>
        <v>0</v>
      </c>
      <c r="S1688">
        <f>IF(Scenarios!$J$27=0,Mitigation_Industry!S462-INDEX(S$1726:S$1827,MATCH("v2:ener:2:irn:"&amp;Settings!$B$10,$A$1726:$A$1827,0)),0)</f>
        <v>0</v>
      </c>
      <c r="T1688">
        <f>IF(Scenarios!$J$27=0,Mitigation_Industry!T462-INDEX(T$1726:T$1827,MATCH("v2:ener:2:irn:"&amp;Settings!$B$10,$A$1726:$A$1827,0)),0)</f>
        <v>0</v>
      </c>
      <c r="U1688">
        <f>IF(Scenarios!$J$27=0,Mitigation_Industry!U462-INDEX(U$1726:U$1827,MATCH("v2:ener:2:irn:"&amp;Settings!$B$10,$A$1726:$A$1827,0)),0)</f>
        <v>0</v>
      </c>
      <c r="V1688">
        <f>IF(Scenarios!$J$27=0,Mitigation_Industry!V462-INDEX(V$1726:V$1827,MATCH("v2:ener:2:irn:"&amp;Settings!$B$10,$A$1726:$A$1827,0)),0)</f>
        <v>0</v>
      </c>
      <c r="W1688">
        <f>IF(Scenarios!$J$27=0,Mitigation_Industry!W462-INDEX(W$1726:W$1827,MATCH("v2:ener:2:irn:"&amp;Settings!$B$10,$A$1726:$A$1827,0)),0)</f>
        <v>0</v>
      </c>
      <c r="X1688">
        <f>IF(Scenarios!$J$27=0,Mitigation_Industry!X462-INDEX(X$1726:X$1827,MATCH("v2:ener:2:irn:"&amp;Settings!$B$10,$A$1726:$A$1827,0)),0)</f>
        <v>0</v>
      </c>
      <c r="Y1688">
        <f>IF(Scenarios!$J$27=0,Mitigation_Industry!Y462-INDEX(Y$1726:Y$1827,MATCH("v2:ener:2:irn:"&amp;Settings!$B$10,$A$1726:$A$1827,0)),0)</f>
        <v>0</v>
      </c>
      <c r="Z1688">
        <f>IF(Scenarios!$J$27=0,Mitigation_Industry!Z462-INDEX(Z$1726:Z$1827,MATCH("v2:ener:2:irn:"&amp;Settings!$B$10,$A$1726:$A$1827,0)),0)</f>
        <v>0</v>
      </c>
      <c r="AA1688">
        <f>IF(Scenarios!$J$27=0,Mitigation_Industry!AA462-INDEX(AA$1726:AA$1827,MATCH("v2:ener:2:irn:"&amp;Settings!$B$10,$A$1726:$A$1827,0)),0)</f>
        <v>0</v>
      </c>
      <c r="AB1688">
        <f>IF(Scenarios!$J$27=0,Mitigation_Industry!AB462-INDEX(AB$1726:AB$1827,MATCH("v2:ener:2:irn:"&amp;Settings!$B$10,$A$1726:$A$1827,0)),0)</f>
        <v>0</v>
      </c>
      <c r="AC1688">
        <f>IF(Scenarios!$J$27=0,Mitigation_Industry!AC462-INDEX(AC$1726:AC$1827,MATCH("v2:ener:2:irn:"&amp;Settings!$B$10,$A$1726:$A$1827,0)),0)</f>
        <v>0</v>
      </c>
      <c r="AD1688">
        <f>IF(Scenarios!$J$27=0,Mitigation_Industry!AD462-INDEX(AD$1726:AD$1827,MATCH("v2:ener:2:irn:"&amp;Settings!$B$10,$A$1726:$A$1827,0)),0)</f>
        <v>0</v>
      </c>
      <c r="AE1688">
        <f>IF(Scenarios!$J$27=0,Mitigation_Industry!AE462-INDEX(AE$1726:AE$1827,MATCH("v2:ener:2:irn:"&amp;Settings!$B$10,$A$1726:$A$1827,0)),0)</f>
        <v>0</v>
      </c>
    </row>
    <row r="1689" spans="1:31" x14ac:dyDescent="0.45">
      <c r="A1689" t="s">
        <v>2914</v>
      </c>
      <c r="D1689">
        <v>2</v>
      </c>
      <c r="E1689" t="s">
        <v>1161</v>
      </c>
      <c r="F1689">
        <f t="shared" si="363"/>
        <v>0</v>
      </c>
      <c r="I1689">
        <v>0</v>
      </c>
      <c r="L1689">
        <f>IF(Scenarios!$J$27=0,Mitigation_Industry!L522-INDEX(L$1726:L$1827,MATCH("v2:ener:2:cem:"&amp;Settings!$B$10,$A$1726:$A$1827,0)),0)</f>
        <v>0</v>
      </c>
      <c r="M1689">
        <f>IF(Scenarios!$J$27=0,Mitigation_Industry!M522-INDEX(M$1726:M$1827,MATCH("v2:ener:2:cem:"&amp;Settings!$B$10,$A$1726:$A$1827,0)),0)</f>
        <v>0</v>
      </c>
      <c r="N1689">
        <f>IF(Scenarios!$J$27=0,Mitigation_Industry!N522-INDEX(N$1726:N$1827,MATCH("v2:ener:2:cem:"&amp;Settings!$B$10,$A$1726:$A$1827,0)),0)</f>
        <v>0</v>
      </c>
      <c r="O1689">
        <f>IF(Scenarios!$J$27=0,Mitigation_Industry!O522-INDEX(O$1726:O$1827,MATCH("v2:ener:2:cem:"&amp;Settings!$B$10,$A$1726:$A$1827,0)),0)</f>
        <v>0</v>
      </c>
      <c r="P1689">
        <f>IF(Scenarios!$J$27=0,Mitigation_Industry!P522-INDEX(P$1726:P$1827,MATCH("v2:ener:2:cem:"&amp;Settings!$B$10,$A$1726:$A$1827,0)),0)</f>
        <v>0</v>
      </c>
      <c r="Q1689">
        <f>IF(Scenarios!$J$27=0,Mitigation_Industry!Q522-INDEX(Q$1726:Q$1827,MATCH("v2:ener:2:cem:"&amp;Settings!$B$10,$A$1726:$A$1827,0)),0)</f>
        <v>0</v>
      </c>
      <c r="R1689">
        <f>IF(Scenarios!$J$27=0,Mitigation_Industry!R522-INDEX(R$1726:R$1827,MATCH("v2:ener:2:cem:"&amp;Settings!$B$10,$A$1726:$A$1827,0)),0)</f>
        <v>0</v>
      </c>
      <c r="S1689">
        <f>IF(Scenarios!$J$27=0,Mitigation_Industry!S522-INDEX(S$1726:S$1827,MATCH("v2:ener:2:cem:"&amp;Settings!$B$10,$A$1726:$A$1827,0)),0)</f>
        <v>0</v>
      </c>
      <c r="T1689">
        <f>IF(Scenarios!$J$27=0,Mitigation_Industry!T522-INDEX(T$1726:T$1827,MATCH("v2:ener:2:cem:"&amp;Settings!$B$10,$A$1726:$A$1827,0)),0)</f>
        <v>0</v>
      </c>
      <c r="U1689">
        <f>IF(Scenarios!$J$27=0,Mitigation_Industry!U522-INDEX(U$1726:U$1827,MATCH("v2:ener:2:cem:"&amp;Settings!$B$10,$A$1726:$A$1827,0)),0)</f>
        <v>0</v>
      </c>
      <c r="V1689">
        <f>IF(Scenarios!$J$27=0,Mitigation_Industry!V522-INDEX(V$1726:V$1827,MATCH("v2:ener:2:cem:"&amp;Settings!$B$10,$A$1726:$A$1827,0)),0)</f>
        <v>0</v>
      </c>
      <c r="W1689">
        <f>IF(Scenarios!$J$27=0,Mitigation_Industry!W522-INDEX(W$1726:W$1827,MATCH("v2:ener:2:cem:"&amp;Settings!$B$10,$A$1726:$A$1827,0)),0)</f>
        <v>0</v>
      </c>
      <c r="X1689">
        <f>IF(Scenarios!$J$27=0,Mitigation_Industry!X522-INDEX(X$1726:X$1827,MATCH("v2:ener:2:cem:"&amp;Settings!$B$10,$A$1726:$A$1827,0)),0)</f>
        <v>0</v>
      </c>
      <c r="Y1689">
        <f>IF(Scenarios!$J$27=0,Mitigation_Industry!Y522-INDEX(Y$1726:Y$1827,MATCH("v2:ener:2:cem:"&amp;Settings!$B$10,$A$1726:$A$1827,0)),0)</f>
        <v>0</v>
      </c>
      <c r="Z1689">
        <f>IF(Scenarios!$J$27=0,Mitigation_Industry!Z522-INDEX(Z$1726:Z$1827,MATCH("v2:ener:2:cem:"&amp;Settings!$B$10,$A$1726:$A$1827,0)),0)</f>
        <v>0</v>
      </c>
      <c r="AA1689">
        <f>IF(Scenarios!$J$27=0,Mitigation_Industry!AA522-INDEX(AA$1726:AA$1827,MATCH("v2:ener:2:cem:"&amp;Settings!$B$10,$A$1726:$A$1827,0)),0)</f>
        <v>0</v>
      </c>
      <c r="AB1689">
        <f>IF(Scenarios!$J$27=0,Mitigation_Industry!AB522-INDEX(AB$1726:AB$1827,MATCH("v2:ener:2:cem:"&amp;Settings!$B$10,$A$1726:$A$1827,0)),0)</f>
        <v>0</v>
      </c>
      <c r="AC1689">
        <f>IF(Scenarios!$J$27=0,Mitigation_Industry!AC522-INDEX(AC$1726:AC$1827,MATCH("v2:ener:2:cem:"&amp;Settings!$B$10,$A$1726:$A$1827,0)),0)</f>
        <v>0</v>
      </c>
      <c r="AD1689">
        <f>IF(Scenarios!$J$27=0,Mitigation_Industry!AD522-INDEX(AD$1726:AD$1827,MATCH("v2:ener:2:cem:"&amp;Settings!$B$10,$A$1726:$A$1827,0)),0)</f>
        <v>0</v>
      </c>
      <c r="AE1689">
        <f>IF(Scenarios!$J$27=0,Mitigation_Industry!AE522-INDEX(AE$1726:AE$1827,MATCH("v2:ener:2:cem:"&amp;Settings!$B$10,$A$1726:$A$1827,0)),0)</f>
        <v>0</v>
      </c>
    </row>
    <row r="1690" spans="1:31" x14ac:dyDescent="0.45">
      <c r="A1690" t="s">
        <v>2915</v>
      </c>
      <c r="D1690">
        <v>2</v>
      </c>
      <c r="E1690" t="s">
        <v>1161</v>
      </c>
      <c r="F1690">
        <f t="shared" si="363"/>
        <v>0</v>
      </c>
      <c r="I1690">
        <v>0</v>
      </c>
      <c r="L1690">
        <f>IF(Scenarios!$J$27=0,Mitigation_Industry!L582-INDEX(L$1726:L$1827,MATCH("v2:ener:2:nfm:"&amp;Settings!$B$10,$A$1726:$A$1827,0)),0)</f>
        <v>0</v>
      </c>
      <c r="M1690">
        <f>IF(Scenarios!$J$27=0,Mitigation_Industry!M582-INDEX(M$1726:M$1827,MATCH("v2:ener:2:nfm:"&amp;Settings!$B$10,$A$1726:$A$1827,0)),0)</f>
        <v>0</v>
      </c>
      <c r="N1690">
        <f>IF(Scenarios!$J$27=0,Mitigation_Industry!N582-INDEX(N$1726:N$1827,MATCH("v2:ener:2:nfm:"&amp;Settings!$B$10,$A$1726:$A$1827,0)),0)</f>
        <v>0</v>
      </c>
      <c r="O1690">
        <f>IF(Scenarios!$J$27=0,Mitigation_Industry!O582-INDEX(O$1726:O$1827,MATCH("v2:ener:2:nfm:"&amp;Settings!$B$10,$A$1726:$A$1827,0)),0)</f>
        <v>0</v>
      </c>
      <c r="P1690">
        <f>IF(Scenarios!$J$27=0,Mitigation_Industry!P582-INDEX(P$1726:P$1827,MATCH("v2:ener:2:nfm:"&amp;Settings!$B$10,$A$1726:$A$1827,0)),0)</f>
        <v>0</v>
      </c>
      <c r="Q1690">
        <f>IF(Scenarios!$J$27=0,Mitigation_Industry!Q582-INDEX(Q$1726:Q$1827,MATCH("v2:ener:2:nfm:"&amp;Settings!$B$10,$A$1726:$A$1827,0)),0)</f>
        <v>0</v>
      </c>
      <c r="R1690">
        <f>IF(Scenarios!$J$27=0,Mitigation_Industry!R582-INDEX(R$1726:R$1827,MATCH("v2:ener:2:nfm:"&amp;Settings!$B$10,$A$1726:$A$1827,0)),0)</f>
        <v>0</v>
      </c>
      <c r="S1690">
        <f>IF(Scenarios!$J$27=0,Mitigation_Industry!S582-INDEX(S$1726:S$1827,MATCH("v2:ener:2:nfm:"&amp;Settings!$B$10,$A$1726:$A$1827,0)),0)</f>
        <v>0</v>
      </c>
      <c r="T1690">
        <f>IF(Scenarios!$J$27=0,Mitigation_Industry!T582-INDEX(T$1726:T$1827,MATCH("v2:ener:2:nfm:"&amp;Settings!$B$10,$A$1726:$A$1827,0)),0)</f>
        <v>0</v>
      </c>
      <c r="U1690">
        <f>IF(Scenarios!$J$27=0,Mitigation_Industry!U582-INDEX(U$1726:U$1827,MATCH("v2:ener:2:nfm:"&amp;Settings!$B$10,$A$1726:$A$1827,0)),0)</f>
        <v>0</v>
      </c>
      <c r="V1690">
        <f>IF(Scenarios!$J$27=0,Mitigation_Industry!V582-INDEX(V$1726:V$1827,MATCH("v2:ener:2:nfm:"&amp;Settings!$B$10,$A$1726:$A$1827,0)),0)</f>
        <v>0</v>
      </c>
      <c r="W1690">
        <f>IF(Scenarios!$J$27=0,Mitigation_Industry!W582-INDEX(W$1726:W$1827,MATCH("v2:ener:2:nfm:"&amp;Settings!$B$10,$A$1726:$A$1827,0)),0)</f>
        <v>0</v>
      </c>
      <c r="X1690">
        <f>IF(Scenarios!$J$27=0,Mitigation_Industry!X582-INDEX(X$1726:X$1827,MATCH("v2:ener:2:nfm:"&amp;Settings!$B$10,$A$1726:$A$1827,0)),0)</f>
        <v>0</v>
      </c>
      <c r="Y1690">
        <f>IF(Scenarios!$J$27=0,Mitigation_Industry!Y582-INDEX(Y$1726:Y$1827,MATCH("v2:ener:2:nfm:"&amp;Settings!$B$10,$A$1726:$A$1827,0)),0)</f>
        <v>0</v>
      </c>
      <c r="Z1690">
        <f>IF(Scenarios!$J$27=0,Mitigation_Industry!Z582-INDEX(Z$1726:Z$1827,MATCH("v2:ener:2:nfm:"&amp;Settings!$B$10,$A$1726:$A$1827,0)),0)</f>
        <v>0</v>
      </c>
      <c r="AA1690">
        <f>IF(Scenarios!$J$27=0,Mitigation_Industry!AA582-INDEX(AA$1726:AA$1827,MATCH("v2:ener:2:nfm:"&amp;Settings!$B$10,$A$1726:$A$1827,0)),0)</f>
        <v>0</v>
      </c>
      <c r="AB1690">
        <f>IF(Scenarios!$J$27=0,Mitigation_Industry!AB582-INDEX(AB$1726:AB$1827,MATCH("v2:ener:2:nfm:"&amp;Settings!$B$10,$A$1726:$A$1827,0)),0)</f>
        <v>0</v>
      </c>
      <c r="AC1690">
        <f>IF(Scenarios!$J$27=0,Mitigation_Industry!AC582-INDEX(AC$1726:AC$1827,MATCH("v2:ener:2:nfm:"&amp;Settings!$B$10,$A$1726:$A$1827,0)),0)</f>
        <v>0</v>
      </c>
      <c r="AD1690">
        <f>IF(Scenarios!$J$27=0,Mitigation_Industry!AD582-INDEX(AD$1726:AD$1827,MATCH("v2:ener:2:nfm:"&amp;Settings!$B$10,$A$1726:$A$1827,0)),0)</f>
        <v>0</v>
      </c>
      <c r="AE1690">
        <f>IF(Scenarios!$J$27=0,Mitigation_Industry!AE582-INDEX(AE$1726:AE$1827,MATCH("v2:ener:2:nfm:"&amp;Settings!$B$10,$A$1726:$A$1827,0)),0)</f>
        <v>0</v>
      </c>
    </row>
    <row r="1691" spans="1:31" x14ac:dyDescent="0.45">
      <c r="A1691" t="s">
        <v>2916</v>
      </c>
      <c r="D1691">
        <v>2</v>
      </c>
      <c r="E1691" t="s">
        <v>1161</v>
      </c>
      <c r="F1691">
        <f t="shared" si="363"/>
        <v>0</v>
      </c>
      <c r="I1691">
        <v>0</v>
      </c>
      <c r="L1691">
        <f>IF(Scenarios!$J$27=0,Mitigation_Industry!L642-INDEX(L$1726:L$1827,MATCH("v2:ener:2:mch:"&amp;Settings!$B$10,$A$1726:$A$1827,0)),0)</f>
        <v>0</v>
      </c>
      <c r="M1691">
        <f>IF(Scenarios!$J$27=0,Mitigation_Industry!M642-INDEX(M$1726:M$1827,MATCH("v2:ener:2:mch:"&amp;Settings!$B$10,$A$1726:$A$1827,0)),0)</f>
        <v>0</v>
      </c>
      <c r="N1691">
        <f>IF(Scenarios!$J$27=0,Mitigation_Industry!N642-INDEX(N$1726:N$1827,MATCH("v2:ener:2:mch:"&amp;Settings!$B$10,$A$1726:$A$1827,0)),0)</f>
        <v>0</v>
      </c>
      <c r="O1691">
        <f>IF(Scenarios!$J$27=0,Mitigation_Industry!O642-INDEX(O$1726:O$1827,MATCH("v2:ener:2:mch:"&amp;Settings!$B$10,$A$1726:$A$1827,0)),0)</f>
        <v>0</v>
      </c>
      <c r="P1691">
        <f>IF(Scenarios!$J$27=0,Mitigation_Industry!P642-INDEX(P$1726:P$1827,MATCH("v2:ener:2:mch:"&amp;Settings!$B$10,$A$1726:$A$1827,0)),0)</f>
        <v>0</v>
      </c>
      <c r="Q1691">
        <f>IF(Scenarios!$J$27=0,Mitigation_Industry!Q642-INDEX(Q$1726:Q$1827,MATCH("v2:ener:2:mch:"&amp;Settings!$B$10,$A$1726:$A$1827,0)),0)</f>
        <v>0</v>
      </c>
      <c r="R1691">
        <f>IF(Scenarios!$J$27=0,Mitigation_Industry!R642-INDEX(R$1726:R$1827,MATCH("v2:ener:2:mch:"&amp;Settings!$B$10,$A$1726:$A$1827,0)),0)</f>
        <v>0</v>
      </c>
      <c r="S1691">
        <f>IF(Scenarios!$J$27=0,Mitigation_Industry!S642-INDEX(S$1726:S$1827,MATCH("v2:ener:2:mch:"&amp;Settings!$B$10,$A$1726:$A$1827,0)),0)</f>
        <v>0</v>
      </c>
      <c r="T1691">
        <f>IF(Scenarios!$J$27=0,Mitigation_Industry!T642-INDEX(T$1726:T$1827,MATCH("v2:ener:2:mch:"&amp;Settings!$B$10,$A$1726:$A$1827,0)),0)</f>
        <v>0</v>
      </c>
      <c r="U1691">
        <f>IF(Scenarios!$J$27=0,Mitigation_Industry!U642-INDEX(U$1726:U$1827,MATCH("v2:ener:2:mch:"&amp;Settings!$B$10,$A$1726:$A$1827,0)),0)</f>
        <v>0</v>
      </c>
      <c r="V1691">
        <f>IF(Scenarios!$J$27=0,Mitigation_Industry!V642-INDEX(V$1726:V$1827,MATCH("v2:ener:2:mch:"&amp;Settings!$B$10,$A$1726:$A$1827,0)),0)</f>
        <v>0</v>
      </c>
      <c r="W1691">
        <f>IF(Scenarios!$J$27=0,Mitigation_Industry!W642-INDEX(W$1726:W$1827,MATCH("v2:ener:2:mch:"&amp;Settings!$B$10,$A$1726:$A$1827,0)),0)</f>
        <v>0</v>
      </c>
      <c r="X1691">
        <f>IF(Scenarios!$J$27=0,Mitigation_Industry!X642-INDEX(X$1726:X$1827,MATCH("v2:ener:2:mch:"&amp;Settings!$B$10,$A$1726:$A$1827,0)),0)</f>
        <v>0</v>
      </c>
      <c r="Y1691">
        <f>IF(Scenarios!$J$27=0,Mitigation_Industry!Y642-INDEX(Y$1726:Y$1827,MATCH("v2:ener:2:mch:"&amp;Settings!$B$10,$A$1726:$A$1827,0)),0)</f>
        <v>0</v>
      </c>
      <c r="Z1691">
        <f>IF(Scenarios!$J$27=0,Mitigation_Industry!Z642-INDEX(Z$1726:Z$1827,MATCH("v2:ener:2:mch:"&amp;Settings!$B$10,$A$1726:$A$1827,0)),0)</f>
        <v>0</v>
      </c>
      <c r="AA1691">
        <f>IF(Scenarios!$J$27=0,Mitigation_Industry!AA642-INDEX(AA$1726:AA$1827,MATCH("v2:ener:2:mch:"&amp;Settings!$B$10,$A$1726:$A$1827,0)),0)</f>
        <v>0</v>
      </c>
      <c r="AB1691">
        <f>IF(Scenarios!$J$27=0,Mitigation_Industry!AB642-INDEX(AB$1726:AB$1827,MATCH("v2:ener:2:mch:"&amp;Settings!$B$10,$A$1726:$A$1827,0)),0)</f>
        <v>0</v>
      </c>
      <c r="AC1691">
        <f>IF(Scenarios!$J$27=0,Mitigation_Industry!AC642-INDEX(AC$1726:AC$1827,MATCH("v2:ener:2:mch:"&amp;Settings!$B$10,$A$1726:$A$1827,0)),0)</f>
        <v>0</v>
      </c>
      <c r="AD1691">
        <f>IF(Scenarios!$J$27=0,Mitigation_Industry!AD642-INDEX(AD$1726:AD$1827,MATCH("v2:ener:2:mch:"&amp;Settings!$B$10,$A$1726:$A$1827,0)),0)</f>
        <v>0</v>
      </c>
      <c r="AE1691">
        <f>IF(Scenarios!$J$27=0,Mitigation_Industry!AE642-INDEX(AE$1726:AE$1827,MATCH("v2:ener:2:mch:"&amp;Settings!$B$10,$A$1726:$A$1827,0)),0)</f>
        <v>0</v>
      </c>
    </row>
    <row r="1692" spans="1:31" x14ac:dyDescent="0.45">
      <c r="A1692" t="s">
        <v>2917</v>
      </c>
      <c r="D1692">
        <v>2</v>
      </c>
      <c r="E1692" t="s">
        <v>1161</v>
      </c>
      <c r="F1692">
        <f t="shared" si="363"/>
        <v>0</v>
      </c>
      <c r="I1692">
        <v>0</v>
      </c>
      <c r="L1692">
        <f>SUM(Mitigation_Industry!L416:L424)-INDEX(L$1726:L$1827,MATCH("v2:atp:2:irn:"&amp;Settings!$B$10,$A$1726:$A$1827,0))</f>
        <v>0</v>
      </c>
      <c r="M1692">
        <f>SUM(Mitigation_Industry!M416:M424)-INDEX(M$1726:M$1827,MATCH("v2:atp:2:irn:"&amp;Settings!$B$10,$A$1726:$A$1827,0))</f>
        <v>0</v>
      </c>
      <c r="N1692">
        <f>SUM(Mitigation_Industry!N416:N424)-INDEX(N$1726:N$1827,MATCH("v2:atp:2:irn:"&amp;Settings!$B$10,$A$1726:$A$1827,0))</f>
        <v>0</v>
      </c>
      <c r="O1692">
        <f>SUM(Mitigation_Industry!O416:O424)-INDEX(O$1726:O$1827,MATCH("v2:atp:2:irn:"&amp;Settings!$B$10,$A$1726:$A$1827,0))</f>
        <v>0</v>
      </c>
      <c r="P1692">
        <f>SUM(Mitigation_Industry!P416:P424)-INDEX(P$1726:P$1827,MATCH("v2:atp:2:irn:"&amp;Settings!$B$10,$A$1726:$A$1827,0))</f>
        <v>0</v>
      </c>
      <c r="Q1692">
        <f>SUM(Mitigation_Industry!Q416:Q424)-INDEX(Q$1726:Q$1827,MATCH("v2:atp:2:irn:"&amp;Settings!$B$10,$A$1726:$A$1827,0))</f>
        <v>0</v>
      </c>
      <c r="R1692">
        <f>SUM(Mitigation_Industry!R416:R424)-INDEX(R$1726:R$1827,MATCH("v2:atp:2:irn:"&amp;Settings!$B$10,$A$1726:$A$1827,0))</f>
        <v>0</v>
      </c>
      <c r="S1692">
        <f>SUM(Mitigation_Industry!S416:S424)-INDEX(S$1726:S$1827,MATCH("v2:atp:2:irn:"&amp;Settings!$B$10,$A$1726:$A$1827,0))</f>
        <v>0</v>
      </c>
      <c r="T1692">
        <f>SUM(Mitigation_Industry!T416:T424)-INDEX(T$1726:T$1827,MATCH("v2:atp:2:irn:"&amp;Settings!$B$10,$A$1726:$A$1827,0))</f>
        <v>0</v>
      </c>
      <c r="U1692">
        <f>SUM(Mitigation_Industry!U416:U424)-INDEX(U$1726:U$1827,MATCH("v2:atp:2:irn:"&amp;Settings!$B$10,$A$1726:$A$1827,0))</f>
        <v>0</v>
      </c>
      <c r="V1692">
        <f>SUM(Mitigation_Industry!V416:V424)-INDEX(V$1726:V$1827,MATCH("v2:atp:2:irn:"&amp;Settings!$B$10,$A$1726:$A$1827,0))</f>
        <v>0</v>
      </c>
      <c r="W1692">
        <f>SUM(Mitigation_Industry!W416:W424)-INDEX(W$1726:W$1827,MATCH("v2:atp:2:irn:"&amp;Settings!$B$10,$A$1726:$A$1827,0))</f>
        <v>0</v>
      </c>
      <c r="X1692">
        <f>SUM(Mitigation_Industry!X416:X424)-INDEX(X$1726:X$1827,MATCH("v2:atp:2:irn:"&amp;Settings!$B$10,$A$1726:$A$1827,0))</f>
        <v>0</v>
      </c>
      <c r="Y1692">
        <f>SUM(Mitigation_Industry!Y416:Y424)-INDEX(Y$1726:Y$1827,MATCH("v2:atp:2:irn:"&amp;Settings!$B$10,$A$1726:$A$1827,0))</f>
        <v>0</v>
      </c>
      <c r="Z1692">
        <f>SUM(Mitigation_Industry!Z416:Z424)-INDEX(Z$1726:Z$1827,MATCH("v2:atp:2:irn:"&amp;Settings!$B$10,$A$1726:$A$1827,0))</f>
        <v>0</v>
      </c>
      <c r="AA1692">
        <f>SUM(Mitigation_Industry!AA416:AA424)-INDEX(AA$1726:AA$1827,MATCH("v2:atp:2:irn:"&amp;Settings!$B$10,$A$1726:$A$1827,0))</f>
        <v>0</v>
      </c>
      <c r="AB1692">
        <f>SUM(Mitigation_Industry!AB416:AB424)-INDEX(AB$1726:AB$1827,MATCH("v2:atp:2:irn:"&amp;Settings!$B$10,$A$1726:$A$1827,0))</f>
        <v>0</v>
      </c>
      <c r="AC1692">
        <f>SUM(Mitigation_Industry!AC416:AC424)-INDEX(AC$1726:AC$1827,MATCH("v2:atp:2:irn:"&amp;Settings!$B$10,$A$1726:$A$1827,0))</f>
        <v>0</v>
      </c>
      <c r="AD1692">
        <f>SUM(Mitigation_Industry!AD416:AD424)-INDEX(AD$1726:AD$1827,MATCH("v2:atp:2:irn:"&amp;Settings!$B$10,$A$1726:$A$1827,0))</f>
        <v>0</v>
      </c>
      <c r="AE1692">
        <f>SUM(Mitigation_Industry!AE416:AE424)-INDEX(AE$1726:AE$1827,MATCH("v2:atp:2:irn:"&amp;Settings!$B$10,$A$1726:$A$1827,0))</f>
        <v>0</v>
      </c>
    </row>
    <row r="1693" spans="1:31" x14ac:dyDescent="0.45">
      <c r="A1693" t="s">
        <v>2918</v>
      </c>
      <c r="D1693">
        <v>2</v>
      </c>
      <c r="E1693" t="s">
        <v>1161</v>
      </c>
      <c r="F1693">
        <f t="shared" si="363"/>
        <v>0</v>
      </c>
      <c r="I1693">
        <v>0</v>
      </c>
      <c r="L1693">
        <f>SUM(Mitigation_Industry!L476:L484)-INDEX(L$1726:L$1827,MATCH("v2:atp:2:cem:"&amp;Settings!$B$10,$A$1726:$A$1827,0))</f>
        <v>0</v>
      </c>
      <c r="M1693">
        <f>SUM(Mitigation_Industry!M476:M484)-INDEX(M$1726:M$1827,MATCH("v2:atp:2:cem:"&amp;Settings!$B$10,$A$1726:$A$1827,0))</f>
        <v>0</v>
      </c>
      <c r="N1693">
        <f>SUM(Mitigation_Industry!N476:N484)-INDEX(N$1726:N$1827,MATCH("v2:atp:2:cem:"&amp;Settings!$B$10,$A$1726:$A$1827,0))</f>
        <v>0</v>
      </c>
      <c r="O1693">
        <f>SUM(Mitigation_Industry!O476:O484)-INDEX(O$1726:O$1827,MATCH("v2:atp:2:cem:"&amp;Settings!$B$10,$A$1726:$A$1827,0))</f>
        <v>0</v>
      </c>
      <c r="P1693">
        <f>SUM(Mitigation_Industry!P476:P484)-INDEX(P$1726:P$1827,MATCH("v2:atp:2:cem:"&amp;Settings!$B$10,$A$1726:$A$1827,0))</f>
        <v>0</v>
      </c>
      <c r="Q1693">
        <f>SUM(Mitigation_Industry!Q476:Q484)-INDEX(Q$1726:Q$1827,MATCH("v2:atp:2:cem:"&amp;Settings!$B$10,$A$1726:$A$1827,0))</f>
        <v>0</v>
      </c>
      <c r="R1693">
        <f>SUM(Mitigation_Industry!R476:R484)-INDEX(R$1726:R$1827,MATCH("v2:atp:2:cem:"&amp;Settings!$B$10,$A$1726:$A$1827,0))</f>
        <v>0</v>
      </c>
      <c r="S1693">
        <f>SUM(Mitigation_Industry!S476:S484)-INDEX(S$1726:S$1827,MATCH("v2:atp:2:cem:"&amp;Settings!$B$10,$A$1726:$A$1827,0))</f>
        <v>0</v>
      </c>
      <c r="T1693">
        <f>SUM(Mitigation_Industry!T476:T484)-INDEX(T$1726:T$1827,MATCH("v2:atp:2:cem:"&amp;Settings!$B$10,$A$1726:$A$1827,0))</f>
        <v>0</v>
      </c>
      <c r="U1693">
        <f>SUM(Mitigation_Industry!U476:U484)-INDEX(U$1726:U$1827,MATCH("v2:atp:2:cem:"&amp;Settings!$B$10,$A$1726:$A$1827,0))</f>
        <v>0</v>
      </c>
      <c r="V1693">
        <f>SUM(Mitigation_Industry!V476:V484)-INDEX(V$1726:V$1827,MATCH("v2:atp:2:cem:"&amp;Settings!$B$10,$A$1726:$A$1827,0))</f>
        <v>0</v>
      </c>
      <c r="W1693">
        <f>SUM(Mitigation_Industry!W476:W484)-INDEX(W$1726:W$1827,MATCH("v2:atp:2:cem:"&amp;Settings!$B$10,$A$1726:$A$1827,0))</f>
        <v>0</v>
      </c>
      <c r="X1693">
        <f>SUM(Mitigation_Industry!X476:X484)-INDEX(X$1726:X$1827,MATCH("v2:atp:2:cem:"&amp;Settings!$B$10,$A$1726:$A$1827,0))</f>
        <v>0</v>
      </c>
      <c r="Y1693">
        <f>SUM(Mitigation_Industry!Y476:Y484)-INDEX(Y$1726:Y$1827,MATCH("v2:atp:2:cem:"&amp;Settings!$B$10,$A$1726:$A$1827,0))</f>
        <v>0</v>
      </c>
      <c r="Z1693">
        <f>SUM(Mitigation_Industry!Z476:Z484)-INDEX(Z$1726:Z$1827,MATCH("v2:atp:2:cem:"&amp;Settings!$B$10,$A$1726:$A$1827,0))</f>
        <v>0</v>
      </c>
      <c r="AA1693">
        <f>SUM(Mitigation_Industry!AA476:AA484)-INDEX(AA$1726:AA$1827,MATCH("v2:atp:2:cem:"&amp;Settings!$B$10,$A$1726:$A$1827,0))</f>
        <v>0</v>
      </c>
      <c r="AB1693">
        <f>SUM(Mitigation_Industry!AB476:AB484)-INDEX(AB$1726:AB$1827,MATCH("v2:atp:2:cem:"&amp;Settings!$B$10,$A$1726:$A$1827,0))</f>
        <v>0</v>
      </c>
      <c r="AC1693">
        <f>SUM(Mitigation_Industry!AC476:AC484)-INDEX(AC$1726:AC$1827,MATCH("v2:atp:2:cem:"&amp;Settings!$B$10,$A$1726:$A$1827,0))</f>
        <v>0</v>
      </c>
      <c r="AD1693">
        <f>SUM(Mitigation_Industry!AD476:AD484)-INDEX(AD$1726:AD$1827,MATCH("v2:atp:2:cem:"&amp;Settings!$B$10,$A$1726:$A$1827,0))</f>
        <v>0</v>
      </c>
      <c r="AE1693">
        <f>SUM(Mitigation_Industry!AE476:AE484)-INDEX(AE$1726:AE$1827,MATCH("v2:atp:2:cem:"&amp;Settings!$B$10,$A$1726:$A$1827,0))</f>
        <v>0</v>
      </c>
    </row>
    <row r="1694" spans="1:31" x14ac:dyDescent="0.45">
      <c r="A1694" t="s">
        <v>2919</v>
      </c>
      <c r="D1694">
        <v>2</v>
      </c>
      <c r="E1694" t="s">
        <v>1161</v>
      </c>
      <c r="F1694">
        <f t="shared" si="363"/>
        <v>0</v>
      </c>
      <c r="I1694">
        <v>0</v>
      </c>
      <c r="L1694">
        <f>SUM(Mitigation_Industry!L536:L544)-INDEX(L$1726:L$1827,MATCH("v2:atp:2:nfm:"&amp;Settings!$B$10,$A$1726:$A$1827,0))</f>
        <v>0</v>
      </c>
      <c r="M1694">
        <f>SUM(Mitigation_Industry!M536:M544)-INDEX(M$1726:M$1827,MATCH("v2:atp:2:nfm:"&amp;Settings!$B$10,$A$1726:$A$1827,0))</f>
        <v>0</v>
      </c>
      <c r="N1694">
        <f>SUM(Mitigation_Industry!N536:N544)-INDEX(N$1726:N$1827,MATCH("v2:atp:2:nfm:"&amp;Settings!$B$10,$A$1726:$A$1827,0))</f>
        <v>0</v>
      </c>
      <c r="O1694">
        <f>SUM(Mitigation_Industry!O536:O544)-INDEX(O$1726:O$1827,MATCH("v2:atp:2:nfm:"&amp;Settings!$B$10,$A$1726:$A$1827,0))</f>
        <v>0</v>
      </c>
      <c r="P1694">
        <f>SUM(Mitigation_Industry!P536:P544)-INDEX(P$1726:P$1827,MATCH("v2:atp:2:nfm:"&amp;Settings!$B$10,$A$1726:$A$1827,0))</f>
        <v>0</v>
      </c>
      <c r="Q1694">
        <f>SUM(Mitigation_Industry!Q536:Q544)-INDEX(Q$1726:Q$1827,MATCH("v2:atp:2:nfm:"&amp;Settings!$B$10,$A$1726:$A$1827,0))</f>
        <v>0</v>
      </c>
      <c r="R1694">
        <f>SUM(Mitigation_Industry!R536:R544)-INDEX(R$1726:R$1827,MATCH("v2:atp:2:nfm:"&amp;Settings!$B$10,$A$1726:$A$1827,0))</f>
        <v>0</v>
      </c>
      <c r="S1694">
        <f>SUM(Mitigation_Industry!S536:S544)-INDEX(S$1726:S$1827,MATCH("v2:atp:2:nfm:"&amp;Settings!$B$10,$A$1726:$A$1827,0))</f>
        <v>0</v>
      </c>
      <c r="T1694">
        <f>SUM(Mitigation_Industry!T536:T544)-INDEX(T$1726:T$1827,MATCH("v2:atp:2:nfm:"&amp;Settings!$B$10,$A$1726:$A$1827,0))</f>
        <v>0</v>
      </c>
      <c r="U1694">
        <f>SUM(Mitigation_Industry!U536:U544)-INDEX(U$1726:U$1827,MATCH("v2:atp:2:nfm:"&amp;Settings!$B$10,$A$1726:$A$1827,0))</f>
        <v>0</v>
      </c>
      <c r="V1694">
        <f>SUM(Mitigation_Industry!V536:V544)-INDEX(V$1726:V$1827,MATCH("v2:atp:2:nfm:"&amp;Settings!$B$10,$A$1726:$A$1827,0))</f>
        <v>0</v>
      </c>
      <c r="W1694">
        <f>SUM(Mitigation_Industry!W536:W544)-INDEX(W$1726:W$1827,MATCH("v2:atp:2:nfm:"&amp;Settings!$B$10,$A$1726:$A$1827,0))</f>
        <v>0</v>
      </c>
      <c r="X1694">
        <f>SUM(Mitigation_Industry!X536:X544)-INDEX(X$1726:X$1827,MATCH("v2:atp:2:nfm:"&amp;Settings!$B$10,$A$1726:$A$1827,0))</f>
        <v>0</v>
      </c>
      <c r="Y1694">
        <f>SUM(Mitigation_Industry!Y536:Y544)-INDEX(Y$1726:Y$1827,MATCH("v2:atp:2:nfm:"&amp;Settings!$B$10,$A$1726:$A$1827,0))</f>
        <v>0</v>
      </c>
      <c r="Z1694">
        <f>SUM(Mitigation_Industry!Z536:Z544)-INDEX(Z$1726:Z$1827,MATCH("v2:atp:2:nfm:"&amp;Settings!$B$10,$A$1726:$A$1827,0))</f>
        <v>0</v>
      </c>
      <c r="AA1694">
        <f>SUM(Mitigation_Industry!AA536:AA544)-INDEX(AA$1726:AA$1827,MATCH("v2:atp:2:nfm:"&amp;Settings!$B$10,$A$1726:$A$1827,0))</f>
        <v>0</v>
      </c>
      <c r="AB1694">
        <f>SUM(Mitigation_Industry!AB536:AB544)-INDEX(AB$1726:AB$1827,MATCH("v2:atp:2:nfm:"&amp;Settings!$B$10,$A$1726:$A$1827,0))</f>
        <v>0</v>
      </c>
      <c r="AC1694">
        <f>SUM(Mitigation_Industry!AC536:AC544)-INDEX(AC$1726:AC$1827,MATCH("v2:atp:2:nfm:"&amp;Settings!$B$10,$A$1726:$A$1827,0))</f>
        <v>0</v>
      </c>
      <c r="AD1694">
        <f>SUM(Mitigation_Industry!AD536:AD544)-INDEX(AD$1726:AD$1827,MATCH("v2:atp:2:nfm:"&amp;Settings!$B$10,$A$1726:$A$1827,0))</f>
        <v>0</v>
      </c>
      <c r="AE1694">
        <f>SUM(Mitigation_Industry!AE536:AE544)-INDEX(AE$1726:AE$1827,MATCH("v2:atp:2:nfm:"&amp;Settings!$B$10,$A$1726:$A$1827,0))</f>
        <v>0</v>
      </c>
    </row>
    <row r="1695" spans="1:31" x14ac:dyDescent="0.45">
      <c r="A1695" t="s">
        <v>2920</v>
      </c>
      <c r="D1695">
        <v>2</v>
      </c>
      <c r="E1695" t="s">
        <v>1161</v>
      </c>
      <c r="F1695">
        <f t="shared" si="363"/>
        <v>0</v>
      </c>
      <c r="I1695">
        <v>0</v>
      </c>
      <c r="L1695">
        <f>SUM(Mitigation_Industry!L596:L604)-INDEX(L$1726:L$1827,MATCH("v2:atp:2:mch:"&amp;Settings!$B$10,$A$1726:$A$1827,0))</f>
        <v>0</v>
      </c>
      <c r="M1695">
        <f>SUM(Mitigation_Industry!M596:M604)-INDEX(M$1726:M$1827,MATCH("v2:atp:2:mch:"&amp;Settings!$B$10,$A$1726:$A$1827,0))</f>
        <v>0</v>
      </c>
      <c r="N1695">
        <f>SUM(Mitigation_Industry!N596:N604)-INDEX(N$1726:N$1827,MATCH("v2:atp:2:mch:"&amp;Settings!$B$10,$A$1726:$A$1827,0))</f>
        <v>0</v>
      </c>
      <c r="O1695">
        <f>SUM(Mitigation_Industry!O596:O604)-INDEX(O$1726:O$1827,MATCH("v2:atp:2:mch:"&amp;Settings!$B$10,$A$1726:$A$1827,0))</f>
        <v>0</v>
      </c>
      <c r="P1695">
        <f>SUM(Mitigation_Industry!P596:P604)-INDEX(P$1726:P$1827,MATCH("v2:atp:2:mch:"&amp;Settings!$B$10,$A$1726:$A$1827,0))</f>
        <v>0</v>
      </c>
      <c r="Q1695">
        <f>SUM(Mitigation_Industry!Q596:Q604)-INDEX(Q$1726:Q$1827,MATCH("v2:atp:2:mch:"&amp;Settings!$B$10,$A$1726:$A$1827,0))</f>
        <v>0</v>
      </c>
      <c r="R1695">
        <f>SUM(Mitigation_Industry!R596:R604)-INDEX(R$1726:R$1827,MATCH("v2:atp:2:mch:"&amp;Settings!$B$10,$A$1726:$A$1827,0))</f>
        <v>0</v>
      </c>
      <c r="S1695">
        <f>SUM(Mitigation_Industry!S596:S604)-INDEX(S$1726:S$1827,MATCH("v2:atp:2:mch:"&amp;Settings!$B$10,$A$1726:$A$1827,0))</f>
        <v>0</v>
      </c>
      <c r="T1695">
        <f>SUM(Mitigation_Industry!T596:T604)-INDEX(T$1726:T$1827,MATCH("v2:atp:2:mch:"&amp;Settings!$B$10,$A$1726:$A$1827,0))</f>
        <v>0</v>
      </c>
      <c r="U1695">
        <f>SUM(Mitigation_Industry!U596:U604)-INDEX(U$1726:U$1827,MATCH("v2:atp:2:mch:"&amp;Settings!$B$10,$A$1726:$A$1827,0))</f>
        <v>0</v>
      </c>
      <c r="V1695">
        <f>SUM(Mitigation_Industry!V596:V604)-INDEX(V$1726:V$1827,MATCH("v2:atp:2:mch:"&amp;Settings!$B$10,$A$1726:$A$1827,0))</f>
        <v>0</v>
      </c>
      <c r="W1695">
        <f>SUM(Mitigation_Industry!W596:W604)-INDEX(W$1726:W$1827,MATCH("v2:atp:2:mch:"&amp;Settings!$B$10,$A$1726:$A$1827,0))</f>
        <v>0</v>
      </c>
      <c r="X1695">
        <f>SUM(Mitigation_Industry!X596:X604)-INDEX(X$1726:X$1827,MATCH("v2:atp:2:mch:"&amp;Settings!$B$10,$A$1726:$A$1827,0))</f>
        <v>0</v>
      </c>
      <c r="Y1695">
        <f>SUM(Mitigation_Industry!Y596:Y604)-INDEX(Y$1726:Y$1827,MATCH("v2:atp:2:mch:"&amp;Settings!$B$10,$A$1726:$A$1827,0))</f>
        <v>0</v>
      </c>
      <c r="Z1695">
        <f>SUM(Mitigation_Industry!Z596:Z604)-INDEX(Z$1726:Z$1827,MATCH("v2:atp:2:mch:"&amp;Settings!$B$10,$A$1726:$A$1827,0))</f>
        <v>0</v>
      </c>
      <c r="AA1695">
        <f>SUM(Mitigation_Industry!AA596:AA604)-INDEX(AA$1726:AA$1827,MATCH("v2:atp:2:mch:"&amp;Settings!$B$10,$A$1726:$A$1827,0))</f>
        <v>0</v>
      </c>
      <c r="AB1695">
        <f>SUM(Mitigation_Industry!AB596:AB604)-INDEX(AB$1726:AB$1827,MATCH("v2:atp:2:mch:"&amp;Settings!$B$10,$A$1726:$A$1827,0))</f>
        <v>0</v>
      </c>
      <c r="AC1695">
        <f>SUM(Mitigation_Industry!AC596:AC604)-INDEX(AC$1726:AC$1827,MATCH("v2:atp:2:mch:"&amp;Settings!$B$10,$A$1726:$A$1827,0))</f>
        <v>0</v>
      </c>
      <c r="AD1695">
        <f>SUM(Mitigation_Industry!AD596:AD604)-INDEX(AD$1726:AD$1827,MATCH("v2:atp:2:mch:"&amp;Settings!$B$10,$A$1726:$A$1827,0))</f>
        <v>0</v>
      </c>
      <c r="AE1695">
        <f>SUM(Mitigation_Industry!AE596:AE604)-INDEX(AE$1726:AE$1827,MATCH("v2:atp:2:mch:"&amp;Settings!$B$10,$A$1726:$A$1827,0))</f>
        <v>0</v>
      </c>
    </row>
    <row r="1696" spans="1:31" x14ac:dyDescent="0.45">
      <c r="A1696" t="s">
        <v>2921</v>
      </c>
      <c r="D1696">
        <v>2</v>
      </c>
      <c r="E1696" t="s">
        <v>1161</v>
      </c>
      <c r="F1696">
        <f t="shared" si="363"/>
        <v>0</v>
      </c>
      <c r="I1696">
        <v>0</v>
      </c>
      <c r="L1696">
        <f>IF(Scenarios!$J$27=0,Mitigation_Industry!L779-INDEX(L$1726:L$1827,MATCH("v2:emis:2:tot:"&amp;Settings!$B$10,$A$1726:$A$1827,0)),0)</f>
        <v>0</v>
      </c>
      <c r="M1696">
        <f>IF(Scenarios!$J$27=0,Mitigation_Industry!M779-INDEX(M$1726:M$1827,MATCH("v2:emis:2:tot:"&amp;Settings!$B$10,$A$1726:$A$1827,0)),0)</f>
        <v>0</v>
      </c>
      <c r="N1696">
        <f>IF(Scenarios!$J$27=0,Mitigation_Industry!N779-INDEX(N$1726:N$1827,MATCH("v2:emis:2:tot:"&amp;Settings!$B$10,$A$1726:$A$1827,0)),0)</f>
        <v>0</v>
      </c>
      <c r="O1696">
        <f>IF(Scenarios!$J$27=0,Mitigation_Industry!O779-INDEX(O$1726:O$1827,MATCH("v2:emis:2:tot:"&amp;Settings!$B$10,$A$1726:$A$1827,0)),0)</f>
        <v>0</v>
      </c>
      <c r="P1696">
        <f>IF(Scenarios!$J$27=0,Mitigation_Industry!P779-INDEX(P$1726:P$1827,MATCH("v2:emis:2:tot:"&amp;Settings!$B$10,$A$1726:$A$1827,0)),0)</f>
        <v>0</v>
      </c>
      <c r="Q1696">
        <f>IF(Scenarios!$J$27=0,Mitigation_Industry!Q779-INDEX(Q$1726:Q$1827,MATCH("v2:emis:2:tot:"&amp;Settings!$B$10,$A$1726:$A$1827,0)),0)</f>
        <v>0</v>
      </c>
      <c r="R1696">
        <f>IF(Scenarios!$J$27=0,Mitigation_Industry!R779-INDEX(R$1726:R$1827,MATCH("v2:emis:2:tot:"&amp;Settings!$B$10,$A$1726:$A$1827,0)),0)</f>
        <v>0</v>
      </c>
      <c r="S1696">
        <f>IF(Scenarios!$J$27=0,Mitigation_Industry!S779-INDEX(S$1726:S$1827,MATCH("v2:emis:2:tot:"&amp;Settings!$B$10,$A$1726:$A$1827,0)),0)</f>
        <v>0</v>
      </c>
      <c r="T1696">
        <f>IF(Scenarios!$J$27=0,Mitigation_Industry!T779-INDEX(T$1726:T$1827,MATCH("v2:emis:2:tot:"&amp;Settings!$B$10,$A$1726:$A$1827,0)),0)</f>
        <v>0</v>
      </c>
      <c r="U1696">
        <f>IF(Scenarios!$J$27=0,Mitigation_Industry!U779-INDEX(U$1726:U$1827,MATCH("v2:emis:2:tot:"&amp;Settings!$B$10,$A$1726:$A$1827,0)),0)</f>
        <v>0</v>
      </c>
      <c r="V1696">
        <f>IF(Scenarios!$J$27=0,Mitigation_Industry!V779-INDEX(V$1726:V$1827,MATCH("v2:emis:2:tot:"&amp;Settings!$B$10,$A$1726:$A$1827,0)),0)</f>
        <v>0</v>
      </c>
      <c r="W1696">
        <f>IF(Scenarios!$J$27=0,Mitigation_Industry!W779-INDEX(W$1726:W$1827,MATCH("v2:emis:2:tot:"&amp;Settings!$B$10,$A$1726:$A$1827,0)),0)</f>
        <v>0</v>
      </c>
      <c r="X1696">
        <f>IF(Scenarios!$J$27=0,Mitigation_Industry!X779-INDEX(X$1726:X$1827,MATCH("v2:emis:2:tot:"&amp;Settings!$B$10,$A$1726:$A$1827,0)),0)</f>
        <v>0</v>
      </c>
      <c r="Y1696">
        <f>IF(Scenarios!$J$27=0,Mitigation_Industry!Y779-INDEX(Y$1726:Y$1827,MATCH("v2:emis:2:tot:"&amp;Settings!$B$10,$A$1726:$A$1827,0)),0)</f>
        <v>0</v>
      </c>
      <c r="Z1696">
        <f>IF(Scenarios!$J$27=0,Mitigation_Industry!Z779-INDEX(Z$1726:Z$1827,MATCH("v2:emis:2:tot:"&amp;Settings!$B$10,$A$1726:$A$1827,0)),0)</f>
        <v>0</v>
      </c>
      <c r="AA1696">
        <f>IF(Scenarios!$J$27=0,Mitigation_Industry!AA779-INDEX(AA$1726:AA$1827,MATCH("v2:emis:2:tot:"&amp;Settings!$B$10,$A$1726:$A$1827,0)),0)</f>
        <v>0</v>
      </c>
      <c r="AB1696">
        <f>IF(Scenarios!$J$27=0,Mitigation_Industry!AB779-INDEX(AB$1726:AB$1827,MATCH("v2:emis:2:tot:"&amp;Settings!$B$10,$A$1726:$A$1827,0)),0)</f>
        <v>0</v>
      </c>
      <c r="AC1696">
        <f>IF(Scenarios!$J$27=0,Mitigation_Industry!AC779-INDEX(AC$1726:AC$1827,MATCH("v2:emis:2:tot:"&amp;Settings!$B$10,$A$1726:$A$1827,0)),0)</f>
        <v>0</v>
      </c>
      <c r="AD1696">
        <f>IF(Scenarios!$J$27=0,Mitigation_Industry!AD779-INDEX(AD$1726:AD$1827,MATCH("v2:emis:2:tot:"&amp;Settings!$B$10,$A$1726:$A$1827,0)),0)</f>
        <v>0</v>
      </c>
      <c r="AE1696">
        <f>IF(Scenarios!$J$27=0,Mitigation_Industry!AE779-INDEX(AE$1726:AE$1827,MATCH("v2:emis:2:tot:"&amp;Settings!$B$10,$A$1726:$A$1827,0)),0)</f>
        <v>0</v>
      </c>
    </row>
    <row r="1697" spans="1:31" x14ac:dyDescent="0.45">
      <c r="A1697" t="s">
        <v>2922</v>
      </c>
      <c r="D1697">
        <v>2</v>
      </c>
      <c r="E1697" t="s">
        <v>1161</v>
      </c>
      <c r="F1697">
        <f t="shared" si="363"/>
        <v>0</v>
      </c>
      <c r="I1697">
        <v>0</v>
      </c>
      <c r="L1697">
        <f>Rebate_Industry!L217-INDEX(L$1726:L$1827,MATCH("v2:obr:2:tot:"&amp;Settings!$B$10,$A$1726:$A$1827,0))</f>
        <v>0</v>
      </c>
      <c r="M1697">
        <f>Rebate_Industry!M217-INDEX(M$1726:M$1827,MATCH("v2:obr:2:tot:"&amp;Settings!$B$10,$A$1726:$A$1827,0))</f>
        <v>0</v>
      </c>
      <c r="N1697">
        <f>Rebate_Industry!N217-INDEX(N$1726:N$1827,MATCH("v2:obr:2:tot:"&amp;Settings!$B$10,$A$1726:$A$1827,0))</f>
        <v>0</v>
      </c>
      <c r="O1697">
        <f>Rebate_Industry!O217-INDEX(O$1726:O$1827,MATCH("v2:obr:2:tot:"&amp;Settings!$B$10,$A$1726:$A$1827,0))</f>
        <v>0</v>
      </c>
      <c r="P1697">
        <f>Rebate_Industry!P217-INDEX(P$1726:P$1827,MATCH("v2:obr:2:tot:"&amp;Settings!$B$10,$A$1726:$A$1827,0))</f>
        <v>0</v>
      </c>
      <c r="Q1697">
        <f>Rebate_Industry!Q217-INDEX(Q$1726:Q$1827,MATCH("v2:obr:2:tot:"&amp;Settings!$B$10,$A$1726:$A$1827,0))</f>
        <v>0</v>
      </c>
      <c r="R1697">
        <f>Rebate_Industry!R217-INDEX(R$1726:R$1827,MATCH("v2:obr:2:tot:"&amp;Settings!$B$10,$A$1726:$A$1827,0))</f>
        <v>0</v>
      </c>
      <c r="S1697">
        <f>Rebate_Industry!S217-INDEX(S$1726:S$1827,MATCH("v2:obr:2:tot:"&amp;Settings!$B$10,$A$1726:$A$1827,0))</f>
        <v>0</v>
      </c>
      <c r="T1697">
        <f>Rebate_Industry!T217-INDEX(T$1726:T$1827,MATCH("v2:obr:2:tot:"&amp;Settings!$B$10,$A$1726:$A$1827,0))</f>
        <v>0</v>
      </c>
      <c r="U1697">
        <f>Rebate_Industry!U217-INDEX(U$1726:U$1827,MATCH("v2:obr:2:tot:"&amp;Settings!$B$10,$A$1726:$A$1827,0))</f>
        <v>0</v>
      </c>
      <c r="V1697">
        <f>Rebate_Industry!V217-INDEX(V$1726:V$1827,MATCH("v2:obr:2:tot:"&amp;Settings!$B$10,$A$1726:$A$1827,0))</f>
        <v>0</v>
      </c>
      <c r="W1697">
        <f>Rebate_Industry!W217-INDEX(W$1726:W$1827,MATCH("v2:obr:2:tot:"&amp;Settings!$B$10,$A$1726:$A$1827,0))</f>
        <v>0</v>
      </c>
      <c r="X1697">
        <f>Rebate_Industry!X217-INDEX(X$1726:X$1827,MATCH("v2:obr:2:tot:"&amp;Settings!$B$10,$A$1726:$A$1827,0))</f>
        <v>0</v>
      </c>
      <c r="Y1697">
        <f>Rebate_Industry!Y217-INDEX(Y$1726:Y$1827,MATCH("v2:obr:2:tot:"&amp;Settings!$B$10,$A$1726:$A$1827,0))</f>
        <v>0</v>
      </c>
      <c r="Z1697">
        <f>Rebate_Industry!Z217-INDEX(Z$1726:Z$1827,MATCH("v2:obr:2:tot:"&amp;Settings!$B$10,$A$1726:$A$1827,0))</f>
        <v>0</v>
      </c>
      <c r="AA1697">
        <f>Rebate_Industry!AA217-INDEX(AA$1726:AA$1827,MATCH("v2:obr:2:tot:"&amp;Settings!$B$10,$A$1726:$A$1827,0))</f>
        <v>0</v>
      </c>
      <c r="AB1697">
        <f>Rebate_Industry!AB217-INDEX(AB$1726:AB$1827,MATCH("v2:obr:2:tot:"&amp;Settings!$B$10,$A$1726:$A$1827,0))</f>
        <v>0</v>
      </c>
      <c r="AC1697">
        <f>Rebate_Industry!AC217-INDEX(AC$1726:AC$1827,MATCH("v2:obr:2:tot:"&amp;Settings!$B$10,$A$1726:$A$1827,0))</f>
        <v>0</v>
      </c>
      <c r="AD1697">
        <f>Rebate_Industry!AD217-INDEX(AD$1726:AD$1827,MATCH("v2:obr:2:tot:"&amp;Settings!$B$10,$A$1726:$A$1827,0))</f>
        <v>0</v>
      </c>
      <c r="AE1697">
        <f>Rebate_Industry!AE217-INDEX(AE$1726:AE$1827,MATCH("v2:obr:2:tot:"&amp;Settings!$B$10,$A$1726:$A$1827,0))</f>
        <v>0</v>
      </c>
    </row>
    <row r="1698" spans="1:31" x14ac:dyDescent="0.45">
      <c r="A1698" t="s">
        <v>2923</v>
      </c>
      <c r="D1698">
        <v>2</v>
      </c>
      <c r="E1698" t="s">
        <v>1161</v>
      </c>
      <c r="F1698">
        <f t="shared" si="363"/>
        <v>0</v>
      </c>
      <c r="I1698">
        <v>0</v>
      </c>
      <c r="L1698">
        <f>IF(Scenarios!$J$27=0,Rebate_Industry!L278-INDEX(L$1726:L$1827,MATCH("v2:revnet:2:tot:"&amp;Settings!$B$10,$A$1726:$A$1827,0)),0)</f>
        <v>0</v>
      </c>
      <c r="M1698">
        <f>IF(Scenarios!$J$27=0,Rebate_Industry!M278-INDEX(M$1726:M$1827,MATCH("v2:revnet:2:tot:"&amp;Settings!$B$10,$A$1726:$A$1827,0)),0)</f>
        <v>0</v>
      </c>
      <c r="N1698">
        <f>IF(Scenarios!$J$27=0,Rebate_Industry!N278-INDEX(N$1726:N$1827,MATCH("v2:revnet:2:tot:"&amp;Settings!$B$10,$A$1726:$A$1827,0)),0)</f>
        <v>0</v>
      </c>
      <c r="O1698">
        <f>IF(Scenarios!$J$27=0,Rebate_Industry!O278-INDEX(O$1726:O$1827,MATCH("v2:revnet:2:tot:"&amp;Settings!$B$10,$A$1726:$A$1827,0)),0)</f>
        <v>0</v>
      </c>
      <c r="P1698">
        <f>IF(Scenarios!$J$27=0,Rebate_Industry!P278-INDEX(P$1726:P$1827,MATCH("v2:revnet:2:tot:"&amp;Settings!$B$10,$A$1726:$A$1827,0)),0)</f>
        <v>0</v>
      </c>
      <c r="Q1698">
        <f>IF(Scenarios!$J$27=0,Rebate_Industry!Q278-INDEX(Q$1726:Q$1827,MATCH("v2:revnet:2:tot:"&amp;Settings!$B$10,$A$1726:$A$1827,0)),0)</f>
        <v>0</v>
      </c>
      <c r="R1698">
        <f>IF(Scenarios!$J$27=0,Rebate_Industry!R278-INDEX(R$1726:R$1827,MATCH("v2:revnet:2:tot:"&amp;Settings!$B$10,$A$1726:$A$1827,0)),0)</f>
        <v>0</v>
      </c>
      <c r="S1698">
        <f>IF(Scenarios!$J$27=0,Rebate_Industry!S278-INDEX(S$1726:S$1827,MATCH("v2:revnet:2:tot:"&amp;Settings!$B$10,$A$1726:$A$1827,0)),0)</f>
        <v>0</v>
      </c>
      <c r="T1698">
        <f>IF(Scenarios!$J$27=0,Rebate_Industry!T278-INDEX(T$1726:T$1827,MATCH("v2:revnet:2:tot:"&amp;Settings!$B$10,$A$1726:$A$1827,0)),0)</f>
        <v>0</v>
      </c>
      <c r="U1698">
        <f>IF(Scenarios!$J$27=0,Rebate_Industry!U278-INDEX(U$1726:U$1827,MATCH("v2:revnet:2:tot:"&amp;Settings!$B$10,$A$1726:$A$1827,0)),0)</f>
        <v>0</v>
      </c>
      <c r="V1698">
        <f>IF(Scenarios!$J$27=0,Rebate_Industry!V278-INDEX(V$1726:V$1827,MATCH("v2:revnet:2:tot:"&amp;Settings!$B$10,$A$1726:$A$1827,0)),0)</f>
        <v>0</v>
      </c>
      <c r="W1698">
        <f>IF(Scenarios!$J$27=0,Rebate_Industry!W278-INDEX(W$1726:W$1827,MATCH("v2:revnet:2:tot:"&amp;Settings!$B$10,$A$1726:$A$1827,0)),0)</f>
        <v>0</v>
      </c>
      <c r="X1698">
        <f>IF(Scenarios!$J$27=0,Rebate_Industry!X278-INDEX(X$1726:X$1827,MATCH("v2:revnet:2:tot:"&amp;Settings!$B$10,$A$1726:$A$1827,0)),0)</f>
        <v>0</v>
      </c>
      <c r="Y1698">
        <f>IF(Scenarios!$J$27=0,Rebate_Industry!Y278-INDEX(Y$1726:Y$1827,MATCH("v2:revnet:2:tot:"&amp;Settings!$B$10,$A$1726:$A$1827,0)),0)</f>
        <v>0</v>
      </c>
      <c r="Z1698">
        <f>IF(Scenarios!$J$27=0,Rebate_Industry!Z278-INDEX(Z$1726:Z$1827,MATCH("v2:revnet:2:tot:"&amp;Settings!$B$10,$A$1726:$A$1827,0)),0)</f>
        <v>0</v>
      </c>
      <c r="AA1698">
        <f>IF(Scenarios!$J$27=0,Rebate_Industry!AA278-INDEX(AA$1726:AA$1827,MATCH("v2:revnet:2:tot:"&amp;Settings!$B$10,$A$1726:$A$1827,0)),0)</f>
        <v>0</v>
      </c>
      <c r="AB1698">
        <f>IF(Scenarios!$J$27=0,Rebate_Industry!AB278-INDEX(AB$1726:AB$1827,MATCH("v2:revnet:2:tot:"&amp;Settings!$B$10,$A$1726:$A$1827,0)),0)</f>
        <v>0</v>
      </c>
      <c r="AC1698">
        <f>IF(Scenarios!$J$27=0,Rebate_Industry!AC278-INDEX(AC$1726:AC$1827,MATCH("v2:revnet:2:tot:"&amp;Settings!$B$10,$A$1726:$A$1827,0)),0)</f>
        <v>0</v>
      </c>
      <c r="AD1698">
        <f>IF(Scenarios!$J$27=0,Rebate_Industry!AD278-INDEX(AD$1726:AD$1827,MATCH("v2:revnet:2:tot:"&amp;Settings!$B$10,$A$1726:$A$1827,0)),0)</f>
        <v>0</v>
      </c>
      <c r="AE1698">
        <f>IF(Scenarios!$J$27=0,Rebate_Industry!AE278-INDEX(AE$1726:AE$1827,MATCH("v2:revnet:2:tot:"&amp;Settings!$B$10,$A$1726:$A$1827,0)),0)</f>
        <v>0</v>
      </c>
    </row>
    <row r="1699" spans="1:31" x14ac:dyDescent="0.45">
      <c r="A1699" t="s">
        <v>2924</v>
      </c>
      <c r="D1699">
        <v>2</v>
      </c>
      <c r="E1699" t="s">
        <v>2167</v>
      </c>
      <c r="F1699">
        <f t="shared" ref="F1699:F1704" si="364">SUM(L1699:AE1699)</f>
        <v>0</v>
      </c>
      <c r="I1699">
        <v>0</v>
      </c>
      <c r="L1699">
        <f>(Fund_Industry!L397&lt;-0.000000001)+(Fund_Industry!L397&gt;Fund_Industry!$F$5+0.000000001)</f>
        <v>0</v>
      </c>
      <c r="M1699">
        <f>(Fund_Industry!M397&lt;-0.000000001)+(Fund_Industry!M397&gt;Fund_Industry!$F$5+0.000000001)</f>
        <v>0</v>
      </c>
      <c r="N1699">
        <f>(Fund_Industry!N397&lt;-0.000000001)+(Fund_Industry!N397&gt;Fund_Industry!$F$5+0.000000001)</f>
        <v>0</v>
      </c>
      <c r="O1699">
        <f>(Fund_Industry!O397&lt;-0.000000001)+(Fund_Industry!O397&gt;Fund_Industry!$F$5+0.000000001)</f>
        <v>0</v>
      </c>
      <c r="P1699">
        <f>(Fund_Industry!P397&lt;-0.000000001)+(Fund_Industry!P397&gt;Fund_Industry!$F$5+0.000000001)</f>
        <v>0</v>
      </c>
      <c r="Q1699">
        <f>(Fund_Industry!Q397&lt;-0.000000001)+(Fund_Industry!Q397&gt;Fund_Industry!$F$5+0.000000001)</f>
        <v>0</v>
      </c>
      <c r="R1699">
        <f>(Fund_Industry!R397&lt;-0.000000001)+(Fund_Industry!R397&gt;Fund_Industry!$F$5+0.000000001)</f>
        <v>0</v>
      </c>
      <c r="S1699">
        <f>(Fund_Industry!S397&lt;-0.000000001)+(Fund_Industry!S397&gt;Fund_Industry!$F$5+0.000000001)</f>
        <v>0</v>
      </c>
      <c r="T1699">
        <f>(Fund_Industry!T397&lt;-0.000000001)+(Fund_Industry!T397&gt;Fund_Industry!$F$5+0.000000001)</f>
        <v>0</v>
      </c>
      <c r="U1699">
        <f>(Fund_Industry!U397&lt;-0.000000001)+(Fund_Industry!U397&gt;Fund_Industry!$F$5+0.000000001)</f>
        <v>0</v>
      </c>
      <c r="V1699">
        <f>(Fund_Industry!V397&lt;-0.000000001)+(Fund_Industry!V397&gt;Fund_Industry!$F$5+0.000000001)</f>
        <v>0</v>
      </c>
      <c r="W1699">
        <f>(Fund_Industry!W397&lt;-0.000000001)+(Fund_Industry!W397&gt;Fund_Industry!$F$5+0.000000001)</f>
        <v>0</v>
      </c>
      <c r="X1699">
        <f>(Fund_Industry!X397&lt;-0.000000001)+(Fund_Industry!X397&gt;Fund_Industry!$F$5+0.000000001)</f>
        <v>0</v>
      </c>
      <c r="Y1699">
        <f>(Fund_Industry!Y397&lt;-0.000000001)+(Fund_Industry!Y397&gt;Fund_Industry!$F$5+0.000000001)</f>
        <v>0</v>
      </c>
      <c r="Z1699">
        <f>(Fund_Industry!Z397&lt;-0.000000001)+(Fund_Industry!Z397&gt;Fund_Industry!$F$5+0.000000001)</f>
        <v>0</v>
      </c>
      <c r="AA1699">
        <f>(Fund_Industry!AA397&lt;-0.000000001)+(Fund_Industry!AA397&gt;Fund_Industry!$F$5+0.000000001)</f>
        <v>0</v>
      </c>
      <c r="AB1699">
        <f>(Fund_Industry!AB397&lt;-0.000000001)+(Fund_Industry!AB397&gt;Fund_Industry!$F$5+0.000000001)</f>
        <v>0</v>
      </c>
      <c r="AC1699">
        <f>(Fund_Industry!AC397&lt;-0.000000001)+(Fund_Industry!AC397&gt;Fund_Industry!$F$5+0.000000001)</f>
        <v>0</v>
      </c>
      <c r="AD1699">
        <f>(Fund_Industry!AD397&lt;-0.000000001)+(Fund_Industry!AD397&gt;Fund_Industry!$F$5+0.000000001)</f>
        <v>0</v>
      </c>
      <c r="AE1699">
        <f>(Fund_Industry!AE397&lt;-0.000000001)+(Fund_Industry!AE397&gt;Fund_Industry!$F$5+0.000000001)</f>
        <v>0</v>
      </c>
    </row>
    <row r="1700" spans="1:31" x14ac:dyDescent="0.45">
      <c r="A1700" t="s">
        <v>2925</v>
      </c>
      <c r="D1700">
        <v>2</v>
      </c>
      <c r="E1700" t="s">
        <v>2167</v>
      </c>
      <c r="F1700">
        <f t="shared" si="364"/>
        <v>0</v>
      </c>
      <c r="I1700">
        <v>0</v>
      </c>
      <c r="L1700">
        <f>IF(Scenarios!$J$27=0,0,--(Mitigation_Industry!L462&gt;INDEX(L$1726:L$1827,MATCH("v2:ener:2:irn:"&amp;Settings!$B$10,$A$1726:$A$1827,0))+0.000000001))</f>
        <v>0</v>
      </c>
      <c r="M1700">
        <f>IF(Scenarios!$J$27=0,0,--(Mitigation_Industry!M462&gt;INDEX(M$1726:M$1827,MATCH("v2:ener:2:irn:"&amp;Settings!$B$10,$A$1726:$A$1827,0))+0.000000001))</f>
        <v>0</v>
      </c>
      <c r="N1700">
        <f>IF(Scenarios!$J$27=0,0,--(Mitigation_Industry!N462&gt;INDEX(N$1726:N$1827,MATCH("v2:ener:2:irn:"&amp;Settings!$B$10,$A$1726:$A$1827,0))+0.000000001))</f>
        <v>0</v>
      </c>
      <c r="O1700">
        <f>IF(Scenarios!$J$27=0,0,--(Mitigation_Industry!O462&gt;INDEX(O$1726:O$1827,MATCH("v2:ener:2:irn:"&amp;Settings!$B$10,$A$1726:$A$1827,0))+0.000000001))</f>
        <v>0</v>
      </c>
      <c r="P1700">
        <f>IF(Scenarios!$J$27=0,0,--(Mitigation_Industry!P462&gt;INDEX(P$1726:P$1827,MATCH("v2:ener:2:irn:"&amp;Settings!$B$10,$A$1726:$A$1827,0))+0.000000001))</f>
        <v>0</v>
      </c>
      <c r="Q1700">
        <f>IF(Scenarios!$J$27=0,0,--(Mitigation_Industry!Q462&gt;INDEX(Q$1726:Q$1827,MATCH("v2:ener:2:irn:"&amp;Settings!$B$10,$A$1726:$A$1827,0))+0.000000001))</f>
        <v>0</v>
      </c>
      <c r="R1700">
        <f>IF(Scenarios!$J$27=0,0,--(Mitigation_Industry!R462&gt;INDEX(R$1726:R$1827,MATCH("v2:ener:2:irn:"&amp;Settings!$B$10,$A$1726:$A$1827,0))+0.000000001))</f>
        <v>0</v>
      </c>
      <c r="S1700">
        <f>IF(Scenarios!$J$27=0,0,--(Mitigation_Industry!S462&gt;INDEX(S$1726:S$1827,MATCH("v2:ener:2:irn:"&amp;Settings!$B$10,$A$1726:$A$1827,0))+0.000000001))</f>
        <v>0</v>
      </c>
      <c r="T1700">
        <f>IF(Scenarios!$J$27=0,0,--(Mitigation_Industry!T462&gt;INDEX(T$1726:T$1827,MATCH("v2:ener:2:irn:"&amp;Settings!$B$10,$A$1726:$A$1827,0))+0.000000001))</f>
        <v>0</v>
      </c>
      <c r="U1700">
        <f>IF(Scenarios!$J$27=0,0,--(Mitigation_Industry!U462&gt;INDEX(U$1726:U$1827,MATCH("v2:ener:2:irn:"&amp;Settings!$B$10,$A$1726:$A$1827,0))+0.000000001))</f>
        <v>0</v>
      </c>
      <c r="V1700">
        <f>IF(Scenarios!$J$27=0,0,--(Mitigation_Industry!V462&gt;INDEX(V$1726:V$1827,MATCH("v2:ener:2:irn:"&amp;Settings!$B$10,$A$1726:$A$1827,0))+0.000000001))</f>
        <v>0</v>
      </c>
      <c r="W1700">
        <f>IF(Scenarios!$J$27=0,0,--(Mitigation_Industry!W462&gt;INDEX(W$1726:W$1827,MATCH("v2:ener:2:irn:"&amp;Settings!$B$10,$A$1726:$A$1827,0))+0.000000001))</f>
        <v>0</v>
      </c>
      <c r="X1700">
        <f>IF(Scenarios!$J$27=0,0,--(Mitigation_Industry!X462&gt;INDEX(X$1726:X$1827,MATCH("v2:ener:2:irn:"&amp;Settings!$B$10,$A$1726:$A$1827,0))+0.000000001))</f>
        <v>0</v>
      </c>
      <c r="Y1700">
        <f>IF(Scenarios!$J$27=0,0,--(Mitigation_Industry!Y462&gt;INDEX(Y$1726:Y$1827,MATCH("v2:ener:2:irn:"&amp;Settings!$B$10,$A$1726:$A$1827,0))+0.000000001))</f>
        <v>0</v>
      </c>
      <c r="Z1700">
        <f>IF(Scenarios!$J$27=0,0,--(Mitigation_Industry!Z462&gt;INDEX(Z$1726:Z$1827,MATCH("v2:ener:2:irn:"&amp;Settings!$B$10,$A$1726:$A$1827,0))+0.000000001))</f>
        <v>0</v>
      </c>
      <c r="AA1700">
        <f>IF(Scenarios!$J$27=0,0,--(Mitigation_Industry!AA462&gt;INDEX(AA$1726:AA$1827,MATCH("v2:ener:2:irn:"&amp;Settings!$B$10,$A$1726:$A$1827,0))+0.000000001))</f>
        <v>0</v>
      </c>
      <c r="AB1700">
        <f>IF(Scenarios!$J$27=0,0,--(Mitigation_Industry!AB462&gt;INDEX(AB$1726:AB$1827,MATCH("v2:ener:2:irn:"&amp;Settings!$B$10,$A$1726:$A$1827,0))+0.000000001))</f>
        <v>0</v>
      </c>
      <c r="AC1700">
        <f>IF(Scenarios!$J$27=0,0,--(Mitigation_Industry!AC462&gt;INDEX(AC$1726:AC$1827,MATCH("v2:ener:2:irn:"&amp;Settings!$B$10,$A$1726:$A$1827,0))+0.000000001))</f>
        <v>0</v>
      </c>
      <c r="AD1700">
        <f>IF(Scenarios!$J$27=0,0,--(Mitigation_Industry!AD462&gt;INDEX(AD$1726:AD$1827,MATCH("v2:ener:2:irn:"&amp;Settings!$B$10,$A$1726:$A$1827,0))+0.000000001))</f>
        <v>0</v>
      </c>
      <c r="AE1700">
        <f>IF(Scenarios!$J$27=0,0,--(Mitigation_Industry!AE462&gt;INDEX(AE$1726:AE$1827,MATCH("v2:ener:2:irn:"&amp;Settings!$B$10,$A$1726:$A$1827,0))+0.000000001))</f>
        <v>0</v>
      </c>
    </row>
    <row r="1701" spans="1:31" x14ac:dyDescent="0.45">
      <c r="A1701" t="s">
        <v>2926</v>
      </c>
      <c r="D1701">
        <v>2</v>
      </c>
      <c r="E1701" t="s">
        <v>2167</v>
      </c>
      <c r="F1701">
        <f t="shared" si="364"/>
        <v>0</v>
      </c>
      <c r="I1701">
        <v>0</v>
      </c>
      <c r="L1701">
        <f>IF(Scenarios!$J$27=0,0,--(Mitigation_Industry!L522&gt;INDEX(L$1726:L$1827,MATCH("v2:ener:2:cem:"&amp;Settings!$B$10,$A$1726:$A$1827,0))+0.000000001))</f>
        <v>0</v>
      </c>
      <c r="M1701">
        <f>IF(Scenarios!$J$27=0,0,--(Mitigation_Industry!M522&gt;INDEX(M$1726:M$1827,MATCH("v2:ener:2:cem:"&amp;Settings!$B$10,$A$1726:$A$1827,0))+0.000000001))</f>
        <v>0</v>
      </c>
      <c r="N1701">
        <f>IF(Scenarios!$J$27=0,0,--(Mitigation_Industry!N522&gt;INDEX(N$1726:N$1827,MATCH("v2:ener:2:cem:"&amp;Settings!$B$10,$A$1726:$A$1827,0))+0.000000001))</f>
        <v>0</v>
      </c>
      <c r="O1701">
        <f>IF(Scenarios!$J$27=0,0,--(Mitigation_Industry!O522&gt;INDEX(O$1726:O$1827,MATCH("v2:ener:2:cem:"&amp;Settings!$B$10,$A$1726:$A$1827,0))+0.000000001))</f>
        <v>0</v>
      </c>
      <c r="P1701">
        <f>IF(Scenarios!$J$27=0,0,--(Mitigation_Industry!P522&gt;INDEX(P$1726:P$1827,MATCH("v2:ener:2:cem:"&amp;Settings!$B$10,$A$1726:$A$1827,0))+0.000000001))</f>
        <v>0</v>
      </c>
      <c r="Q1701">
        <f>IF(Scenarios!$J$27=0,0,--(Mitigation_Industry!Q522&gt;INDEX(Q$1726:Q$1827,MATCH("v2:ener:2:cem:"&amp;Settings!$B$10,$A$1726:$A$1827,0))+0.000000001))</f>
        <v>0</v>
      </c>
      <c r="R1701">
        <f>IF(Scenarios!$J$27=0,0,--(Mitigation_Industry!R522&gt;INDEX(R$1726:R$1827,MATCH("v2:ener:2:cem:"&amp;Settings!$B$10,$A$1726:$A$1827,0))+0.000000001))</f>
        <v>0</v>
      </c>
      <c r="S1701">
        <f>IF(Scenarios!$J$27=0,0,--(Mitigation_Industry!S522&gt;INDEX(S$1726:S$1827,MATCH("v2:ener:2:cem:"&amp;Settings!$B$10,$A$1726:$A$1827,0))+0.000000001))</f>
        <v>0</v>
      </c>
      <c r="T1701">
        <f>IF(Scenarios!$J$27=0,0,--(Mitigation_Industry!T522&gt;INDEX(T$1726:T$1827,MATCH("v2:ener:2:cem:"&amp;Settings!$B$10,$A$1726:$A$1827,0))+0.000000001))</f>
        <v>0</v>
      </c>
      <c r="U1701">
        <f>IF(Scenarios!$J$27=0,0,--(Mitigation_Industry!U522&gt;INDEX(U$1726:U$1827,MATCH("v2:ener:2:cem:"&amp;Settings!$B$10,$A$1726:$A$1827,0))+0.000000001))</f>
        <v>0</v>
      </c>
      <c r="V1701">
        <f>IF(Scenarios!$J$27=0,0,--(Mitigation_Industry!V522&gt;INDEX(V$1726:V$1827,MATCH("v2:ener:2:cem:"&amp;Settings!$B$10,$A$1726:$A$1827,0))+0.000000001))</f>
        <v>0</v>
      </c>
      <c r="W1701">
        <f>IF(Scenarios!$J$27=0,0,--(Mitigation_Industry!W522&gt;INDEX(W$1726:W$1827,MATCH("v2:ener:2:cem:"&amp;Settings!$B$10,$A$1726:$A$1827,0))+0.000000001))</f>
        <v>0</v>
      </c>
      <c r="X1701">
        <f>IF(Scenarios!$J$27=0,0,--(Mitigation_Industry!X522&gt;INDEX(X$1726:X$1827,MATCH("v2:ener:2:cem:"&amp;Settings!$B$10,$A$1726:$A$1827,0))+0.000000001))</f>
        <v>0</v>
      </c>
      <c r="Y1701">
        <f>IF(Scenarios!$J$27=0,0,--(Mitigation_Industry!Y522&gt;INDEX(Y$1726:Y$1827,MATCH("v2:ener:2:cem:"&amp;Settings!$B$10,$A$1726:$A$1827,0))+0.000000001))</f>
        <v>0</v>
      </c>
      <c r="Z1701">
        <f>IF(Scenarios!$J$27=0,0,--(Mitigation_Industry!Z522&gt;INDEX(Z$1726:Z$1827,MATCH("v2:ener:2:cem:"&amp;Settings!$B$10,$A$1726:$A$1827,0))+0.000000001))</f>
        <v>0</v>
      </c>
      <c r="AA1701">
        <f>IF(Scenarios!$J$27=0,0,--(Mitigation_Industry!AA522&gt;INDEX(AA$1726:AA$1827,MATCH("v2:ener:2:cem:"&amp;Settings!$B$10,$A$1726:$A$1827,0))+0.000000001))</f>
        <v>0</v>
      </c>
      <c r="AB1701">
        <f>IF(Scenarios!$J$27=0,0,--(Mitigation_Industry!AB522&gt;INDEX(AB$1726:AB$1827,MATCH("v2:ener:2:cem:"&amp;Settings!$B$10,$A$1726:$A$1827,0))+0.000000001))</f>
        <v>0</v>
      </c>
      <c r="AC1701">
        <f>IF(Scenarios!$J$27=0,0,--(Mitigation_Industry!AC522&gt;INDEX(AC$1726:AC$1827,MATCH("v2:ener:2:cem:"&amp;Settings!$B$10,$A$1726:$A$1827,0))+0.000000001))</f>
        <v>0</v>
      </c>
      <c r="AD1701">
        <f>IF(Scenarios!$J$27=0,0,--(Mitigation_Industry!AD522&gt;INDEX(AD$1726:AD$1827,MATCH("v2:ener:2:cem:"&amp;Settings!$B$10,$A$1726:$A$1827,0))+0.000000001))</f>
        <v>0</v>
      </c>
      <c r="AE1701">
        <f>IF(Scenarios!$J$27=0,0,--(Mitigation_Industry!AE522&gt;INDEX(AE$1726:AE$1827,MATCH("v2:ener:2:cem:"&amp;Settings!$B$10,$A$1726:$A$1827,0))+0.000000001))</f>
        <v>0</v>
      </c>
    </row>
    <row r="1702" spans="1:31" x14ac:dyDescent="0.45">
      <c r="A1702" t="s">
        <v>2927</v>
      </c>
      <c r="D1702">
        <v>2</v>
      </c>
      <c r="E1702" t="s">
        <v>2167</v>
      </c>
      <c r="F1702">
        <f t="shared" si="364"/>
        <v>0</v>
      </c>
      <c r="I1702">
        <v>0</v>
      </c>
      <c r="L1702">
        <f>IF(Scenarios!$J$27=0,0,--(Mitigation_Industry!L582&gt;INDEX(L$1726:L$1827,MATCH("v2:ener:2:nfm:"&amp;Settings!$B$10,$A$1726:$A$1827,0))+0.000000001))</f>
        <v>0</v>
      </c>
      <c r="M1702">
        <f>IF(Scenarios!$J$27=0,0,--(Mitigation_Industry!M582&gt;INDEX(M$1726:M$1827,MATCH("v2:ener:2:nfm:"&amp;Settings!$B$10,$A$1726:$A$1827,0))+0.000000001))</f>
        <v>0</v>
      </c>
      <c r="N1702">
        <f>IF(Scenarios!$J$27=0,0,--(Mitigation_Industry!N582&gt;INDEX(N$1726:N$1827,MATCH("v2:ener:2:nfm:"&amp;Settings!$B$10,$A$1726:$A$1827,0))+0.000000001))</f>
        <v>0</v>
      </c>
      <c r="O1702">
        <f>IF(Scenarios!$J$27=0,0,--(Mitigation_Industry!O582&gt;INDEX(O$1726:O$1827,MATCH("v2:ener:2:nfm:"&amp;Settings!$B$10,$A$1726:$A$1827,0))+0.000000001))</f>
        <v>0</v>
      </c>
      <c r="P1702">
        <f>IF(Scenarios!$J$27=0,0,--(Mitigation_Industry!P582&gt;INDEX(P$1726:P$1827,MATCH("v2:ener:2:nfm:"&amp;Settings!$B$10,$A$1726:$A$1827,0))+0.000000001))</f>
        <v>0</v>
      </c>
      <c r="Q1702">
        <f>IF(Scenarios!$J$27=0,0,--(Mitigation_Industry!Q582&gt;INDEX(Q$1726:Q$1827,MATCH("v2:ener:2:nfm:"&amp;Settings!$B$10,$A$1726:$A$1827,0))+0.000000001))</f>
        <v>0</v>
      </c>
      <c r="R1702">
        <f>IF(Scenarios!$J$27=0,0,--(Mitigation_Industry!R582&gt;INDEX(R$1726:R$1827,MATCH("v2:ener:2:nfm:"&amp;Settings!$B$10,$A$1726:$A$1827,0))+0.000000001))</f>
        <v>0</v>
      </c>
      <c r="S1702">
        <f>IF(Scenarios!$J$27=0,0,--(Mitigation_Industry!S582&gt;INDEX(S$1726:S$1827,MATCH("v2:ener:2:nfm:"&amp;Settings!$B$10,$A$1726:$A$1827,0))+0.000000001))</f>
        <v>0</v>
      </c>
      <c r="T1702">
        <f>IF(Scenarios!$J$27=0,0,--(Mitigation_Industry!T582&gt;INDEX(T$1726:T$1827,MATCH("v2:ener:2:nfm:"&amp;Settings!$B$10,$A$1726:$A$1827,0))+0.000000001))</f>
        <v>0</v>
      </c>
      <c r="U1702">
        <f>IF(Scenarios!$J$27=0,0,--(Mitigation_Industry!U582&gt;INDEX(U$1726:U$1827,MATCH("v2:ener:2:nfm:"&amp;Settings!$B$10,$A$1726:$A$1827,0))+0.000000001))</f>
        <v>0</v>
      </c>
      <c r="V1702">
        <f>IF(Scenarios!$J$27=0,0,--(Mitigation_Industry!V582&gt;INDEX(V$1726:V$1827,MATCH("v2:ener:2:nfm:"&amp;Settings!$B$10,$A$1726:$A$1827,0))+0.000000001))</f>
        <v>0</v>
      </c>
      <c r="W1702">
        <f>IF(Scenarios!$J$27=0,0,--(Mitigation_Industry!W582&gt;INDEX(W$1726:W$1827,MATCH("v2:ener:2:nfm:"&amp;Settings!$B$10,$A$1726:$A$1827,0))+0.000000001))</f>
        <v>0</v>
      </c>
      <c r="X1702">
        <f>IF(Scenarios!$J$27=0,0,--(Mitigation_Industry!X582&gt;INDEX(X$1726:X$1827,MATCH("v2:ener:2:nfm:"&amp;Settings!$B$10,$A$1726:$A$1827,0))+0.000000001))</f>
        <v>0</v>
      </c>
      <c r="Y1702">
        <f>IF(Scenarios!$J$27=0,0,--(Mitigation_Industry!Y582&gt;INDEX(Y$1726:Y$1827,MATCH("v2:ener:2:nfm:"&amp;Settings!$B$10,$A$1726:$A$1827,0))+0.000000001))</f>
        <v>0</v>
      </c>
      <c r="Z1702">
        <f>IF(Scenarios!$J$27=0,0,--(Mitigation_Industry!Z582&gt;INDEX(Z$1726:Z$1827,MATCH("v2:ener:2:nfm:"&amp;Settings!$B$10,$A$1726:$A$1827,0))+0.000000001))</f>
        <v>0</v>
      </c>
      <c r="AA1702">
        <f>IF(Scenarios!$J$27=0,0,--(Mitigation_Industry!AA582&gt;INDEX(AA$1726:AA$1827,MATCH("v2:ener:2:nfm:"&amp;Settings!$B$10,$A$1726:$A$1827,0))+0.000000001))</f>
        <v>0</v>
      </c>
      <c r="AB1702">
        <f>IF(Scenarios!$J$27=0,0,--(Mitigation_Industry!AB582&gt;INDEX(AB$1726:AB$1827,MATCH("v2:ener:2:nfm:"&amp;Settings!$B$10,$A$1726:$A$1827,0))+0.000000001))</f>
        <v>0</v>
      </c>
      <c r="AC1702">
        <f>IF(Scenarios!$J$27=0,0,--(Mitigation_Industry!AC582&gt;INDEX(AC$1726:AC$1827,MATCH("v2:ener:2:nfm:"&amp;Settings!$B$10,$A$1726:$A$1827,0))+0.000000001))</f>
        <v>0</v>
      </c>
      <c r="AD1702">
        <f>IF(Scenarios!$J$27=0,0,--(Mitigation_Industry!AD582&gt;INDEX(AD$1726:AD$1827,MATCH("v2:ener:2:nfm:"&amp;Settings!$B$10,$A$1726:$A$1827,0))+0.000000001))</f>
        <v>0</v>
      </c>
      <c r="AE1702">
        <f>IF(Scenarios!$J$27=0,0,--(Mitigation_Industry!AE582&gt;INDEX(AE$1726:AE$1827,MATCH("v2:ener:2:nfm:"&amp;Settings!$B$10,$A$1726:$A$1827,0))+0.000000001))</f>
        <v>0</v>
      </c>
    </row>
    <row r="1703" spans="1:31" x14ac:dyDescent="0.45">
      <c r="A1703" t="s">
        <v>2928</v>
      </c>
      <c r="D1703">
        <v>2</v>
      </c>
      <c r="E1703" t="s">
        <v>2167</v>
      </c>
      <c r="F1703">
        <f t="shared" si="364"/>
        <v>0</v>
      </c>
      <c r="I1703">
        <v>0</v>
      </c>
      <c r="L1703">
        <f>IF(Scenarios!$J$27=0,0,--(Mitigation_Industry!L642&gt;INDEX(L$1726:L$1827,MATCH("v2:ener:2:mch:"&amp;Settings!$B$10,$A$1726:$A$1827,0))+0.000000001))</f>
        <v>0</v>
      </c>
      <c r="M1703">
        <f>IF(Scenarios!$J$27=0,0,--(Mitigation_Industry!M642&gt;INDEX(M$1726:M$1827,MATCH("v2:ener:2:mch:"&amp;Settings!$B$10,$A$1726:$A$1827,0))+0.000000001))</f>
        <v>0</v>
      </c>
      <c r="N1703">
        <f>IF(Scenarios!$J$27=0,0,--(Mitigation_Industry!N642&gt;INDEX(N$1726:N$1827,MATCH("v2:ener:2:mch:"&amp;Settings!$B$10,$A$1726:$A$1827,0))+0.000000001))</f>
        <v>0</v>
      </c>
      <c r="O1703">
        <f>IF(Scenarios!$J$27=0,0,--(Mitigation_Industry!O642&gt;INDEX(O$1726:O$1827,MATCH("v2:ener:2:mch:"&amp;Settings!$B$10,$A$1726:$A$1827,0))+0.000000001))</f>
        <v>0</v>
      </c>
      <c r="P1703">
        <f>IF(Scenarios!$J$27=0,0,--(Mitigation_Industry!P642&gt;INDEX(P$1726:P$1827,MATCH("v2:ener:2:mch:"&amp;Settings!$B$10,$A$1726:$A$1827,0))+0.000000001))</f>
        <v>0</v>
      </c>
      <c r="Q1703">
        <f>IF(Scenarios!$J$27=0,0,--(Mitigation_Industry!Q642&gt;INDEX(Q$1726:Q$1827,MATCH("v2:ener:2:mch:"&amp;Settings!$B$10,$A$1726:$A$1827,0))+0.000000001))</f>
        <v>0</v>
      </c>
      <c r="R1703">
        <f>IF(Scenarios!$J$27=0,0,--(Mitigation_Industry!R642&gt;INDEX(R$1726:R$1827,MATCH("v2:ener:2:mch:"&amp;Settings!$B$10,$A$1726:$A$1827,0))+0.000000001))</f>
        <v>0</v>
      </c>
      <c r="S1703">
        <f>IF(Scenarios!$J$27=0,0,--(Mitigation_Industry!S642&gt;INDEX(S$1726:S$1827,MATCH("v2:ener:2:mch:"&amp;Settings!$B$10,$A$1726:$A$1827,0))+0.000000001))</f>
        <v>0</v>
      </c>
      <c r="T1703">
        <f>IF(Scenarios!$J$27=0,0,--(Mitigation_Industry!T642&gt;INDEX(T$1726:T$1827,MATCH("v2:ener:2:mch:"&amp;Settings!$B$10,$A$1726:$A$1827,0))+0.000000001))</f>
        <v>0</v>
      </c>
      <c r="U1703">
        <f>IF(Scenarios!$J$27=0,0,--(Mitigation_Industry!U642&gt;INDEX(U$1726:U$1827,MATCH("v2:ener:2:mch:"&amp;Settings!$B$10,$A$1726:$A$1827,0))+0.000000001))</f>
        <v>0</v>
      </c>
      <c r="V1703">
        <f>IF(Scenarios!$J$27=0,0,--(Mitigation_Industry!V642&gt;INDEX(V$1726:V$1827,MATCH("v2:ener:2:mch:"&amp;Settings!$B$10,$A$1726:$A$1827,0))+0.000000001))</f>
        <v>0</v>
      </c>
      <c r="W1703">
        <f>IF(Scenarios!$J$27=0,0,--(Mitigation_Industry!W642&gt;INDEX(W$1726:W$1827,MATCH("v2:ener:2:mch:"&amp;Settings!$B$10,$A$1726:$A$1827,0))+0.000000001))</f>
        <v>0</v>
      </c>
      <c r="X1703">
        <f>IF(Scenarios!$J$27=0,0,--(Mitigation_Industry!X642&gt;INDEX(X$1726:X$1827,MATCH("v2:ener:2:mch:"&amp;Settings!$B$10,$A$1726:$A$1827,0))+0.000000001))</f>
        <v>0</v>
      </c>
      <c r="Y1703">
        <f>IF(Scenarios!$J$27=0,0,--(Mitigation_Industry!Y642&gt;INDEX(Y$1726:Y$1827,MATCH("v2:ener:2:mch:"&amp;Settings!$B$10,$A$1726:$A$1827,0))+0.000000001))</f>
        <v>0</v>
      </c>
      <c r="Z1703">
        <f>IF(Scenarios!$J$27=0,0,--(Mitigation_Industry!Z642&gt;INDEX(Z$1726:Z$1827,MATCH("v2:ener:2:mch:"&amp;Settings!$B$10,$A$1726:$A$1827,0))+0.000000001))</f>
        <v>0</v>
      </c>
      <c r="AA1703">
        <f>IF(Scenarios!$J$27=0,0,--(Mitigation_Industry!AA642&gt;INDEX(AA$1726:AA$1827,MATCH("v2:ener:2:mch:"&amp;Settings!$B$10,$A$1726:$A$1827,0))+0.000000001))</f>
        <v>0</v>
      </c>
      <c r="AB1703">
        <f>IF(Scenarios!$J$27=0,0,--(Mitigation_Industry!AB642&gt;INDEX(AB$1726:AB$1827,MATCH("v2:ener:2:mch:"&amp;Settings!$B$10,$A$1726:$A$1827,0))+0.000000001))</f>
        <v>0</v>
      </c>
      <c r="AC1703">
        <f>IF(Scenarios!$J$27=0,0,--(Mitigation_Industry!AC642&gt;INDEX(AC$1726:AC$1827,MATCH("v2:ener:2:mch:"&amp;Settings!$B$10,$A$1726:$A$1827,0))+0.000000001))</f>
        <v>0</v>
      </c>
      <c r="AD1703">
        <f>IF(Scenarios!$J$27=0,0,--(Mitigation_Industry!AD642&gt;INDEX(AD$1726:AD$1827,MATCH("v2:ener:2:mch:"&amp;Settings!$B$10,$A$1726:$A$1827,0))+0.000000001))</f>
        <v>0</v>
      </c>
      <c r="AE1703">
        <f>IF(Scenarios!$J$27=0,0,--(Mitigation_Industry!AE642&gt;INDEX(AE$1726:AE$1827,MATCH("v2:ener:2:mch:"&amp;Settings!$B$10,$A$1726:$A$1827,0))+0.000000001))</f>
        <v>0</v>
      </c>
    </row>
    <row r="1704" spans="1:31" x14ac:dyDescent="0.45">
      <c r="A1704" t="s">
        <v>2929</v>
      </c>
      <c r="D1704">
        <v>2</v>
      </c>
      <c r="E1704" t="s">
        <v>2167</v>
      </c>
      <c r="F1704">
        <f t="shared" si="364"/>
        <v>0</v>
      </c>
      <c r="I1704">
        <v>0</v>
      </c>
      <c r="L1704">
        <f>IF(Scenarios!$J$27=0,0,--(Mitigation_Industry!L779&gt;INDEX(L$1726:L$1827,MATCH("v2:emis:2:tot:"&amp;Settings!$B$10,$A$1726:$A$1827,0))+0.000000001))</f>
        <v>0</v>
      </c>
      <c r="M1704">
        <f>IF(Scenarios!$J$27=0,0,--(Mitigation_Industry!M779&gt;INDEX(M$1726:M$1827,MATCH("v2:emis:2:tot:"&amp;Settings!$B$10,$A$1726:$A$1827,0))+0.000000001))</f>
        <v>0</v>
      </c>
      <c r="N1704">
        <f>IF(Scenarios!$J$27=0,0,--(Mitigation_Industry!N779&gt;INDEX(N$1726:N$1827,MATCH("v2:emis:2:tot:"&amp;Settings!$B$10,$A$1726:$A$1827,0))+0.000000001))</f>
        <v>0</v>
      </c>
      <c r="O1704">
        <f>IF(Scenarios!$J$27=0,0,--(Mitigation_Industry!O779&gt;INDEX(O$1726:O$1827,MATCH("v2:emis:2:tot:"&amp;Settings!$B$10,$A$1726:$A$1827,0))+0.000000001))</f>
        <v>0</v>
      </c>
      <c r="P1704">
        <f>IF(Scenarios!$J$27=0,0,--(Mitigation_Industry!P779&gt;INDEX(P$1726:P$1827,MATCH("v2:emis:2:tot:"&amp;Settings!$B$10,$A$1726:$A$1827,0))+0.000000001))</f>
        <v>0</v>
      </c>
      <c r="Q1704">
        <f>IF(Scenarios!$J$27=0,0,--(Mitigation_Industry!Q779&gt;INDEX(Q$1726:Q$1827,MATCH("v2:emis:2:tot:"&amp;Settings!$B$10,$A$1726:$A$1827,0))+0.000000001))</f>
        <v>0</v>
      </c>
      <c r="R1704">
        <f>IF(Scenarios!$J$27=0,0,--(Mitigation_Industry!R779&gt;INDEX(R$1726:R$1827,MATCH("v2:emis:2:tot:"&amp;Settings!$B$10,$A$1726:$A$1827,0))+0.000000001))</f>
        <v>0</v>
      </c>
      <c r="S1704">
        <f>IF(Scenarios!$J$27=0,0,--(Mitigation_Industry!S779&gt;INDEX(S$1726:S$1827,MATCH("v2:emis:2:tot:"&amp;Settings!$B$10,$A$1726:$A$1827,0))+0.000000001))</f>
        <v>0</v>
      </c>
      <c r="T1704">
        <f>IF(Scenarios!$J$27=0,0,--(Mitigation_Industry!T779&gt;INDEX(T$1726:T$1827,MATCH("v2:emis:2:tot:"&amp;Settings!$B$10,$A$1726:$A$1827,0))+0.000000001))</f>
        <v>0</v>
      </c>
      <c r="U1704">
        <f>IF(Scenarios!$J$27=0,0,--(Mitigation_Industry!U779&gt;INDEX(U$1726:U$1827,MATCH("v2:emis:2:tot:"&amp;Settings!$B$10,$A$1726:$A$1827,0))+0.000000001))</f>
        <v>0</v>
      </c>
      <c r="V1704">
        <f>IF(Scenarios!$J$27=0,0,--(Mitigation_Industry!V779&gt;INDEX(V$1726:V$1827,MATCH("v2:emis:2:tot:"&amp;Settings!$B$10,$A$1726:$A$1827,0))+0.000000001))</f>
        <v>0</v>
      </c>
      <c r="W1704">
        <f>IF(Scenarios!$J$27=0,0,--(Mitigation_Industry!W779&gt;INDEX(W$1726:W$1827,MATCH("v2:emis:2:tot:"&amp;Settings!$B$10,$A$1726:$A$1827,0))+0.000000001))</f>
        <v>0</v>
      </c>
      <c r="X1704">
        <f>IF(Scenarios!$J$27=0,0,--(Mitigation_Industry!X779&gt;INDEX(X$1726:X$1827,MATCH("v2:emis:2:tot:"&amp;Settings!$B$10,$A$1726:$A$1827,0))+0.000000001))</f>
        <v>0</v>
      </c>
      <c r="Y1704">
        <f>IF(Scenarios!$J$27=0,0,--(Mitigation_Industry!Y779&gt;INDEX(Y$1726:Y$1827,MATCH("v2:emis:2:tot:"&amp;Settings!$B$10,$A$1726:$A$1827,0))+0.000000001))</f>
        <v>0</v>
      </c>
      <c r="Z1704">
        <f>IF(Scenarios!$J$27=0,0,--(Mitigation_Industry!Z779&gt;INDEX(Z$1726:Z$1827,MATCH("v2:emis:2:tot:"&amp;Settings!$B$10,$A$1726:$A$1827,0))+0.000000001))</f>
        <v>0</v>
      </c>
      <c r="AA1704">
        <f>IF(Scenarios!$J$27=0,0,--(Mitigation_Industry!AA779&gt;INDEX(AA$1726:AA$1827,MATCH("v2:emis:2:tot:"&amp;Settings!$B$10,$A$1726:$A$1827,0))+0.000000001))</f>
        <v>0</v>
      </c>
      <c r="AB1704">
        <f>IF(Scenarios!$J$27=0,0,--(Mitigation_Industry!AB779&gt;INDEX(AB$1726:AB$1827,MATCH("v2:emis:2:tot:"&amp;Settings!$B$10,$A$1726:$A$1827,0))+0.000000001))</f>
        <v>0</v>
      </c>
      <c r="AC1704">
        <f>IF(Scenarios!$J$27=0,0,--(Mitigation_Industry!AC779&gt;INDEX(AC$1726:AC$1827,MATCH("v2:emis:2:tot:"&amp;Settings!$B$10,$A$1726:$A$1827,0))+0.000000001))</f>
        <v>0</v>
      </c>
      <c r="AD1704">
        <f>IF(Scenarios!$J$27=0,0,--(Mitigation_Industry!AD779&gt;INDEX(AD$1726:AD$1827,MATCH("v2:emis:2:tot:"&amp;Settings!$B$10,$A$1726:$A$1827,0))+0.000000001))</f>
        <v>0</v>
      </c>
      <c r="AE1704">
        <f>IF(Scenarios!$J$27=0,0,--(Mitigation_Industry!AE779&gt;INDEX(AE$1726:AE$1827,MATCH("v2:emis:2:tot:"&amp;Settings!$B$10,$A$1726:$A$1827,0))+0.000000001))</f>
        <v>0</v>
      </c>
    </row>
    <row r="1705" spans="1:31" x14ac:dyDescent="0.45">
      <c r="A1705" t="s">
        <v>2930</v>
      </c>
      <c r="D1705">
        <v>2</v>
      </c>
      <c r="E1705" t="s">
        <v>2450</v>
      </c>
      <c r="F1705" s="133">
        <f t="shared" ref="F1705:F1721" si="365">MAX(MAX(L1705:AE1705),-MIN(L1705:AE1705))</f>
        <v>0</v>
      </c>
      <c r="L1705" s="133">
        <f>Fund_Industry!L329</f>
        <v>0</v>
      </c>
      <c r="M1705" s="133">
        <f>Fund_Industry!M329</f>
        <v>0</v>
      </c>
      <c r="N1705" s="133">
        <f>Fund_Industry!N329</f>
        <v>0</v>
      </c>
      <c r="O1705" s="133">
        <f>Fund_Industry!O329</f>
        <v>0</v>
      </c>
      <c r="P1705" s="133">
        <f>Fund_Industry!P329</f>
        <v>0</v>
      </c>
      <c r="Q1705" s="133">
        <f>Fund_Industry!Q329</f>
        <v>0</v>
      </c>
      <c r="R1705" s="133">
        <f>Fund_Industry!R329</f>
        <v>0</v>
      </c>
      <c r="S1705" s="133">
        <f>Fund_Industry!S329</f>
        <v>0</v>
      </c>
      <c r="T1705" s="133">
        <f>Fund_Industry!T329</f>
        <v>0</v>
      </c>
      <c r="U1705" s="133">
        <f>Fund_Industry!U329</f>
        <v>0</v>
      </c>
      <c r="V1705" s="133">
        <f>Fund_Industry!V329</f>
        <v>0</v>
      </c>
      <c r="W1705" s="133">
        <f>Fund_Industry!W329</f>
        <v>0</v>
      </c>
      <c r="X1705" s="133">
        <f>Fund_Industry!X329</f>
        <v>0</v>
      </c>
      <c r="Y1705" s="133">
        <f>Fund_Industry!Y329</f>
        <v>0</v>
      </c>
      <c r="Z1705" s="133">
        <f>Fund_Industry!Z329</f>
        <v>0</v>
      </c>
      <c r="AA1705" s="133">
        <f>Fund_Industry!AA329</f>
        <v>0</v>
      </c>
      <c r="AB1705" s="133">
        <f>Fund_Industry!AB329</f>
        <v>0</v>
      </c>
      <c r="AC1705" s="133">
        <f>Fund_Industry!AC329</f>
        <v>0</v>
      </c>
      <c r="AD1705" s="133">
        <f>Fund_Industry!AD329</f>
        <v>0</v>
      </c>
      <c r="AE1705" s="133">
        <f>Fund_Industry!AE329</f>
        <v>0</v>
      </c>
    </row>
    <row r="1706" spans="1:31" x14ac:dyDescent="0.45">
      <c r="A1706" t="s">
        <v>2931</v>
      </c>
      <c r="D1706">
        <v>2</v>
      </c>
      <c r="E1706" t="s">
        <v>2450</v>
      </c>
      <c r="F1706">
        <f t="shared" si="365"/>
        <v>0</v>
      </c>
      <c r="L1706">
        <f>Fund_Industry!L397</f>
        <v>0</v>
      </c>
      <c r="M1706">
        <f>Fund_Industry!M397</f>
        <v>0</v>
      </c>
      <c r="N1706">
        <f>Fund_Industry!N397</f>
        <v>0</v>
      </c>
      <c r="O1706">
        <f>Fund_Industry!O397</f>
        <v>0</v>
      </c>
      <c r="P1706">
        <f>Fund_Industry!P397</f>
        <v>0</v>
      </c>
      <c r="Q1706">
        <f>Fund_Industry!Q397</f>
        <v>0</v>
      </c>
      <c r="R1706">
        <f>Fund_Industry!R397</f>
        <v>0</v>
      </c>
      <c r="S1706">
        <f>Fund_Industry!S397</f>
        <v>0</v>
      </c>
      <c r="T1706">
        <f>Fund_Industry!T397</f>
        <v>0</v>
      </c>
      <c r="U1706">
        <f>Fund_Industry!U397</f>
        <v>0</v>
      </c>
      <c r="V1706">
        <f>Fund_Industry!V397</f>
        <v>0</v>
      </c>
      <c r="W1706">
        <f>Fund_Industry!W397</f>
        <v>0</v>
      </c>
      <c r="X1706">
        <f>Fund_Industry!X397</f>
        <v>0</v>
      </c>
      <c r="Y1706">
        <f>Fund_Industry!Y397</f>
        <v>0</v>
      </c>
      <c r="Z1706">
        <f>Fund_Industry!Z397</f>
        <v>0</v>
      </c>
      <c r="AA1706">
        <f>Fund_Industry!AA397</f>
        <v>0</v>
      </c>
      <c r="AB1706">
        <f>Fund_Industry!AB397</f>
        <v>0</v>
      </c>
      <c r="AC1706">
        <f>Fund_Industry!AC397</f>
        <v>0</v>
      </c>
      <c r="AD1706">
        <f>Fund_Industry!AD397</f>
        <v>0</v>
      </c>
      <c r="AE1706">
        <f>Fund_Industry!AE397</f>
        <v>0</v>
      </c>
    </row>
    <row r="1707" spans="1:31" x14ac:dyDescent="0.45">
      <c r="A1707" t="s">
        <v>2932</v>
      </c>
      <c r="D1707">
        <v>2</v>
      </c>
      <c r="E1707" t="s">
        <v>2450</v>
      </c>
      <c r="F1707">
        <f t="shared" si="365"/>
        <v>0</v>
      </c>
      <c r="L1707">
        <f>Fund_Industry!L398</f>
        <v>0</v>
      </c>
      <c r="M1707">
        <f>Fund_Industry!M398</f>
        <v>0</v>
      </c>
      <c r="N1707">
        <f>Fund_Industry!N398</f>
        <v>0</v>
      </c>
      <c r="O1707">
        <f>Fund_Industry!O398</f>
        <v>0</v>
      </c>
      <c r="P1707">
        <f>Fund_Industry!P398</f>
        <v>0</v>
      </c>
      <c r="Q1707">
        <f>Fund_Industry!Q398</f>
        <v>0</v>
      </c>
      <c r="R1707">
        <f>Fund_Industry!R398</f>
        <v>0</v>
      </c>
      <c r="S1707">
        <f>Fund_Industry!S398</f>
        <v>0</v>
      </c>
      <c r="T1707">
        <f>Fund_Industry!T398</f>
        <v>0</v>
      </c>
      <c r="U1707">
        <f>Fund_Industry!U398</f>
        <v>0</v>
      </c>
      <c r="V1707">
        <f>Fund_Industry!V398</f>
        <v>0</v>
      </c>
      <c r="W1707">
        <f>Fund_Industry!W398</f>
        <v>0</v>
      </c>
      <c r="X1707">
        <f>Fund_Industry!X398</f>
        <v>0</v>
      </c>
      <c r="Y1707">
        <f>Fund_Industry!Y398</f>
        <v>0</v>
      </c>
      <c r="Z1707">
        <f>Fund_Industry!Z398</f>
        <v>0</v>
      </c>
      <c r="AA1707">
        <f>Fund_Industry!AA398</f>
        <v>0</v>
      </c>
      <c r="AB1707">
        <f>Fund_Industry!AB398</f>
        <v>0</v>
      </c>
      <c r="AC1707">
        <f>Fund_Industry!AC398</f>
        <v>0</v>
      </c>
      <c r="AD1707">
        <f>Fund_Industry!AD398</f>
        <v>0</v>
      </c>
      <c r="AE1707">
        <f>Fund_Industry!AE398</f>
        <v>0</v>
      </c>
    </row>
    <row r="1708" spans="1:31" x14ac:dyDescent="0.45">
      <c r="A1708" t="s">
        <v>2933</v>
      </c>
      <c r="D1708">
        <v>2</v>
      </c>
      <c r="E1708" t="s">
        <v>2450</v>
      </c>
      <c r="F1708">
        <f t="shared" si="365"/>
        <v>0</v>
      </c>
      <c r="L1708">
        <f>Fund_Industry!L399</f>
        <v>0</v>
      </c>
      <c r="M1708">
        <f>Fund_Industry!M399</f>
        <v>0</v>
      </c>
      <c r="N1708">
        <f>Fund_Industry!N399</f>
        <v>0</v>
      </c>
      <c r="O1708">
        <f>Fund_Industry!O399</f>
        <v>0</v>
      </c>
      <c r="P1708">
        <f>Fund_Industry!P399</f>
        <v>0</v>
      </c>
      <c r="Q1708">
        <f>Fund_Industry!Q399</f>
        <v>0</v>
      </c>
      <c r="R1708">
        <f>Fund_Industry!R399</f>
        <v>0</v>
      </c>
      <c r="S1708">
        <f>Fund_Industry!S399</f>
        <v>0</v>
      </c>
      <c r="T1708">
        <f>Fund_Industry!T399</f>
        <v>0</v>
      </c>
      <c r="U1708">
        <f>Fund_Industry!U399</f>
        <v>0</v>
      </c>
      <c r="V1708">
        <f>Fund_Industry!V399</f>
        <v>0</v>
      </c>
      <c r="W1708">
        <f>Fund_Industry!W399</f>
        <v>0</v>
      </c>
      <c r="X1708">
        <f>Fund_Industry!X399</f>
        <v>0</v>
      </c>
      <c r="Y1708">
        <f>Fund_Industry!Y399</f>
        <v>0</v>
      </c>
      <c r="Z1708">
        <f>Fund_Industry!Z399</f>
        <v>0</v>
      </c>
      <c r="AA1708">
        <f>Fund_Industry!AA399</f>
        <v>0</v>
      </c>
      <c r="AB1708">
        <f>Fund_Industry!AB399</f>
        <v>0</v>
      </c>
      <c r="AC1708">
        <f>Fund_Industry!AC399</f>
        <v>0</v>
      </c>
      <c r="AD1708">
        <f>Fund_Industry!AD399</f>
        <v>0</v>
      </c>
      <c r="AE1708">
        <f>Fund_Industry!AE399</f>
        <v>0</v>
      </c>
    </row>
    <row r="1709" spans="1:31" x14ac:dyDescent="0.45">
      <c r="A1709" t="s">
        <v>2934</v>
      </c>
      <c r="D1709">
        <v>2</v>
      </c>
      <c r="E1709" t="s">
        <v>2450</v>
      </c>
      <c r="F1709">
        <f t="shared" si="365"/>
        <v>0</v>
      </c>
      <c r="L1709">
        <f>Fund_Industry!L400</f>
        <v>0</v>
      </c>
      <c r="M1709">
        <f>Fund_Industry!M400</f>
        <v>0</v>
      </c>
      <c r="N1709">
        <f>Fund_Industry!N400</f>
        <v>0</v>
      </c>
      <c r="O1709">
        <f>Fund_Industry!O400</f>
        <v>0</v>
      </c>
      <c r="P1709">
        <f>Fund_Industry!P400</f>
        <v>0</v>
      </c>
      <c r="Q1709">
        <f>Fund_Industry!Q400</f>
        <v>0</v>
      </c>
      <c r="R1709">
        <f>Fund_Industry!R400</f>
        <v>0</v>
      </c>
      <c r="S1709">
        <f>Fund_Industry!S400</f>
        <v>0</v>
      </c>
      <c r="T1709">
        <f>Fund_Industry!T400</f>
        <v>0</v>
      </c>
      <c r="U1709">
        <f>Fund_Industry!U400</f>
        <v>0</v>
      </c>
      <c r="V1709">
        <f>Fund_Industry!V400</f>
        <v>0</v>
      </c>
      <c r="W1709">
        <f>Fund_Industry!W400</f>
        <v>0</v>
      </c>
      <c r="X1709">
        <f>Fund_Industry!X400</f>
        <v>0</v>
      </c>
      <c r="Y1709">
        <f>Fund_Industry!Y400</f>
        <v>0</v>
      </c>
      <c r="Z1709">
        <f>Fund_Industry!Z400</f>
        <v>0</v>
      </c>
      <c r="AA1709">
        <f>Fund_Industry!AA400</f>
        <v>0</v>
      </c>
      <c r="AB1709">
        <f>Fund_Industry!AB400</f>
        <v>0</v>
      </c>
      <c r="AC1709">
        <f>Fund_Industry!AC400</f>
        <v>0</v>
      </c>
      <c r="AD1709">
        <f>Fund_Industry!AD400</f>
        <v>0</v>
      </c>
      <c r="AE1709">
        <f>Fund_Industry!AE400</f>
        <v>0</v>
      </c>
    </row>
    <row r="1710" spans="1:31" x14ac:dyDescent="0.45">
      <c r="A1710" t="s">
        <v>2935</v>
      </c>
      <c r="D1710">
        <v>2</v>
      </c>
      <c r="E1710" t="s">
        <v>2450</v>
      </c>
      <c r="F1710">
        <f t="shared" si="365"/>
        <v>0</v>
      </c>
      <c r="L1710">
        <f>Fund_Industry!L401</f>
        <v>0</v>
      </c>
      <c r="M1710">
        <f>Fund_Industry!M401</f>
        <v>0</v>
      </c>
      <c r="N1710">
        <f>Fund_Industry!N401</f>
        <v>0</v>
      </c>
      <c r="O1710">
        <f>Fund_Industry!O401</f>
        <v>0</v>
      </c>
      <c r="P1710">
        <f>Fund_Industry!P401</f>
        <v>0</v>
      </c>
      <c r="Q1710">
        <f>Fund_Industry!Q401</f>
        <v>0</v>
      </c>
      <c r="R1710">
        <f>Fund_Industry!R401</f>
        <v>0</v>
      </c>
      <c r="S1710">
        <f>Fund_Industry!S401</f>
        <v>0</v>
      </c>
      <c r="T1710">
        <f>Fund_Industry!T401</f>
        <v>0</v>
      </c>
      <c r="U1710">
        <f>Fund_Industry!U401</f>
        <v>0</v>
      </c>
      <c r="V1710">
        <f>Fund_Industry!V401</f>
        <v>0</v>
      </c>
      <c r="W1710">
        <f>Fund_Industry!W401</f>
        <v>0</v>
      </c>
      <c r="X1710">
        <f>Fund_Industry!X401</f>
        <v>0</v>
      </c>
      <c r="Y1710">
        <f>Fund_Industry!Y401</f>
        <v>0</v>
      </c>
      <c r="Z1710">
        <f>Fund_Industry!Z401</f>
        <v>0</v>
      </c>
      <c r="AA1710">
        <f>Fund_Industry!AA401</f>
        <v>0</v>
      </c>
      <c r="AB1710">
        <f>Fund_Industry!AB401</f>
        <v>0</v>
      </c>
      <c r="AC1710">
        <f>Fund_Industry!AC401</f>
        <v>0</v>
      </c>
      <c r="AD1710">
        <f>Fund_Industry!AD401</f>
        <v>0</v>
      </c>
      <c r="AE1710">
        <f>Fund_Industry!AE401</f>
        <v>0</v>
      </c>
    </row>
    <row r="1711" spans="1:31" x14ac:dyDescent="0.45">
      <c r="A1711" t="s">
        <v>2936</v>
      </c>
      <c r="D1711">
        <v>2</v>
      </c>
      <c r="E1711" t="s">
        <v>2450</v>
      </c>
      <c r="F1711">
        <f t="shared" si="365"/>
        <v>0</v>
      </c>
      <c r="L1711">
        <f>Fund_Industry!L403</f>
        <v>0</v>
      </c>
      <c r="M1711">
        <f>Fund_Industry!M403</f>
        <v>0</v>
      </c>
      <c r="N1711">
        <f>Fund_Industry!N403</f>
        <v>0</v>
      </c>
      <c r="O1711">
        <f>Fund_Industry!O403</f>
        <v>0</v>
      </c>
      <c r="P1711">
        <f>Fund_Industry!P403</f>
        <v>0</v>
      </c>
      <c r="Q1711">
        <f>Fund_Industry!Q403</f>
        <v>0</v>
      </c>
      <c r="R1711">
        <f>Fund_Industry!R403</f>
        <v>0</v>
      </c>
      <c r="S1711">
        <f>Fund_Industry!S403</f>
        <v>0</v>
      </c>
      <c r="T1711">
        <f>Fund_Industry!T403</f>
        <v>0</v>
      </c>
      <c r="U1711">
        <f>Fund_Industry!U403</f>
        <v>0</v>
      </c>
      <c r="V1711">
        <f>Fund_Industry!V403</f>
        <v>0</v>
      </c>
      <c r="W1711">
        <f>Fund_Industry!W403</f>
        <v>0</v>
      </c>
      <c r="X1711">
        <f>Fund_Industry!X403</f>
        <v>0</v>
      </c>
      <c r="Y1711">
        <f>Fund_Industry!Y403</f>
        <v>0</v>
      </c>
      <c r="Z1711">
        <f>Fund_Industry!Z403</f>
        <v>0</v>
      </c>
      <c r="AA1711">
        <f>Fund_Industry!AA403</f>
        <v>0</v>
      </c>
      <c r="AB1711">
        <f>Fund_Industry!AB403</f>
        <v>0</v>
      </c>
      <c r="AC1711">
        <f>Fund_Industry!AC403</f>
        <v>0</v>
      </c>
      <c r="AD1711">
        <f>Fund_Industry!AD403</f>
        <v>0</v>
      </c>
      <c r="AE1711">
        <f>Fund_Industry!AE403</f>
        <v>0</v>
      </c>
    </row>
    <row r="1712" spans="1:31" x14ac:dyDescent="0.45">
      <c r="A1712" t="s">
        <v>2937</v>
      </c>
      <c r="D1712">
        <v>2</v>
      </c>
      <c r="E1712" t="s">
        <v>2450</v>
      </c>
      <c r="F1712" s="134">
        <f t="shared" si="365"/>
        <v>0</v>
      </c>
      <c r="L1712" s="134">
        <f>Fund_Industry!L404</f>
        <v>0</v>
      </c>
      <c r="M1712" s="134">
        <f>Fund_Industry!M404</f>
        <v>0</v>
      </c>
      <c r="N1712" s="134">
        <f>Fund_Industry!N404</f>
        <v>0</v>
      </c>
      <c r="O1712" s="134">
        <f>Fund_Industry!O404</f>
        <v>0</v>
      </c>
      <c r="P1712" s="134">
        <f>Fund_Industry!P404</f>
        <v>0</v>
      </c>
      <c r="Q1712" s="134">
        <f>Fund_Industry!Q404</f>
        <v>0</v>
      </c>
      <c r="R1712" s="134">
        <f>Fund_Industry!R404</f>
        <v>0</v>
      </c>
      <c r="S1712" s="134">
        <f>Fund_Industry!S404</f>
        <v>0</v>
      </c>
      <c r="T1712" s="134">
        <f>Fund_Industry!T404</f>
        <v>0</v>
      </c>
      <c r="U1712" s="134">
        <f>Fund_Industry!U404</f>
        <v>0</v>
      </c>
      <c r="V1712" s="134">
        <f>Fund_Industry!V404</f>
        <v>0</v>
      </c>
      <c r="W1712" s="134">
        <f>Fund_Industry!W404</f>
        <v>0</v>
      </c>
      <c r="X1712" s="134">
        <f>Fund_Industry!X404</f>
        <v>0</v>
      </c>
      <c r="Y1712" s="134">
        <f>Fund_Industry!Y404</f>
        <v>0</v>
      </c>
      <c r="Z1712" s="134">
        <f>Fund_Industry!Z404</f>
        <v>0</v>
      </c>
      <c r="AA1712" s="134">
        <f>Fund_Industry!AA404</f>
        <v>0</v>
      </c>
      <c r="AB1712" s="134">
        <f>Fund_Industry!AB404</f>
        <v>0</v>
      </c>
      <c r="AC1712" s="134">
        <f>Fund_Industry!AC404</f>
        <v>0</v>
      </c>
      <c r="AD1712" s="134">
        <f>Fund_Industry!AD404</f>
        <v>0</v>
      </c>
      <c r="AE1712" s="134">
        <f>Fund_Industry!AE404</f>
        <v>0</v>
      </c>
    </row>
    <row r="1713" spans="1:31" x14ac:dyDescent="0.45">
      <c r="A1713" t="s">
        <v>2938</v>
      </c>
      <c r="D1713">
        <v>2</v>
      </c>
      <c r="E1713" t="s">
        <v>2450</v>
      </c>
      <c r="F1713" s="133">
        <f t="shared" si="365"/>
        <v>0</v>
      </c>
      <c r="L1713" s="133">
        <f>Fund_Industry!L407</f>
        <v>0</v>
      </c>
      <c r="M1713" s="133">
        <f>Fund_Industry!M407</f>
        <v>0</v>
      </c>
      <c r="N1713" s="133">
        <f>Fund_Industry!N407</f>
        <v>0</v>
      </c>
      <c r="O1713" s="133">
        <f>Fund_Industry!O407</f>
        <v>0</v>
      </c>
      <c r="P1713" s="133">
        <f>Fund_Industry!P407</f>
        <v>0</v>
      </c>
      <c r="Q1713" s="133">
        <f>Fund_Industry!Q407</f>
        <v>0</v>
      </c>
      <c r="R1713" s="133">
        <f>Fund_Industry!R407</f>
        <v>0</v>
      </c>
      <c r="S1713" s="133">
        <f>Fund_Industry!S407</f>
        <v>0</v>
      </c>
      <c r="T1713" s="133">
        <f>Fund_Industry!T407</f>
        <v>0</v>
      </c>
      <c r="U1713" s="133">
        <f>Fund_Industry!U407</f>
        <v>0</v>
      </c>
      <c r="V1713" s="133">
        <f>Fund_Industry!V407</f>
        <v>0</v>
      </c>
      <c r="W1713" s="133">
        <f>Fund_Industry!W407</f>
        <v>0</v>
      </c>
      <c r="X1713" s="133">
        <f>Fund_Industry!X407</f>
        <v>0</v>
      </c>
      <c r="Y1713" s="133">
        <f>Fund_Industry!Y407</f>
        <v>0</v>
      </c>
      <c r="Z1713" s="133">
        <f>Fund_Industry!Z407</f>
        <v>0</v>
      </c>
      <c r="AA1713" s="133">
        <f>Fund_Industry!AA407</f>
        <v>0</v>
      </c>
      <c r="AB1713" s="133">
        <f>Fund_Industry!AB407</f>
        <v>0</v>
      </c>
      <c r="AC1713" s="133">
        <f>Fund_Industry!AC407</f>
        <v>0</v>
      </c>
      <c r="AD1713" s="133">
        <f>Fund_Industry!AD407</f>
        <v>0</v>
      </c>
      <c r="AE1713" s="133">
        <f>Fund_Industry!AE407</f>
        <v>0</v>
      </c>
    </row>
    <row r="1714" spans="1:31" x14ac:dyDescent="0.45">
      <c r="A1714" t="s">
        <v>2939</v>
      </c>
      <c r="D1714">
        <v>2</v>
      </c>
      <c r="E1714" t="s">
        <v>2450</v>
      </c>
      <c r="F1714">
        <f t="shared" si="365"/>
        <v>0</v>
      </c>
      <c r="L1714">
        <f>Mitigation_Industry!L462-INDEX(L$1726:L$1827,MATCH("v2:ener:2:irn:"&amp;Settings!$B$10,$A$1726:$A$1827,0))</f>
        <v>0</v>
      </c>
      <c r="M1714">
        <f>Mitigation_Industry!M462-INDEX(M$1726:M$1827,MATCH("v2:ener:2:irn:"&amp;Settings!$B$10,$A$1726:$A$1827,0))</f>
        <v>0</v>
      </c>
      <c r="N1714">
        <f>Mitigation_Industry!N462-INDEX(N$1726:N$1827,MATCH("v2:ener:2:irn:"&amp;Settings!$B$10,$A$1726:$A$1827,0))</f>
        <v>0</v>
      </c>
      <c r="O1714">
        <f>Mitigation_Industry!O462-INDEX(O$1726:O$1827,MATCH("v2:ener:2:irn:"&amp;Settings!$B$10,$A$1726:$A$1827,0))</f>
        <v>0</v>
      </c>
      <c r="P1714">
        <f>Mitigation_Industry!P462-INDEX(P$1726:P$1827,MATCH("v2:ener:2:irn:"&amp;Settings!$B$10,$A$1726:$A$1827,0))</f>
        <v>0</v>
      </c>
      <c r="Q1714">
        <f>Mitigation_Industry!Q462-INDEX(Q$1726:Q$1827,MATCH("v2:ener:2:irn:"&amp;Settings!$B$10,$A$1726:$A$1827,0))</f>
        <v>0</v>
      </c>
      <c r="R1714">
        <f>Mitigation_Industry!R462-INDEX(R$1726:R$1827,MATCH("v2:ener:2:irn:"&amp;Settings!$B$10,$A$1726:$A$1827,0))</f>
        <v>0</v>
      </c>
      <c r="S1714">
        <f>Mitigation_Industry!S462-INDEX(S$1726:S$1827,MATCH("v2:ener:2:irn:"&amp;Settings!$B$10,$A$1726:$A$1827,0))</f>
        <v>0</v>
      </c>
      <c r="T1714">
        <f>Mitigation_Industry!T462-INDEX(T$1726:T$1827,MATCH("v2:ener:2:irn:"&amp;Settings!$B$10,$A$1726:$A$1827,0))</f>
        <v>0</v>
      </c>
      <c r="U1714">
        <f>Mitigation_Industry!U462-INDEX(U$1726:U$1827,MATCH("v2:ener:2:irn:"&amp;Settings!$B$10,$A$1726:$A$1827,0))</f>
        <v>0</v>
      </c>
      <c r="V1714">
        <f>Mitigation_Industry!V462-INDEX(V$1726:V$1827,MATCH("v2:ener:2:irn:"&amp;Settings!$B$10,$A$1726:$A$1827,0))</f>
        <v>0</v>
      </c>
      <c r="W1714">
        <f>Mitigation_Industry!W462-INDEX(W$1726:W$1827,MATCH("v2:ener:2:irn:"&amp;Settings!$B$10,$A$1726:$A$1827,0))</f>
        <v>0</v>
      </c>
      <c r="X1714">
        <f>Mitigation_Industry!X462-INDEX(X$1726:X$1827,MATCH("v2:ener:2:irn:"&amp;Settings!$B$10,$A$1726:$A$1827,0))</f>
        <v>0</v>
      </c>
      <c r="Y1714">
        <f>Mitigation_Industry!Y462-INDEX(Y$1726:Y$1827,MATCH("v2:ener:2:irn:"&amp;Settings!$B$10,$A$1726:$A$1827,0))</f>
        <v>0</v>
      </c>
      <c r="Z1714">
        <f>Mitigation_Industry!Z462-INDEX(Z$1726:Z$1827,MATCH("v2:ener:2:irn:"&amp;Settings!$B$10,$A$1726:$A$1827,0))</f>
        <v>0</v>
      </c>
      <c r="AA1714">
        <f>Mitigation_Industry!AA462-INDEX(AA$1726:AA$1827,MATCH("v2:ener:2:irn:"&amp;Settings!$B$10,$A$1726:$A$1827,0))</f>
        <v>0</v>
      </c>
      <c r="AB1714">
        <f>Mitigation_Industry!AB462-INDEX(AB$1726:AB$1827,MATCH("v2:ener:2:irn:"&amp;Settings!$B$10,$A$1726:$A$1827,0))</f>
        <v>0</v>
      </c>
      <c r="AC1714">
        <f>Mitigation_Industry!AC462-INDEX(AC$1726:AC$1827,MATCH("v2:ener:2:irn:"&amp;Settings!$B$10,$A$1726:$A$1827,0))</f>
        <v>0</v>
      </c>
      <c r="AD1714">
        <f>Mitigation_Industry!AD462-INDEX(AD$1726:AD$1827,MATCH("v2:ener:2:irn:"&amp;Settings!$B$10,$A$1726:$A$1827,0))</f>
        <v>0</v>
      </c>
      <c r="AE1714">
        <f>Mitigation_Industry!AE462-INDEX(AE$1726:AE$1827,MATCH("v2:ener:2:irn:"&amp;Settings!$B$10,$A$1726:$A$1827,0))</f>
        <v>0</v>
      </c>
    </row>
    <row r="1715" spans="1:31" x14ac:dyDescent="0.45">
      <c r="A1715" t="s">
        <v>2940</v>
      </c>
      <c r="D1715">
        <v>2</v>
      </c>
      <c r="E1715" t="s">
        <v>2450</v>
      </c>
      <c r="F1715">
        <f t="shared" si="365"/>
        <v>0</v>
      </c>
      <c r="L1715">
        <f>Mitigation_Industry!L522-INDEX(L$1726:L$1827,MATCH("v2:ener:2:cem:"&amp;Settings!$B$10,$A$1726:$A$1827,0))</f>
        <v>0</v>
      </c>
      <c r="M1715">
        <f>Mitigation_Industry!M522-INDEX(M$1726:M$1827,MATCH("v2:ener:2:cem:"&amp;Settings!$B$10,$A$1726:$A$1827,0))</f>
        <v>0</v>
      </c>
      <c r="N1715">
        <f>Mitigation_Industry!N522-INDEX(N$1726:N$1827,MATCH("v2:ener:2:cem:"&amp;Settings!$B$10,$A$1726:$A$1827,0))</f>
        <v>0</v>
      </c>
      <c r="O1715">
        <f>Mitigation_Industry!O522-INDEX(O$1726:O$1827,MATCH("v2:ener:2:cem:"&amp;Settings!$B$10,$A$1726:$A$1827,0))</f>
        <v>0</v>
      </c>
      <c r="P1715">
        <f>Mitigation_Industry!P522-INDEX(P$1726:P$1827,MATCH("v2:ener:2:cem:"&amp;Settings!$B$10,$A$1726:$A$1827,0))</f>
        <v>0</v>
      </c>
      <c r="Q1715">
        <f>Mitigation_Industry!Q522-INDEX(Q$1726:Q$1827,MATCH("v2:ener:2:cem:"&amp;Settings!$B$10,$A$1726:$A$1827,0))</f>
        <v>0</v>
      </c>
      <c r="R1715">
        <f>Mitigation_Industry!R522-INDEX(R$1726:R$1827,MATCH("v2:ener:2:cem:"&amp;Settings!$B$10,$A$1726:$A$1827,0))</f>
        <v>0</v>
      </c>
      <c r="S1715">
        <f>Mitigation_Industry!S522-INDEX(S$1726:S$1827,MATCH("v2:ener:2:cem:"&amp;Settings!$B$10,$A$1726:$A$1827,0))</f>
        <v>0</v>
      </c>
      <c r="T1715">
        <f>Mitigation_Industry!T522-INDEX(T$1726:T$1827,MATCH("v2:ener:2:cem:"&amp;Settings!$B$10,$A$1726:$A$1827,0))</f>
        <v>0</v>
      </c>
      <c r="U1715">
        <f>Mitigation_Industry!U522-INDEX(U$1726:U$1827,MATCH("v2:ener:2:cem:"&amp;Settings!$B$10,$A$1726:$A$1827,0))</f>
        <v>0</v>
      </c>
      <c r="V1715">
        <f>Mitigation_Industry!V522-INDEX(V$1726:V$1827,MATCH("v2:ener:2:cem:"&amp;Settings!$B$10,$A$1726:$A$1827,0))</f>
        <v>0</v>
      </c>
      <c r="W1715">
        <f>Mitigation_Industry!W522-INDEX(W$1726:W$1827,MATCH("v2:ener:2:cem:"&amp;Settings!$B$10,$A$1726:$A$1827,0))</f>
        <v>0</v>
      </c>
      <c r="X1715">
        <f>Mitigation_Industry!X522-INDEX(X$1726:X$1827,MATCH("v2:ener:2:cem:"&amp;Settings!$B$10,$A$1726:$A$1827,0))</f>
        <v>0</v>
      </c>
      <c r="Y1715">
        <f>Mitigation_Industry!Y522-INDEX(Y$1726:Y$1827,MATCH("v2:ener:2:cem:"&amp;Settings!$B$10,$A$1726:$A$1827,0))</f>
        <v>0</v>
      </c>
      <c r="Z1715">
        <f>Mitigation_Industry!Z522-INDEX(Z$1726:Z$1827,MATCH("v2:ener:2:cem:"&amp;Settings!$B$10,$A$1726:$A$1827,0))</f>
        <v>0</v>
      </c>
      <c r="AA1715">
        <f>Mitigation_Industry!AA522-INDEX(AA$1726:AA$1827,MATCH("v2:ener:2:cem:"&amp;Settings!$B$10,$A$1726:$A$1827,0))</f>
        <v>0</v>
      </c>
      <c r="AB1715">
        <f>Mitigation_Industry!AB522-INDEX(AB$1726:AB$1827,MATCH("v2:ener:2:cem:"&amp;Settings!$B$10,$A$1726:$A$1827,0))</f>
        <v>0</v>
      </c>
      <c r="AC1715">
        <f>Mitigation_Industry!AC522-INDEX(AC$1726:AC$1827,MATCH("v2:ener:2:cem:"&amp;Settings!$B$10,$A$1726:$A$1827,0))</f>
        <v>0</v>
      </c>
      <c r="AD1715">
        <f>Mitigation_Industry!AD522-INDEX(AD$1726:AD$1827,MATCH("v2:ener:2:cem:"&amp;Settings!$B$10,$A$1726:$A$1827,0))</f>
        <v>0</v>
      </c>
      <c r="AE1715">
        <f>Mitigation_Industry!AE522-INDEX(AE$1726:AE$1827,MATCH("v2:ener:2:cem:"&amp;Settings!$B$10,$A$1726:$A$1827,0))</f>
        <v>0</v>
      </c>
    </row>
    <row r="1716" spans="1:31" x14ac:dyDescent="0.45">
      <c r="A1716" t="s">
        <v>2941</v>
      </c>
      <c r="D1716">
        <v>2</v>
      </c>
      <c r="E1716" t="s">
        <v>2450</v>
      </c>
      <c r="F1716">
        <f t="shared" si="365"/>
        <v>0</v>
      </c>
      <c r="L1716">
        <f>Mitigation_Industry!L582-INDEX(L$1726:L$1827,MATCH("v2:ener:2:nfm:"&amp;Settings!$B$10,$A$1726:$A$1827,0))</f>
        <v>0</v>
      </c>
      <c r="M1716">
        <f>Mitigation_Industry!M582-INDEX(M$1726:M$1827,MATCH("v2:ener:2:nfm:"&amp;Settings!$B$10,$A$1726:$A$1827,0))</f>
        <v>0</v>
      </c>
      <c r="N1716">
        <f>Mitigation_Industry!N582-INDEX(N$1726:N$1827,MATCH("v2:ener:2:nfm:"&amp;Settings!$B$10,$A$1726:$A$1827,0))</f>
        <v>0</v>
      </c>
      <c r="O1716">
        <f>Mitigation_Industry!O582-INDEX(O$1726:O$1827,MATCH("v2:ener:2:nfm:"&amp;Settings!$B$10,$A$1726:$A$1827,0))</f>
        <v>0</v>
      </c>
      <c r="P1716">
        <f>Mitigation_Industry!P582-INDEX(P$1726:P$1827,MATCH("v2:ener:2:nfm:"&amp;Settings!$B$10,$A$1726:$A$1827,0))</f>
        <v>0</v>
      </c>
      <c r="Q1716">
        <f>Mitigation_Industry!Q582-INDEX(Q$1726:Q$1827,MATCH("v2:ener:2:nfm:"&amp;Settings!$B$10,$A$1726:$A$1827,0))</f>
        <v>0</v>
      </c>
      <c r="R1716">
        <f>Mitigation_Industry!R582-INDEX(R$1726:R$1827,MATCH("v2:ener:2:nfm:"&amp;Settings!$B$10,$A$1726:$A$1827,0))</f>
        <v>0</v>
      </c>
      <c r="S1716">
        <f>Mitigation_Industry!S582-INDEX(S$1726:S$1827,MATCH("v2:ener:2:nfm:"&amp;Settings!$B$10,$A$1726:$A$1827,0))</f>
        <v>0</v>
      </c>
      <c r="T1716">
        <f>Mitigation_Industry!T582-INDEX(T$1726:T$1827,MATCH("v2:ener:2:nfm:"&amp;Settings!$B$10,$A$1726:$A$1827,0))</f>
        <v>0</v>
      </c>
      <c r="U1716">
        <f>Mitigation_Industry!U582-INDEX(U$1726:U$1827,MATCH("v2:ener:2:nfm:"&amp;Settings!$B$10,$A$1726:$A$1827,0))</f>
        <v>0</v>
      </c>
      <c r="V1716">
        <f>Mitigation_Industry!V582-INDEX(V$1726:V$1827,MATCH("v2:ener:2:nfm:"&amp;Settings!$B$10,$A$1726:$A$1827,0))</f>
        <v>0</v>
      </c>
      <c r="W1716">
        <f>Mitigation_Industry!W582-INDEX(W$1726:W$1827,MATCH("v2:ener:2:nfm:"&amp;Settings!$B$10,$A$1726:$A$1827,0))</f>
        <v>0</v>
      </c>
      <c r="X1716">
        <f>Mitigation_Industry!X582-INDEX(X$1726:X$1827,MATCH("v2:ener:2:nfm:"&amp;Settings!$B$10,$A$1726:$A$1827,0))</f>
        <v>0</v>
      </c>
      <c r="Y1716">
        <f>Mitigation_Industry!Y582-INDEX(Y$1726:Y$1827,MATCH("v2:ener:2:nfm:"&amp;Settings!$B$10,$A$1726:$A$1827,0))</f>
        <v>0</v>
      </c>
      <c r="Z1716">
        <f>Mitigation_Industry!Z582-INDEX(Z$1726:Z$1827,MATCH("v2:ener:2:nfm:"&amp;Settings!$B$10,$A$1726:$A$1827,0))</f>
        <v>0</v>
      </c>
      <c r="AA1716">
        <f>Mitigation_Industry!AA582-INDEX(AA$1726:AA$1827,MATCH("v2:ener:2:nfm:"&amp;Settings!$B$10,$A$1726:$A$1827,0))</f>
        <v>0</v>
      </c>
      <c r="AB1716">
        <f>Mitigation_Industry!AB582-INDEX(AB$1726:AB$1827,MATCH("v2:ener:2:nfm:"&amp;Settings!$B$10,$A$1726:$A$1827,0))</f>
        <v>0</v>
      </c>
      <c r="AC1716">
        <f>Mitigation_Industry!AC582-INDEX(AC$1726:AC$1827,MATCH("v2:ener:2:nfm:"&amp;Settings!$B$10,$A$1726:$A$1827,0))</f>
        <v>0</v>
      </c>
      <c r="AD1716">
        <f>Mitigation_Industry!AD582-INDEX(AD$1726:AD$1827,MATCH("v2:ener:2:nfm:"&amp;Settings!$B$10,$A$1726:$A$1827,0))</f>
        <v>0</v>
      </c>
      <c r="AE1716">
        <f>Mitigation_Industry!AE582-INDEX(AE$1726:AE$1827,MATCH("v2:ener:2:nfm:"&amp;Settings!$B$10,$A$1726:$A$1827,0))</f>
        <v>0</v>
      </c>
    </row>
    <row r="1717" spans="1:31" x14ac:dyDescent="0.45">
      <c r="A1717" t="s">
        <v>2942</v>
      </c>
      <c r="D1717">
        <v>2</v>
      </c>
      <c r="E1717" t="s">
        <v>2450</v>
      </c>
      <c r="F1717">
        <f t="shared" si="365"/>
        <v>0</v>
      </c>
      <c r="L1717">
        <f>Mitigation_Industry!L642-INDEX(L$1726:L$1827,MATCH("v2:ener:2:mch:"&amp;Settings!$B$10,$A$1726:$A$1827,0))</f>
        <v>0</v>
      </c>
      <c r="M1717">
        <f>Mitigation_Industry!M642-INDEX(M$1726:M$1827,MATCH("v2:ener:2:mch:"&amp;Settings!$B$10,$A$1726:$A$1827,0))</f>
        <v>0</v>
      </c>
      <c r="N1717">
        <f>Mitigation_Industry!N642-INDEX(N$1726:N$1827,MATCH("v2:ener:2:mch:"&amp;Settings!$B$10,$A$1726:$A$1827,0))</f>
        <v>0</v>
      </c>
      <c r="O1717">
        <f>Mitigation_Industry!O642-INDEX(O$1726:O$1827,MATCH("v2:ener:2:mch:"&amp;Settings!$B$10,$A$1726:$A$1827,0))</f>
        <v>0</v>
      </c>
      <c r="P1717">
        <f>Mitigation_Industry!P642-INDEX(P$1726:P$1827,MATCH("v2:ener:2:mch:"&amp;Settings!$B$10,$A$1726:$A$1827,0))</f>
        <v>0</v>
      </c>
      <c r="Q1717">
        <f>Mitigation_Industry!Q642-INDEX(Q$1726:Q$1827,MATCH("v2:ener:2:mch:"&amp;Settings!$B$10,$A$1726:$A$1827,0))</f>
        <v>0</v>
      </c>
      <c r="R1717">
        <f>Mitigation_Industry!R642-INDEX(R$1726:R$1827,MATCH("v2:ener:2:mch:"&amp;Settings!$B$10,$A$1726:$A$1827,0))</f>
        <v>0</v>
      </c>
      <c r="S1717">
        <f>Mitigation_Industry!S642-INDEX(S$1726:S$1827,MATCH("v2:ener:2:mch:"&amp;Settings!$B$10,$A$1726:$A$1827,0))</f>
        <v>0</v>
      </c>
      <c r="T1717">
        <f>Mitigation_Industry!T642-INDEX(T$1726:T$1827,MATCH("v2:ener:2:mch:"&amp;Settings!$B$10,$A$1726:$A$1827,0))</f>
        <v>0</v>
      </c>
      <c r="U1717">
        <f>Mitigation_Industry!U642-INDEX(U$1726:U$1827,MATCH("v2:ener:2:mch:"&amp;Settings!$B$10,$A$1726:$A$1827,0))</f>
        <v>0</v>
      </c>
      <c r="V1717">
        <f>Mitigation_Industry!V642-INDEX(V$1726:V$1827,MATCH("v2:ener:2:mch:"&amp;Settings!$B$10,$A$1726:$A$1827,0))</f>
        <v>0</v>
      </c>
      <c r="W1717">
        <f>Mitigation_Industry!W642-INDEX(W$1726:W$1827,MATCH("v2:ener:2:mch:"&amp;Settings!$B$10,$A$1726:$A$1827,0))</f>
        <v>0</v>
      </c>
      <c r="X1717">
        <f>Mitigation_Industry!X642-INDEX(X$1726:X$1827,MATCH("v2:ener:2:mch:"&amp;Settings!$B$10,$A$1726:$A$1827,0))</f>
        <v>0</v>
      </c>
      <c r="Y1717">
        <f>Mitigation_Industry!Y642-INDEX(Y$1726:Y$1827,MATCH("v2:ener:2:mch:"&amp;Settings!$B$10,$A$1726:$A$1827,0))</f>
        <v>0</v>
      </c>
      <c r="Z1717">
        <f>Mitigation_Industry!Z642-INDEX(Z$1726:Z$1827,MATCH("v2:ener:2:mch:"&amp;Settings!$B$10,$A$1726:$A$1827,0))</f>
        <v>0</v>
      </c>
      <c r="AA1717">
        <f>Mitigation_Industry!AA642-INDEX(AA$1726:AA$1827,MATCH("v2:ener:2:mch:"&amp;Settings!$B$10,$A$1726:$A$1827,0))</f>
        <v>0</v>
      </c>
      <c r="AB1717">
        <f>Mitigation_Industry!AB642-INDEX(AB$1726:AB$1827,MATCH("v2:ener:2:mch:"&amp;Settings!$B$10,$A$1726:$A$1827,0))</f>
        <v>0</v>
      </c>
      <c r="AC1717">
        <f>Mitigation_Industry!AC642-INDEX(AC$1726:AC$1827,MATCH("v2:ener:2:mch:"&amp;Settings!$B$10,$A$1726:$A$1827,0))</f>
        <v>0</v>
      </c>
      <c r="AD1717">
        <f>Mitigation_Industry!AD642-INDEX(AD$1726:AD$1827,MATCH("v2:ener:2:mch:"&amp;Settings!$B$10,$A$1726:$A$1827,0))</f>
        <v>0</v>
      </c>
      <c r="AE1717">
        <f>Mitigation_Industry!AE642-INDEX(AE$1726:AE$1827,MATCH("v2:ener:2:mch:"&amp;Settings!$B$10,$A$1726:$A$1827,0))</f>
        <v>0</v>
      </c>
    </row>
    <row r="1718" spans="1:31" x14ac:dyDescent="0.45">
      <c r="A1718" t="s">
        <v>2943</v>
      </c>
      <c r="D1718">
        <v>2</v>
      </c>
      <c r="E1718" t="s">
        <v>2450</v>
      </c>
      <c r="F1718">
        <f t="shared" si="365"/>
        <v>0</v>
      </c>
      <c r="L1718">
        <f>Emissions_Industry!L66+Emissions_Industry!L78+Emissions_Industry!L90+Emissions_Industry!L102-INDEX(L$1726:L$1827,MATCH("v2:eco2:2:tot:"&amp;Settings!$B$10,$A$1726:$A$1827,0))</f>
        <v>0</v>
      </c>
      <c r="M1718">
        <f>Emissions_Industry!M66+Emissions_Industry!M78+Emissions_Industry!M90+Emissions_Industry!M102-INDEX(M$1726:M$1827,MATCH("v2:eco2:2:tot:"&amp;Settings!$B$10,$A$1726:$A$1827,0))</f>
        <v>0</v>
      </c>
      <c r="N1718">
        <f>Emissions_Industry!N66+Emissions_Industry!N78+Emissions_Industry!N90+Emissions_Industry!N102-INDEX(N$1726:N$1827,MATCH("v2:eco2:2:tot:"&amp;Settings!$B$10,$A$1726:$A$1827,0))</f>
        <v>0</v>
      </c>
      <c r="O1718">
        <f>Emissions_Industry!O66+Emissions_Industry!O78+Emissions_Industry!O90+Emissions_Industry!O102-INDEX(O$1726:O$1827,MATCH("v2:eco2:2:tot:"&amp;Settings!$B$10,$A$1726:$A$1827,0))</f>
        <v>0</v>
      </c>
      <c r="P1718">
        <f>Emissions_Industry!P66+Emissions_Industry!P78+Emissions_Industry!P90+Emissions_Industry!P102-INDEX(P$1726:P$1827,MATCH("v2:eco2:2:tot:"&amp;Settings!$B$10,$A$1726:$A$1827,0))</f>
        <v>0</v>
      </c>
      <c r="Q1718">
        <f>Emissions_Industry!Q66+Emissions_Industry!Q78+Emissions_Industry!Q90+Emissions_Industry!Q102-INDEX(Q$1726:Q$1827,MATCH("v2:eco2:2:tot:"&amp;Settings!$B$10,$A$1726:$A$1827,0))</f>
        <v>0</v>
      </c>
      <c r="R1718">
        <f>Emissions_Industry!R66+Emissions_Industry!R78+Emissions_Industry!R90+Emissions_Industry!R102-INDEX(R$1726:R$1827,MATCH("v2:eco2:2:tot:"&amp;Settings!$B$10,$A$1726:$A$1827,0))</f>
        <v>0</v>
      </c>
      <c r="S1718">
        <f>Emissions_Industry!S66+Emissions_Industry!S78+Emissions_Industry!S90+Emissions_Industry!S102-INDEX(S$1726:S$1827,MATCH("v2:eco2:2:tot:"&amp;Settings!$B$10,$A$1726:$A$1827,0))</f>
        <v>0</v>
      </c>
      <c r="T1718">
        <f>Emissions_Industry!T66+Emissions_Industry!T78+Emissions_Industry!T90+Emissions_Industry!T102-INDEX(T$1726:T$1827,MATCH("v2:eco2:2:tot:"&amp;Settings!$B$10,$A$1726:$A$1827,0))</f>
        <v>0</v>
      </c>
      <c r="U1718">
        <f>Emissions_Industry!U66+Emissions_Industry!U78+Emissions_Industry!U90+Emissions_Industry!U102-INDEX(U$1726:U$1827,MATCH("v2:eco2:2:tot:"&amp;Settings!$B$10,$A$1726:$A$1827,0))</f>
        <v>0</v>
      </c>
      <c r="V1718">
        <f>Emissions_Industry!V66+Emissions_Industry!V78+Emissions_Industry!V90+Emissions_Industry!V102-INDEX(V$1726:V$1827,MATCH("v2:eco2:2:tot:"&amp;Settings!$B$10,$A$1726:$A$1827,0))</f>
        <v>0</v>
      </c>
      <c r="W1718">
        <f>Emissions_Industry!W66+Emissions_Industry!W78+Emissions_Industry!W90+Emissions_Industry!W102-INDEX(W$1726:W$1827,MATCH("v2:eco2:2:tot:"&amp;Settings!$B$10,$A$1726:$A$1827,0))</f>
        <v>0</v>
      </c>
      <c r="X1718">
        <f>Emissions_Industry!X66+Emissions_Industry!X78+Emissions_Industry!X90+Emissions_Industry!X102-INDEX(X$1726:X$1827,MATCH("v2:eco2:2:tot:"&amp;Settings!$B$10,$A$1726:$A$1827,0))</f>
        <v>0</v>
      </c>
      <c r="Y1718">
        <f>Emissions_Industry!Y66+Emissions_Industry!Y78+Emissions_Industry!Y90+Emissions_Industry!Y102-INDEX(Y$1726:Y$1827,MATCH("v2:eco2:2:tot:"&amp;Settings!$B$10,$A$1726:$A$1827,0))</f>
        <v>0</v>
      </c>
      <c r="Z1718">
        <f>Emissions_Industry!Z66+Emissions_Industry!Z78+Emissions_Industry!Z90+Emissions_Industry!Z102-INDEX(Z$1726:Z$1827,MATCH("v2:eco2:2:tot:"&amp;Settings!$B$10,$A$1726:$A$1827,0))</f>
        <v>0</v>
      </c>
      <c r="AA1718">
        <f>Emissions_Industry!AA66+Emissions_Industry!AA78+Emissions_Industry!AA90+Emissions_Industry!AA102-INDEX(AA$1726:AA$1827,MATCH("v2:eco2:2:tot:"&amp;Settings!$B$10,$A$1726:$A$1827,0))</f>
        <v>0</v>
      </c>
      <c r="AB1718">
        <f>Emissions_Industry!AB66+Emissions_Industry!AB78+Emissions_Industry!AB90+Emissions_Industry!AB102-INDEX(AB$1726:AB$1827,MATCH("v2:eco2:2:tot:"&amp;Settings!$B$10,$A$1726:$A$1827,0))</f>
        <v>0</v>
      </c>
      <c r="AC1718">
        <f>Emissions_Industry!AC66+Emissions_Industry!AC78+Emissions_Industry!AC90+Emissions_Industry!AC102-INDEX(AC$1726:AC$1827,MATCH("v2:eco2:2:tot:"&amp;Settings!$B$10,$A$1726:$A$1827,0))</f>
        <v>0</v>
      </c>
      <c r="AD1718">
        <f>Emissions_Industry!AD66+Emissions_Industry!AD78+Emissions_Industry!AD90+Emissions_Industry!AD102-INDEX(AD$1726:AD$1827,MATCH("v2:eco2:2:tot:"&amp;Settings!$B$10,$A$1726:$A$1827,0))</f>
        <v>0</v>
      </c>
      <c r="AE1718">
        <f>Emissions_Industry!AE66+Emissions_Industry!AE78+Emissions_Industry!AE90+Emissions_Industry!AE102-INDEX(AE$1726:AE$1827,MATCH("v2:eco2:2:tot:"&amp;Settings!$B$10,$A$1726:$A$1827,0))</f>
        <v>0</v>
      </c>
    </row>
    <row r="1719" spans="1:31" x14ac:dyDescent="0.45">
      <c r="A1719" t="s">
        <v>2944</v>
      </c>
      <c r="D1719">
        <v>2</v>
      </c>
      <c r="E1719" t="s">
        <v>2450</v>
      </c>
      <c r="F1719">
        <f t="shared" si="365"/>
        <v>0</v>
      </c>
      <c r="L1719">
        <f>Mitigation_Industry!L779-INDEX(L$1726:L$1827,MATCH("v2:emis:2:tot:"&amp;Settings!$B$10,$A$1726:$A$1827,0))</f>
        <v>0</v>
      </c>
      <c r="M1719">
        <f>Mitigation_Industry!M779-INDEX(M$1726:M$1827,MATCH("v2:emis:2:tot:"&amp;Settings!$B$10,$A$1726:$A$1827,0))</f>
        <v>0</v>
      </c>
      <c r="N1719">
        <f>Mitigation_Industry!N779-INDEX(N$1726:N$1827,MATCH("v2:emis:2:tot:"&amp;Settings!$B$10,$A$1726:$A$1827,0))</f>
        <v>0</v>
      </c>
      <c r="O1719">
        <f>Mitigation_Industry!O779-INDEX(O$1726:O$1827,MATCH("v2:emis:2:tot:"&amp;Settings!$B$10,$A$1726:$A$1827,0))</f>
        <v>0</v>
      </c>
      <c r="P1719">
        <f>Mitigation_Industry!P779-INDEX(P$1726:P$1827,MATCH("v2:emis:2:tot:"&amp;Settings!$B$10,$A$1726:$A$1827,0))</f>
        <v>0</v>
      </c>
      <c r="Q1719">
        <f>Mitigation_Industry!Q779-INDEX(Q$1726:Q$1827,MATCH("v2:emis:2:tot:"&amp;Settings!$B$10,$A$1726:$A$1827,0))</f>
        <v>0</v>
      </c>
      <c r="R1719">
        <f>Mitigation_Industry!R779-INDEX(R$1726:R$1827,MATCH("v2:emis:2:tot:"&amp;Settings!$B$10,$A$1726:$A$1827,0))</f>
        <v>0</v>
      </c>
      <c r="S1719">
        <f>Mitigation_Industry!S779-INDEX(S$1726:S$1827,MATCH("v2:emis:2:tot:"&amp;Settings!$B$10,$A$1726:$A$1827,0))</f>
        <v>0</v>
      </c>
      <c r="T1719">
        <f>Mitigation_Industry!T779-INDEX(T$1726:T$1827,MATCH("v2:emis:2:tot:"&amp;Settings!$B$10,$A$1726:$A$1827,0))</f>
        <v>0</v>
      </c>
      <c r="U1719">
        <f>Mitigation_Industry!U779-INDEX(U$1726:U$1827,MATCH("v2:emis:2:tot:"&amp;Settings!$B$10,$A$1726:$A$1827,0))</f>
        <v>0</v>
      </c>
      <c r="V1719">
        <f>Mitigation_Industry!V779-INDEX(V$1726:V$1827,MATCH("v2:emis:2:tot:"&amp;Settings!$B$10,$A$1726:$A$1827,0))</f>
        <v>0</v>
      </c>
      <c r="W1719">
        <f>Mitigation_Industry!W779-INDEX(W$1726:W$1827,MATCH("v2:emis:2:tot:"&amp;Settings!$B$10,$A$1726:$A$1827,0))</f>
        <v>0</v>
      </c>
      <c r="X1719">
        <f>Mitigation_Industry!X779-INDEX(X$1726:X$1827,MATCH("v2:emis:2:tot:"&amp;Settings!$B$10,$A$1726:$A$1827,0))</f>
        <v>0</v>
      </c>
      <c r="Y1719">
        <f>Mitigation_Industry!Y779-INDEX(Y$1726:Y$1827,MATCH("v2:emis:2:tot:"&amp;Settings!$B$10,$A$1726:$A$1827,0))</f>
        <v>0</v>
      </c>
      <c r="Z1719">
        <f>Mitigation_Industry!Z779-INDEX(Z$1726:Z$1827,MATCH("v2:emis:2:tot:"&amp;Settings!$B$10,$A$1726:$A$1827,0))</f>
        <v>0</v>
      </c>
      <c r="AA1719">
        <f>Mitigation_Industry!AA779-INDEX(AA$1726:AA$1827,MATCH("v2:emis:2:tot:"&amp;Settings!$B$10,$A$1726:$A$1827,0))</f>
        <v>0</v>
      </c>
      <c r="AB1719">
        <f>Mitigation_Industry!AB779-INDEX(AB$1726:AB$1827,MATCH("v2:emis:2:tot:"&amp;Settings!$B$10,$A$1726:$A$1827,0))</f>
        <v>0</v>
      </c>
      <c r="AC1719">
        <f>Mitigation_Industry!AC779-INDEX(AC$1726:AC$1827,MATCH("v2:emis:2:tot:"&amp;Settings!$B$10,$A$1726:$A$1827,0))</f>
        <v>0</v>
      </c>
      <c r="AD1719">
        <f>Mitigation_Industry!AD779-INDEX(AD$1726:AD$1827,MATCH("v2:emis:2:tot:"&amp;Settings!$B$10,$A$1726:$A$1827,0))</f>
        <v>0</v>
      </c>
      <c r="AE1719">
        <f>Mitigation_Industry!AE779-INDEX(AE$1726:AE$1827,MATCH("v2:emis:2:tot:"&amp;Settings!$B$10,$A$1726:$A$1827,0))</f>
        <v>0</v>
      </c>
    </row>
    <row r="1720" spans="1:31" x14ac:dyDescent="0.45">
      <c r="A1720" t="s">
        <v>2945</v>
      </c>
      <c r="D1720">
        <v>2</v>
      </c>
      <c r="E1720" t="s">
        <v>2450</v>
      </c>
      <c r="F1720">
        <f t="shared" si="365"/>
        <v>0</v>
      </c>
      <c r="L1720">
        <f>Mitigation_Industry!L799-INDEX(L$1726:L$1827,MATCH("v2:rev:2:tot:"&amp;Settings!$B$10,$A$1726:$A$1827,0))</f>
        <v>0</v>
      </c>
      <c r="M1720">
        <f>Mitigation_Industry!M799-INDEX(M$1726:M$1827,MATCH("v2:rev:2:tot:"&amp;Settings!$B$10,$A$1726:$A$1827,0))</f>
        <v>0</v>
      </c>
      <c r="N1720">
        <f>Mitigation_Industry!N799-INDEX(N$1726:N$1827,MATCH("v2:rev:2:tot:"&amp;Settings!$B$10,$A$1726:$A$1827,0))</f>
        <v>0</v>
      </c>
      <c r="O1720">
        <f>Mitigation_Industry!O799-INDEX(O$1726:O$1827,MATCH("v2:rev:2:tot:"&amp;Settings!$B$10,$A$1726:$A$1827,0))</f>
        <v>0</v>
      </c>
      <c r="P1720">
        <f>Mitigation_Industry!P799-INDEX(P$1726:P$1827,MATCH("v2:rev:2:tot:"&amp;Settings!$B$10,$A$1726:$A$1827,0))</f>
        <v>0</v>
      </c>
      <c r="Q1720">
        <f>Mitigation_Industry!Q799-INDEX(Q$1726:Q$1827,MATCH("v2:rev:2:tot:"&amp;Settings!$B$10,$A$1726:$A$1827,0))</f>
        <v>0</v>
      </c>
      <c r="R1720">
        <f>Mitigation_Industry!R799-INDEX(R$1726:R$1827,MATCH("v2:rev:2:tot:"&amp;Settings!$B$10,$A$1726:$A$1827,0))</f>
        <v>0</v>
      </c>
      <c r="S1720">
        <f>Mitigation_Industry!S799-INDEX(S$1726:S$1827,MATCH("v2:rev:2:tot:"&amp;Settings!$B$10,$A$1726:$A$1827,0))</f>
        <v>0</v>
      </c>
      <c r="T1720">
        <f>Mitigation_Industry!T799-INDEX(T$1726:T$1827,MATCH("v2:rev:2:tot:"&amp;Settings!$B$10,$A$1726:$A$1827,0))</f>
        <v>0</v>
      </c>
      <c r="U1720">
        <f>Mitigation_Industry!U799-INDEX(U$1726:U$1827,MATCH("v2:rev:2:tot:"&amp;Settings!$B$10,$A$1726:$A$1827,0))</f>
        <v>0</v>
      </c>
      <c r="V1720">
        <f>Mitigation_Industry!V799-INDEX(V$1726:V$1827,MATCH("v2:rev:2:tot:"&amp;Settings!$B$10,$A$1726:$A$1827,0))</f>
        <v>0</v>
      </c>
      <c r="W1720">
        <f>Mitigation_Industry!W799-INDEX(W$1726:W$1827,MATCH("v2:rev:2:tot:"&amp;Settings!$B$10,$A$1726:$A$1827,0))</f>
        <v>0</v>
      </c>
      <c r="X1720">
        <f>Mitigation_Industry!X799-INDEX(X$1726:X$1827,MATCH("v2:rev:2:tot:"&amp;Settings!$B$10,$A$1726:$A$1827,0))</f>
        <v>0</v>
      </c>
      <c r="Y1720">
        <f>Mitigation_Industry!Y799-INDEX(Y$1726:Y$1827,MATCH("v2:rev:2:tot:"&amp;Settings!$B$10,$A$1726:$A$1827,0))</f>
        <v>0</v>
      </c>
      <c r="Z1720">
        <f>Mitigation_Industry!Z799-INDEX(Z$1726:Z$1827,MATCH("v2:rev:2:tot:"&amp;Settings!$B$10,$A$1726:$A$1827,0))</f>
        <v>0</v>
      </c>
      <c r="AA1720">
        <f>Mitigation_Industry!AA799-INDEX(AA$1726:AA$1827,MATCH("v2:rev:2:tot:"&amp;Settings!$B$10,$A$1726:$A$1827,0))</f>
        <v>0</v>
      </c>
      <c r="AB1720">
        <f>Mitigation_Industry!AB799-INDEX(AB$1726:AB$1827,MATCH("v2:rev:2:tot:"&amp;Settings!$B$10,$A$1726:$A$1827,0))</f>
        <v>0</v>
      </c>
      <c r="AC1720">
        <f>Mitigation_Industry!AC799-INDEX(AC$1726:AC$1827,MATCH("v2:rev:2:tot:"&amp;Settings!$B$10,$A$1726:$A$1827,0))</f>
        <v>0</v>
      </c>
      <c r="AD1720">
        <f>Mitigation_Industry!AD799-INDEX(AD$1726:AD$1827,MATCH("v2:rev:2:tot:"&amp;Settings!$B$10,$A$1726:$A$1827,0))</f>
        <v>0</v>
      </c>
      <c r="AE1720">
        <f>Mitigation_Industry!AE799-INDEX(AE$1726:AE$1827,MATCH("v2:rev:2:tot:"&amp;Settings!$B$10,$A$1726:$A$1827,0))</f>
        <v>0</v>
      </c>
    </row>
    <row r="1721" spans="1:31" x14ac:dyDescent="0.45">
      <c r="A1721" t="s">
        <v>2946</v>
      </c>
      <c r="D1721">
        <v>2</v>
      </c>
      <c r="E1721" t="s">
        <v>2450</v>
      </c>
      <c r="F1721">
        <f t="shared" si="365"/>
        <v>7402.012510962054</v>
      </c>
      <c r="L1721">
        <f>Rebate_Industry!L278</f>
        <v>0</v>
      </c>
      <c r="M1721">
        <f>Rebate_Industry!M278</f>
        <v>0</v>
      </c>
      <c r="N1721">
        <f>Rebate_Industry!N278</f>
        <v>0</v>
      </c>
      <c r="O1721">
        <f>Rebate_Industry!O278</f>
        <v>0</v>
      </c>
      <c r="P1721">
        <f>Rebate_Industry!P278</f>
        <v>0</v>
      </c>
      <c r="Q1721">
        <f>Rebate_Industry!Q278</f>
        <v>313.18092912945133</v>
      </c>
      <c r="R1721">
        <f>Rebate_Industry!R278</f>
        <v>646.88764494852489</v>
      </c>
      <c r="S1721">
        <f>Rebate_Industry!S278</f>
        <v>1002.1648959865571</v>
      </c>
      <c r="T1721">
        <f>Rebate_Industry!T278</f>
        <v>1380.1062236958546</v>
      </c>
      <c r="U1721">
        <f>Rebate_Industry!U278</f>
        <v>1781.8561629939895</v>
      </c>
      <c r="V1721">
        <f>Rebate_Industry!V278</f>
        <v>2208.6125408023772</v>
      </c>
      <c r="W1721">
        <f>Rebate_Industry!W278</f>
        <v>2661.6288769403232</v>
      </c>
      <c r="X1721">
        <f>Rebate_Industry!X278</f>
        <v>3142.2168919286596</v>
      </c>
      <c r="Y1721">
        <f>Rebate_Industry!Y278</f>
        <v>3651.7491264608011</v>
      </c>
      <c r="Z1721">
        <f>Rebate_Industry!Z278</f>
        <v>4191.6616775120128</v>
      </c>
      <c r="AA1721">
        <f>Rebate_Industry!AA278</f>
        <v>4763.45705628019</v>
      </c>
      <c r="AB1721">
        <f>Rebate_Industry!AB278</f>
        <v>5368.7071733840539</v>
      </c>
      <c r="AC1721">
        <f>Rebate_Industry!AC278</f>
        <v>6009.0564569877843</v>
      </c>
      <c r="AD1721">
        <f>Rebate_Industry!AD278</f>
        <v>6686.2251097751796</v>
      </c>
      <c r="AE1721">
        <f>Rebate_Industry!AE278</f>
        <v>7402.012510962054</v>
      </c>
    </row>
    <row r="1723" spans="1:31" x14ac:dyDescent="0.45">
      <c r="A1723" t="s">
        <v>2947</v>
      </c>
    </row>
    <row r="1725" spans="1:31" x14ac:dyDescent="0.45">
      <c r="A1725" s="52" t="s">
        <v>3674</v>
      </c>
    </row>
    <row r="1726" spans="1:31" x14ac:dyDescent="0.45">
      <c r="A1726" t="s">
        <v>2948</v>
      </c>
      <c r="B1726" t="s">
        <v>110</v>
      </c>
      <c r="C1726" t="s">
        <v>43</v>
      </c>
      <c r="D1726">
        <v>1</v>
      </c>
      <c r="E1726" t="s">
        <v>2949</v>
      </c>
      <c r="L1726" s="43">
        <v>1901.7140738122609</v>
      </c>
      <c r="M1726" s="43">
        <v>1621.2301769893743</v>
      </c>
      <c r="N1726" s="43">
        <v>1820.8469202303741</v>
      </c>
      <c r="O1726" s="43">
        <v>1904.3670376253485</v>
      </c>
      <c r="P1726" s="43">
        <v>1961.702021253242</v>
      </c>
      <c r="Q1726" s="43">
        <v>2038.962541648895</v>
      </c>
      <c r="R1726" s="43">
        <v>2135.0351712538527</v>
      </c>
      <c r="S1726" s="43">
        <v>2228.4850873444593</v>
      </c>
      <c r="T1726" s="43">
        <v>2317.2308926620321</v>
      </c>
      <c r="U1726" s="43">
        <v>2407.7811783186385</v>
      </c>
      <c r="V1726" s="43">
        <v>2499.2702877093025</v>
      </c>
      <c r="W1726" s="43">
        <v>2592.8704056506044</v>
      </c>
      <c r="X1726" s="43">
        <v>2688.5787907172216</v>
      </c>
      <c r="Y1726" s="43">
        <v>2786.3911204964452</v>
      </c>
      <c r="Z1726" s="43">
        <v>2886.3014634759543</v>
      </c>
      <c r="AA1726" s="43">
        <v>2988.3022473044075</v>
      </c>
      <c r="AB1726" s="43">
        <v>3092.384223175638</v>
      </c>
      <c r="AC1726" s="43">
        <v>3198.5364260969</v>
      </c>
      <c r="AD1726" s="43">
        <v>3306.7461308112624</v>
      </c>
      <c r="AE1726" s="43">
        <v>3416.9988031533467</v>
      </c>
    </row>
    <row r="1727" spans="1:31" x14ac:dyDescent="0.45">
      <c r="A1727" t="s">
        <v>2950</v>
      </c>
      <c r="B1727" t="s">
        <v>110</v>
      </c>
      <c r="C1727" t="s">
        <v>113</v>
      </c>
      <c r="D1727">
        <v>1</v>
      </c>
      <c r="E1727" t="s">
        <v>2949</v>
      </c>
      <c r="L1727" s="43">
        <v>3210.4467592248702</v>
      </c>
      <c r="M1727" s="43">
        <v>2690.3404093921163</v>
      </c>
      <c r="N1727" s="43">
        <v>3047.5360888007326</v>
      </c>
      <c r="O1727" s="43">
        <v>3240.6928223889822</v>
      </c>
      <c r="P1727" s="43">
        <v>3273.2119677539522</v>
      </c>
      <c r="Q1727" s="43">
        <v>3368.2133423743344</v>
      </c>
      <c r="R1727" s="43">
        <v>3502.9215016591916</v>
      </c>
      <c r="S1727" s="43">
        <v>3633.9883116592123</v>
      </c>
      <c r="T1727" s="43">
        <v>3758.7368588981471</v>
      </c>
      <c r="U1727" s="43">
        <v>3885.4504831789814</v>
      </c>
      <c r="V1727" s="43">
        <v>4007.0693968852165</v>
      </c>
      <c r="W1727" s="43">
        <v>4130.9635900529229</v>
      </c>
      <c r="X1727" s="43">
        <v>4257.1228099657064</v>
      </c>
      <c r="Y1727" s="43">
        <v>4385.5352137797545</v>
      </c>
      <c r="Z1727" s="43">
        <v>4516.1873328951651</v>
      </c>
      <c r="AA1727" s="43">
        <v>4649.0640328646023</v>
      </c>
      <c r="AB1727" s="43">
        <v>4784.148468612525</v>
      </c>
      <c r="AC1727" s="43">
        <v>4921.422034746156</v>
      </c>
      <c r="AD1727" s="43">
        <v>5060.864310747279</v>
      </c>
      <c r="AE1727" s="43">
        <v>5202.4530008412194</v>
      </c>
    </row>
    <row r="1728" spans="1:31" x14ac:dyDescent="0.45">
      <c r="A1728" t="s">
        <v>2951</v>
      </c>
      <c r="B1728" t="s">
        <v>110</v>
      </c>
      <c r="C1728" t="s">
        <v>115</v>
      </c>
      <c r="D1728">
        <v>1</v>
      </c>
      <c r="E1728" t="s">
        <v>2949</v>
      </c>
      <c r="L1728" s="43">
        <v>0</v>
      </c>
      <c r="M1728" s="43">
        <v>0</v>
      </c>
      <c r="N1728" s="43">
        <v>0</v>
      </c>
      <c r="O1728" s="43">
        <v>0</v>
      </c>
      <c r="P1728" s="43">
        <v>0</v>
      </c>
      <c r="Q1728" s="43">
        <v>0</v>
      </c>
      <c r="R1728" s="43">
        <v>0</v>
      </c>
      <c r="S1728" s="43">
        <v>0</v>
      </c>
      <c r="T1728" s="43">
        <v>0</v>
      </c>
      <c r="U1728" s="43">
        <v>0</v>
      </c>
      <c r="V1728" s="43">
        <v>0</v>
      </c>
      <c r="W1728" s="43">
        <v>0</v>
      </c>
      <c r="X1728" s="43">
        <v>0</v>
      </c>
      <c r="Y1728" s="43">
        <v>0</v>
      </c>
      <c r="Z1728" s="43">
        <v>0</v>
      </c>
      <c r="AA1728" s="43">
        <v>0</v>
      </c>
      <c r="AB1728" s="43">
        <v>0</v>
      </c>
      <c r="AC1728" s="43">
        <v>0</v>
      </c>
      <c r="AD1728" s="43">
        <v>0</v>
      </c>
      <c r="AE1728" s="43">
        <v>0</v>
      </c>
    </row>
    <row r="1729" spans="1:31" x14ac:dyDescent="0.45">
      <c r="A1729" t="s">
        <v>2952</v>
      </c>
      <c r="B1729" t="s">
        <v>110</v>
      </c>
      <c r="C1729" t="s">
        <v>117</v>
      </c>
      <c r="D1729">
        <v>1</v>
      </c>
      <c r="E1729" t="s">
        <v>2949</v>
      </c>
      <c r="L1729" s="43">
        <v>0</v>
      </c>
      <c r="M1729" s="43">
        <v>0</v>
      </c>
      <c r="N1729" s="43">
        <v>0</v>
      </c>
      <c r="O1729" s="43">
        <v>0</v>
      </c>
      <c r="P1729" s="43">
        <v>0</v>
      </c>
      <c r="Q1729" s="43">
        <v>0</v>
      </c>
      <c r="R1729" s="43">
        <v>0</v>
      </c>
      <c r="S1729" s="43">
        <v>0</v>
      </c>
      <c r="T1729" s="43">
        <v>0</v>
      </c>
      <c r="U1729" s="43">
        <v>0</v>
      </c>
      <c r="V1729" s="43">
        <v>0</v>
      </c>
      <c r="W1729" s="43">
        <v>0</v>
      </c>
      <c r="X1729" s="43">
        <v>0</v>
      </c>
      <c r="Y1729" s="43">
        <v>0</v>
      </c>
      <c r="Z1729" s="43">
        <v>0</v>
      </c>
      <c r="AA1729" s="43">
        <v>0</v>
      </c>
      <c r="AB1729" s="43">
        <v>0</v>
      </c>
      <c r="AC1729" s="43">
        <v>0</v>
      </c>
      <c r="AD1729" s="43">
        <v>0</v>
      </c>
      <c r="AE1729" s="43">
        <v>0</v>
      </c>
    </row>
    <row r="1730" spans="1:31" x14ac:dyDescent="0.45">
      <c r="A1730" t="s">
        <v>2953</v>
      </c>
      <c r="B1730" t="s">
        <v>110</v>
      </c>
      <c r="C1730" t="s">
        <v>43</v>
      </c>
      <c r="D1730">
        <v>2</v>
      </c>
      <c r="E1730" t="s">
        <v>2954</v>
      </c>
      <c r="L1730" s="43">
        <v>1901.7140738122609</v>
      </c>
      <c r="M1730" s="43">
        <v>1621.2301769893743</v>
      </c>
      <c r="N1730" s="43">
        <v>1820.8469202303741</v>
      </c>
      <c r="O1730" s="43">
        <v>1904.3670376253485</v>
      </c>
      <c r="P1730" s="43">
        <v>1961.702021253242</v>
      </c>
      <c r="Q1730" s="43">
        <v>1856.404797168507</v>
      </c>
      <c r="R1730" s="43">
        <v>1788.9492171961813</v>
      </c>
      <c r="S1730" s="43">
        <v>1732.3328660968311</v>
      </c>
      <c r="T1730" s="43">
        <v>1682.3885530274299</v>
      </c>
      <c r="U1730" s="43">
        <v>1641.4681088716557</v>
      </c>
      <c r="V1730" s="43">
        <v>1607.9067887450958</v>
      </c>
      <c r="W1730" s="43">
        <v>1581.3612458923553</v>
      </c>
      <c r="X1730" s="43">
        <v>1561.0275376536185</v>
      </c>
      <c r="Y1730" s="43">
        <v>1546.4517889063816</v>
      </c>
      <c r="Z1730" s="43">
        <v>1537.5943975526714</v>
      </c>
      <c r="AA1730" s="43">
        <v>1534.1781017151086</v>
      </c>
      <c r="AB1730" s="43">
        <v>1535.9010092298067</v>
      </c>
      <c r="AC1730" s="43">
        <v>1542.2263096902577</v>
      </c>
      <c r="AD1730" s="43">
        <v>1552.707818724469</v>
      </c>
      <c r="AE1730" s="43">
        <v>1567.016662377554</v>
      </c>
    </row>
    <row r="1731" spans="1:31" x14ac:dyDescent="0.45">
      <c r="A1731" t="s">
        <v>2955</v>
      </c>
      <c r="B1731" t="s">
        <v>110</v>
      </c>
      <c r="C1731" t="s">
        <v>113</v>
      </c>
      <c r="D1731">
        <v>2</v>
      </c>
      <c r="E1731" t="s">
        <v>2954</v>
      </c>
      <c r="L1731" s="43">
        <v>3210.4467592248702</v>
      </c>
      <c r="M1731" s="43">
        <v>2690.3404093921163</v>
      </c>
      <c r="N1731" s="43">
        <v>3047.5360888007326</v>
      </c>
      <c r="O1731" s="43">
        <v>3240.6928223889822</v>
      </c>
      <c r="P1731" s="43">
        <v>3273.2119677539522</v>
      </c>
      <c r="Q1731" s="43">
        <v>3089.4258527074826</v>
      </c>
      <c r="R1731" s="43">
        <v>2975.1242061609983</v>
      </c>
      <c r="S1731" s="43">
        <v>2878.4338008647092</v>
      </c>
      <c r="T1731" s="43">
        <v>2793.1021878663519</v>
      </c>
      <c r="U1731" s="43">
        <v>2721.6867792281105</v>
      </c>
      <c r="V1731" s="43">
        <v>2659.4365656902273</v>
      </c>
      <c r="W1731" s="43">
        <v>2608.3843590415554</v>
      </c>
      <c r="X1731" s="43">
        <v>2567.1439632109241</v>
      </c>
      <c r="Y1731" s="43">
        <v>2534.8641732295537</v>
      </c>
      <c r="Z1731" s="43">
        <v>2511.2970995969799</v>
      </c>
      <c r="AA1731" s="43">
        <v>2495.8988717310085</v>
      </c>
      <c r="AB1731" s="43">
        <v>2488.1145593655265</v>
      </c>
      <c r="AC1731" s="43">
        <v>2487.0912005211107</v>
      </c>
      <c r="AD1731" s="43">
        <v>2492.116697620846</v>
      </c>
      <c r="AE1731" s="43">
        <v>2502.6519509263308</v>
      </c>
    </row>
    <row r="1732" spans="1:31" x14ac:dyDescent="0.45">
      <c r="A1732" t="s">
        <v>2956</v>
      </c>
      <c r="B1732" t="s">
        <v>110</v>
      </c>
      <c r="C1732" t="s">
        <v>115</v>
      </c>
      <c r="D1732">
        <v>2</v>
      </c>
      <c r="E1732" t="s">
        <v>2954</v>
      </c>
      <c r="L1732" s="43">
        <v>0</v>
      </c>
      <c r="M1732" s="43">
        <v>0</v>
      </c>
      <c r="N1732" s="43">
        <v>0</v>
      </c>
      <c r="O1732" s="43">
        <v>0</v>
      </c>
      <c r="P1732" s="43">
        <v>0</v>
      </c>
      <c r="Q1732" s="43">
        <v>0</v>
      </c>
      <c r="R1732" s="43">
        <v>0</v>
      </c>
      <c r="S1732" s="43">
        <v>0</v>
      </c>
      <c r="T1732" s="43">
        <v>0</v>
      </c>
      <c r="U1732" s="43">
        <v>0</v>
      </c>
      <c r="V1732" s="43">
        <v>0</v>
      </c>
      <c r="W1732" s="43">
        <v>0</v>
      </c>
      <c r="X1732" s="43">
        <v>0</v>
      </c>
      <c r="Y1732" s="43">
        <v>0</v>
      </c>
      <c r="Z1732" s="43">
        <v>0</v>
      </c>
      <c r="AA1732" s="43">
        <v>0</v>
      </c>
      <c r="AB1732" s="43">
        <v>0</v>
      </c>
      <c r="AC1732" s="43">
        <v>0</v>
      </c>
      <c r="AD1732" s="43">
        <v>0</v>
      </c>
      <c r="AE1732" s="43">
        <v>0</v>
      </c>
    </row>
    <row r="1733" spans="1:31" x14ac:dyDescent="0.45">
      <c r="A1733" t="s">
        <v>2957</v>
      </c>
      <c r="B1733" t="s">
        <v>110</v>
      </c>
      <c r="C1733" t="s">
        <v>117</v>
      </c>
      <c r="D1733">
        <v>2</v>
      </c>
      <c r="E1733" t="s">
        <v>2954</v>
      </c>
      <c r="L1733" s="43">
        <v>0</v>
      </c>
      <c r="M1733" s="43">
        <v>0</v>
      </c>
      <c r="N1733" s="43">
        <v>0</v>
      </c>
      <c r="O1733" s="43">
        <v>0</v>
      </c>
      <c r="P1733" s="43">
        <v>0</v>
      </c>
      <c r="Q1733" s="43">
        <v>0</v>
      </c>
      <c r="R1733" s="43">
        <v>0</v>
      </c>
      <c r="S1733" s="43">
        <v>0</v>
      </c>
      <c r="T1733" s="43">
        <v>0</v>
      </c>
      <c r="U1733" s="43">
        <v>0</v>
      </c>
      <c r="V1733" s="43">
        <v>0</v>
      </c>
      <c r="W1733" s="43">
        <v>0</v>
      </c>
      <c r="X1733" s="43">
        <v>0</v>
      </c>
      <c r="Y1733" s="43">
        <v>0</v>
      </c>
      <c r="Z1733" s="43">
        <v>0</v>
      </c>
      <c r="AA1733" s="43">
        <v>0</v>
      </c>
      <c r="AB1733" s="43">
        <v>0</v>
      </c>
      <c r="AC1733" s="43">
        <v>0</v>
      </c>
      <c r="AD1733" s="43">
        <v>0</v>
      </c>
      <c r="AE1733" s="43">
        <v>0</v>
      </c>
    </row>
    <row r="1734" spans="1:31" x14ac:dyDescent="0.45">
      <c r="A1734" t="s">
        <v>2958</v>
      </c>
      <c r="B1734" t="s">
        <v>2471</v>
      </c>
      <c r="C1734" t="s">
        <v>43</v>
      </c>
      <c r="D1734">
        <v>2</v>
      </c>
      <c r="E1734" t="s">
        <v>2959</v>
      </c>
      <c r="L1734" s="43">
        <v>66.453659723176557</v>
      </c>
      <c r="M1734" s="43">
        <v>68.485475215764879</v>
      </c>
      <c r="N1734" s="43">
        <v>58.995402742046402</v>
      </c>
      <c r="O1734" s="43">
        <v>43.916716887965812</v>
      </c>
      <c r="P1734" s="43">
        <v>53.774364143577706</v>
      </c>
      <c r="Q1734" s="43">
        <v>50.675872845484811</v>
      </c>
      <c r="R1734" s="43">
        <v>55.46880544094482</v>
      </c>
      <c r="S1734" s="43">
        <v>61.779135607650517</v>
      </c>
      <c r="T1734" s="43">
        <v>68.278756797558202</v>
      </c>
      <c r="U1734" s="43">
        <v>74.667213426547335</v>
      </c>
      <c r="V1734" s="43">
        <v>82.597719303077696</v>
      </c>
      <c r="W1734" s="43">
        <v>90.528194297201395</v>
      </c>
      <c r="X1734" s="43">
        <v>98.458538681584031</v>
      </c>
      <c r="Y1734" s="43">
        <v>106.38879966199983</v>
      </c>
      <c r="Z1734" s="43">
        <v>114.31912307448249</v>
      </c>
      <c r="AA1734" s="43">
        <v>122.2493141862853</v>
      </c>
      <c r="AB1734" s="43">
        <v>130.17957112660253</v>
      </c>
      <c r="AC1734" s="43">
        <v>138.10868154539935</v>
      </c>
      <c r="AD1734" s="43">
        <v>146.0378588759541</v>
      </c>
      <c r="AE1734" s="43">
        <v>153.96697674227667</v>
      </c>
    </row>
    <row r="1735" spans="1:31" x14ac:dyDescent="0.45">
      <c r="A1735" t="s">
        <v>2960</v>
      </c>
      <c r="B1735" t="s">
        <v>2471</v>
      </c>
      <c r="C1735" t="s">
        <v>113</v>
      </c>
      <c r="D1735">
        <v>2</v>
      </c>
      <c r="E1735" t="s">
        <v>2959</v>
      </c>
      <c r="L1735" s="43">
        <v>66.453659723176557</v>
      </c>
      <c r="M1735" s="43">
        <v>68.485475215764879</v>
      </c>
      <c r="N1735" s="43">
        <v>58.995402742046402</v>
      </c>
      <c r="O1735" s="43">
        <v>43.916716887965812</v>
      </c>
      <c r="P1735" s="43">
        <v>53.774364143577706</v>
      </c>
      <c r="Q1735" s="43">
        <v>50.675872845484811</v>
      </c>
      <c r="R1735" s="43">
        <v>55.46880544094482</v>
      </c>
      <c r="S1735" s="43">
        <v>61.779135607650517</v>
      </c>
      <c r="T1735" s="43">
        <v>68.278756797558202</v>
      </c>
      <c r="U1735" s="43">
        <v>74.667213426547335</v>
      </c>
      <c r="V1735" s="43">
        <v>82.597719303077696</v>
      </c>
      <c r="W1735" s="43">
        <v>90.528194297201395</v>
      </c>
      <c r="X1735" s="43">
        <v>98.458538681584031</v>
      </c>
      <c r="Y1735" s="43">
        <v>106.38879966199983</v>
      </c>
      <c r="Z1735" s="43">
        <v>114.31912307448249</v>
      </c>
      <c r="AA1735" s="43">
        <v>122.2493141862853</v>
      </c>
      <c r="AB1735" s="43">
        <v>130.17957112660253</v>
      </c>
      <c r="AC1735" s="43">
        <v>138.10868154539935</v>
      </c>
      <c r="AD1735" s="43">
        <v>146.0378588759541</v>
      </c>
      <c r="AE1735" s="43">
        <v>153.96697674227667</v>
      </c>
    </row>
    <row r="1736" spans="1:31" x14ac:dyDescent="0.45">
      <c r="A1736" t="s">
        <v>2961</v>
      </c>
      <c r="B1736" t="s">
        <v>2471</v>
      </c>
      <c r="C1736" t="s">
        <v>115</v>
      </c>
      <c r="D1736">
        <v>2</v>
      </c>
      <c r="E1736" t="s">
        <v>2959</v>
      </c>
      <c r="L1736" s="43">
        <v>66.453659723176557</v>
      </c>
      <c r="M1736" s="43">
        <v>68.485475215764879</v>
      </c>
      <c r="N1736" s="43">
        <v>58.995402742046402</v>
      </c>
      <c r="O1736" s="43">
        <v>43.916716887965812</v>
      </c>
      <c r="P1736" s="43">
        <v>53.774364143577706</v>
      </c>
      <c r="Q1736" s="43">
        <v>50.675872845484811</v>
      </c>
      <c r="R1736" s="43">
        <v>55.46880544094482</v>
      </c>
      <c r="S1736" s="43">
        <v>61.779135607650517</v>
      </c>
      <c r="T1736" s="43">
        <v>68.278756797558202</v>
      </c>
      <c r="U1736" s="43">
        <v>74.667213426547335</v>
      </c>
      <c r="V1736" s="43">
        <v>82.597719303077696</v>
      </c>
      <c r="W1736" s="43">
        <v>90.528194297201395</v>
      </c>
      <c r="X1736" s="43">
        <v>98.458538681584031</v>
      </c>
      <c r="Y1736" s="43">
        <v>106.38879966199983</v>
      </c>
      <c r="Z1736" s="43">
        <v>114.31912307448249</v>
      </c>
      <c r="AA1736" s="43">
        <v>122.2493141862853</v>
      </c>
      <c r="AB1736" s="43">
        <v>130.17957112660253</v>
      </c>
      <c r="AC1736" s="43">
        <v>138.10868154539935</v>
      </c>
      <c r="AD1736" s="43">
        <v>146.0378588759541</v>
      </c>
      <c r="AE1736" s="43">
        <v>153.96697674227667</v>
      </c>
    </row>
    <row r="1737" spans="1:31" x14ac:dyDescent="0.45">
      <c r="A1737" t="s">
        <v>2962</v>
      </c>
      <c r="B1737" t="s">
        <v>2471</v>
      </c>
      <c r="C1737" t="s">
        <v>117</v>
      </c>
      <c r="D1737">
        <v>2</v>
      </c>
      <c r="E1737" t="s">
        <v>2959</v>
      </c>
      <c r="L1737" s="43">
        <v>66.453659723176557</v>
      </c>
      <c r="M1737" s="43">
        <v>68.485475215764879</v>
      </c>
      <c r="N1737" s="43">
        <v>58.995402742046402</v>
      </c>
      <c r="O1737" s="43">
        <v>43.916716887965812</v>
      </c>
      <c r="P1737" s="43">
        <v>53.774364143577706</v>
      </c>
      <c r="Q1737" s="43">
        <v>50.675872845484811</v>
      </c>
      <c r="R1737" s="43">
        <v>55.46880544094482</v>
      </c>
      <c r="S1737" s="43">
        <v>61.779135607650517</v>
      </c>
      <c r="T1737" s="43">
        <v>68.278756797558202</v>
      </c>
      <c r="U1737" s="43">
        <v>74.667213426547335</v>
      </c>
      <c r="V1737" s="43">
        <v>82.597719303077696</v>
      </c>
      <c r="W1737" s="43">
        <v>90.528194297201395</v>
      </c>
      <c r="X1737" s="43">
        <v>98.458538681584031</v>
      </c>
      <c r="Y1737" s="43">
        <v>106.38879966199983</v>
      </c>
      <c r="Z1737" s="43">
        <v>114.31912307448249</v>
      </c>
      <c r="AA1737" s="43">
        <v>122.2493141862853</v>
      </c>
      <c r="AB1737" s="43">
        <v>130.17957112660253</v>
      </c>
      <c r="AC1737" s="43">
        <v>138.10868154539935</v>
      </c>
      <c r="AD1737" s="43">
        <v>146.0378588759541</v>
      </c>
      <c r="AE1737" s="43">
        <v>153.96697674227667</v>
      </c>
    </row>
    <row r="1738" spans="1:31" x14ac:dyDescent="0.45">
      <c r="A1738" t="s">
        <v>2963</v>
      </c>
      <c r="B1738" t="s">
        <v>110</v>
      </c>
      <c r="C1738" t="s">
        <v>2675</v>
      </c>
      <c r="D1738">
        <v>2</v>
      </c>
      <c r="E1738" t="s">
        <v>2964</v>
      </c>
      <c r="L1738" s="43">
        <v>48.086991333544489</v>
      </c>
      <c r="M1738" s="43">
        <v>49.677032012339083</v>
      </c>
      <c r="N1738" s="43">
        <v>51.320891261</v>
      </c>
      <c r="O1738" s="43">
        <v>53.020436367115991</v>
      </c>
      <c r="P1738" s="43">
        <v>54.77760125723205</v>
      </c>
      <c r="Q1738" s="43">
        <v>56.594388955214242</v>
      </c>
      <c r="R1738" s="43">
        <v>58.472874134897971</v>
      </c>
      <c r="S1738" s="43">
        <v>60.415205770798046</v>
      </c>
      <c r="T1738" s="43">
        <v>62.423609890817644</v>
      </c>
      <c r="U1738" s="43">
        <v>64.500392435059069</v>
      </c>
      <c r="V1738" s="43">
        <v>66.647942225012031</v>
      </c>
      <c r="W1738" s="43">
        <v>68.868734047575941</v>
      </c>
      <c r="X1738" s="43">
        <v>71.165331858561302</v>
      </c>
      <c r="Y1738" s="43">
        <v>73.540392110512528</v>
      </c>
      <c r="Z1738" s="43">
        <v>75.996667209899613</v>
      </c>
      <c r="AA1738" s="43">
        <v>78.537009108942158</v>
      </c>
      <c r="AB1738" s="43">
        <v>81.164373037552508</v>
      </c>
      <c r="AC1738" s="43">
        <v>83.881821381120091</v>
      </c>
      <c r="AD1738" s="43">
        <v>86.692527710104301</v>
      </c>
      <c r="AE1738" s="43">
        <v>89.599780967658063</v>
      </c>
    </row>
    <row r="1739" spans="1:31" x14ac:dyDescent="0.45">
      <c r="A1739" t="s">
        <v>2965</v>
      </c>
      <c r="B1739" t="s">
        <v>110</v>
      </c>
      <c r="C1739" t="s">
        <v>2675</v>
      </c>
      <c r="D1739">
        <v>2</v>
      </c>
      <c r="E1739" t="s">
        <v>2966</v>
      </c>
      <c r="L1739" s="43">
        <v>0</v>
      </c>
      <c r="M1739" s="43">
        <v>0</v>
      </c>
      <c r="N1739" s="43">
        <v>0</v>
      </c>
      <c r="O1739" s="43">
        <v>0</v>
      </c>
      <c r="P1739" s="43">
        <v>0</v>
      </c>
      <c r="Q1739" s="43">
        <v>313.18092912945133</v>
      </c>
      <c r="R1739" s="43">
        <v>646.88764494852489</v>
      </c>
      <c r="S1739" s="43">
        <v>1002.1648959865571</v>
      </c>
      <c r="T1739" s="43">
        <v>1380.1062236958546</v>
      </c>
      <c r="U1739" s="43">
        <v>1781.8561629939895</v>
      </c>
      <c r="V1739" s="43">
        <v>2208.6125408023772</v>
      </c>
      <c r="W1739" s="43">
        <v>2661.6288769403232</v>
      </c>
      <c r="X1739" s="43">
        <v>3142.2168919286596</v>
      </c>
      <c r="Y1739" s="43">
        <v>3651.7491264608011</v>
      </c>
      <c r="Z1739" s="43">
        <v>4191.6616775120128</v>
      </c>
      <c r="AA1739" s="43">
        <v>4763.45705628019</v>
      </c>
      <c r="AB1739" s="43">
        <v>5368.7071733840539</v>
      </c>
      <c r="AC1739" s="43">
        <v>6009.0564569877843</v>
      </c>
      <c r="AD1739" s="43">
        <v>6686.2251097751796</v>
      </c>
      <c r="AE1739" s="43">
        <v>7402.012510962054</v>
      </c>
    </row>
    <row r="1740" spans="1:31" x14ac:dyDescent="0.45">
      <c r="A1740" t="s">
        <v>2967</v>
      </c>
      <c r="B1740" t="s">
        <v>110</v>
      </c>
      <c r="C1740" t="s">
        <v>2675</v>
      </c>
      <c r="D1740">
        <v>2</v>
      </c>
      <c r="E1740" t="s">
        <v>2968</v>
      </c>
      <c r="L1740" s="43">
        <v>0</v>
      </c>
      <c r="M1740" s="43">
        <v>0</v>
      </c>
      <c r="N1740" s="43">
        <v>0</v>
      </c>
      <c r="O1740" s="43">
        <v>0</v>
      </c>
      <c r="P1740" s="43">
        <v>0</v>
      </c>
      <c r="Q1740" s="43">
        <v>0</v>
      </c>
      <c r="R1740" s="43">
        <v>0</v>
      </c>
      <c r="S1740" s="43">
        <v>0</v>
      </c>
      <c r="T1740" s="43">
        <v>0</v>
      </c>
      <c r="U1740" s="43">
        <v>0</v>
      </c>
      <c r="V1740" s="43">
        <v>0</v>
      </c>
      <c r="W1740" s="43">
        <v>0</v>
      </c>
      <c r="X1740" s="43">
        <v>0</v>
      </c>
      <c r="Y1740" s="43">
        <v>0</v>
      </c>
      <c r="Z1740" s="43">
        <v>0</v>
      </c>
      <c r="AA1740" s="43">
        <v>0</v>
      </c>
      <c r="AB1740" s="43">
        <v>0</v>
      </c>
      <c r="AC1740" s="43">
        <v>0</v>
      </c>
      <c r="AD1740" s="43">
        <v>0</v>
      </c>
      <c r="AE1740" s="43">
        <v>0</v>
      </c>
    </row>
    <row r="1741" spans="1:31" x14ac:dyDescent="0.45">
      <c r="A1741" t="s">
        <v>2969</v>
      </c>
      <c r="B1741" t="s">
        <v>110</v>
      </c>
      <c r="C1741" t="s">
        <v>2675</v>
      </c>
      <c r="D1741">
        <v>2</v>
      </c>
      <c r="E1741" t="s">
        <v>2970</v>
      </c>
      <c r="L1741" s="43">
        <v>0</v>
      </c>
      <c r="M1741" s="43">
        <v>0</v>
      </c>
      <c r="N1741" s="43">
        <v>0</v>
      </c>
      <c r="O1741" s="43">
        <v>0</v>
      </c>
      <c r="P1741" s="43">
        <v>0</v>
      </c>
      <c r="Q1741" s="43">
        <v>313.18092912945133</v>
      </c>
      <c r="R1741" s="43">
        <v>646.88764494852489</v>
      </c>
      <c r="S1741" s="43">
        <v>1002.1648959865571</v>
      </c>
      <c r="T1741" s="43">
        <v>1380.1062236958546</v>
      </c>
      <c r="U1741" s="43">
        <v>1781.8561629939895</v>
      </c>
      <c r="V1741" s="43">
        <v>2208.6125408023772</v>
      </c>
      <c r="W1741" s="43">
        <v>2661.6288769403232</v>
      </c>
      <c r="X1741" s="43">
        <v>3142.2168919286596</v>
      </c>
      <c r="Y1741" s="43">
        <v>3651.7491264608011</v>
      </c>
      <c r="Z1741" s="43">
        <v>4191.6616775120128</v>
      </c>
      <c r="AA1741" s="43">
        <v>4763.45705628019</v>
      </c>
      <c r="AB1741" s="43">
        <v>5368.7071733840539</v>
      </c>
      <c r="AC1741" s="43">
        <v>6009.0564569877843</v>
      </c>
      <c r="AD1741" s="43">
        <v>6686.2251097751796</v>
      </c>
      <c r="AE1741" s="43">
        <v>7402.012510962054</v>
      </c>
    </row>
    <row r="1742" spans="1:31" x14ac:dyDescent="0.45">
      <c r="A1742" t="s">
        <v>2971</v>
      </c>
      <c r="B1742" t="s">
        <v>110</v>
      </c>
      <c r="C1742" t="s">
        <v>2675</v>
      </c>
      <c r="D1742">
        <v>2</v>
      </c>
      <c r="E1742" t="s">
        <v>2972</v>
      </c>
      <c r="L1742" s="43">
        <v>14.019740964534272</v>
      </c>
      <c r="M1742" s="43">
        <v>11.739301230035998</v>
      </c>
      <c r="N1742" s="43">
        <v>13.303124518863104</v>
      </c>
      <c r="O1742" s="43">
        <v>14.156899598427017</v>
      </c>
      <c r="P1742" s="43">
        <v>14.286244741983563</v>
      </c>
      <c r="Q1742" s="43">
        <v>13.482479789369556</v>
      </c>
      <c r="R1742" s="43">
        <v>12.983250913859607</v>
      </c>
      <c r="S1742" s="43">
        <v>12.560793362152866</v>
      </c>
      <c r="T1742" s="43">
        <v>12.187957412625254</v>
      </c>
      <c r="U1742" s="43">
        <v>11.875632686552137</v>
      </c>
      <c r="V1742" s="43">
        <v>11.602689599741135</v>
      </c>
      <c r="W1742" s="43">
        <v>11.378519970656047</v>
      </c>
      <c r="X1742" s="43">
        <v>11.19706469003696</v>
      </c>
      <c r="Y1742" s="43">
        <v>11.054589877296367</v>
      </c>
      <c r="Z1742" s="43">
        <v>10.949977353134972</v>
      </c>
      <c r="AA1742" s="43">
        <v>10.880837147763879</v>
      </c>
      <c r="AB1742" s="43">
        <v>10.844737007963213</v>
      </c>
      <c r="AC1742" s="43">
        <v>10.837962619219041</v>
      </c>
      <c r="AD1742" s="43">
        <v>10.857412419871189</v>
      </c>
      <c r="AE1742" s="43">
        <v>10.900735380545399</v>
      </c>
    </row>
    <row r="1743" spans="1:31" x14ac:dyDescent="0.45">
      <c r="A1743" t="s">
        <v>2973</v>
      </c>
      <c r="B1743" t="s">
        <v>2974</v>
      </c>
      <c r="C1743" t="s">
        <v>2675</v>
      </c>
      <c r="D1743">
        <v>2</v>
      </c>
      <c r="E1743" t="s">
        <v>2975</v>
      </c>
      <c r="L1743" s="43">
        <v>0</v>
      </c>
      <c r="M1743" s="43">
        <v>0</v>
      </c>
      <c r="N1743" s="43">
        <v>0</v>
      </c>
      <c r="O1743" s="43">
        <v>0</v>
      </c>
      <c r="P1743" s="43">
        <v>0</v>
      </c>
      <c r="Q1743" s="43">
        <v>0</v>
      </c>
      <c r="R1743" s="43">
        <v>0</v>
      </c>
      <c r="S1743" s="43">
        <v>0</v>
      </c>
      <c r="T1743" s="43">
        <v>0</v>
      </c>
      <c r="U1743" s="43">
        <v>0</v>
      </c>
      <c r="V1743" s="43">
        <v>0</v>
      </c>
      <c r="W1743" s="43">
        <v>0</v>
      </c>
      <c r="X1743" s="43">
        <v>0</v>
      </c>
      <c r="Y1743" s="43">
        <v>0</v>
      </c>
      <c r="Z1743" s="43">
        <v>0</v>
      </c>
      <c r="AA1743" s="43">
        <v>0</v>
      </c>
      <c r="AB1743" s="43">
        <v>0</v>
      </c>
      <c r="AC1743" s="43">
        <v>0</v>
      </c>
      <c r="AD1743" s="43">
        <v>0</v>
      </c>
      <c r="AE1743" s="43">
        <v>0</v>
      </c>
    </row>
    <row r="1744" spans="1:31" x14ac:dyDescent="0.45">
      <c r="A1744" t="s">
        <v>2976</v>
      </c>
      <c r="B1744" t="s">
        <v>110</v>
      </c>
      <c r="C1744" t="s">
        <v>43</v>
      </c>
      <c r="D1744">
        <v>2</v>
      </c>
      <c r="E1744" t="s">
        <v>2977</v>
      </c>
      <c r="L1744" s="43">
        <v>1901.7140738122609</v>
      </c>
      <c r="M1744" s="43">
        <v>1621.2301769893743</v>
      </c>
      <c r="N1744" s="43">
        <v>1820.8469202303741</v>
      </c>
      <c r="O1744" s="43">
        <v>1904.3670376253485</v>
      </c>
      <c r="P1744" s="43">
        <v>1961.702021253242</v>
      </c>
      <c r="Q1744" s="43">
        <v>2038.9739202925941</v>
      </c>
      <c r="R1744" s="43">
        <v>1847.3650852128353</v>
      </c>
      <c r="S1744" s="43">
        <v>1927.6967656346794</v>
      </c>
      <c r="T1744" s="43">
        <v>2003.6478535386466</v>
      </c>
      <c r="U1744" s="43">
        <v>2080.420807425895</v>
      </c>
      <c r="V1744" s="43">
        <v>2158.1017458230463</v>
      </c>
      <c r="W1744" s="43">
        <v>2238.4314308137432</v>
      </c>
      <c r="X1744" s="43">
        <v>2322.0852782283118</v>
      </c>
      <c r="Y1744" s="43">
        <v>2409.9601076918048</v>
      </c>
      <c r="Z1744" s="43">
        <v>2503.4273650546652</v>
      </c>
      <c r="AA1744" s="43">
        <v>2603.380841256117</v>
      </c>
      <c r="AB1744" s="43">
        <v>2710.5421417180701</v>
      </c>
      <c r="AC1744" s="43">
        <v>2825.0739330466899</v>
      </c>
      <c r="AD1744" s="43">
        <v>2947.1310655860725</v>
      </c>
      <c r="AE1744" s="43">
        <v>3076.9518919077177</v>
      </c>
    </row>
    <row r="1745" spans="1:31" x14ac:dyDescent="0.45">
      <c r="A1745" t="s">
        <v>2978</v>
      </c>
      <c r="B1745" t="s">
        <v>110</v>
      </c>
      <c r="C1745" t="s">
        <v>113</v>
      </c>
      <c r="D1745">
        <v>2</v>
      </c>
      <c r="E1745" t="s">
        <v>2977</v>
      </c>
      <c r="L1745" s="43">
        <v>3210.4467592248702</v>
      </c>
      <c r="M1745" s="43">
        <v>2690.3404093921163</v>
      </c>
      <c r="N1745" s="43">
        <v>3047.5360888007326</v>
      </c>
      <c r="O1745" s="43">
        <v>3240.6928223889822</v>
      </c>
      <c r="P1745" s="43">
        <v>3273.2119677539522</v>
      </c>
      <c r="Q1745" s="43">
        <v>3368.228907853118</v>
      </c>
      <c r="R1745" s="43">
        <v>3064.6631828354202</v>
      </c>
      <c r="S1745" s="43">
        <v>3177.4158490906384</v>
      </c>
      <c r="T1745" s="43">
        <v>3284.1252951076308</v>
      </c>
      <c r="U1745" s="43">
        <v>3391.5167507993629</v>
      </c>
      <c r="V1745" s="43">
        <v>3495.4443719317869</v>
      </c>
      <c r="W1745" s="43">
        <v>3602.4640735657167</v>
      </c>
      <c r="X1745" s="43">
        <v>3713.4594095241946</v>
      </c>
      <c r="Y1745" s="43">
        <v>3829.5951733815596</v>
      </c>
      <c r="Z1745" s="43">
        <v>3952.6477392689649</v>
      </c>
      <c r="AA1745" s="43">
        <v>4083.733553983021</v>
      </c>
      <c r="AB1745" s="43">
        <v>4223.7247296458527</v>
      </c>
      <c r="AC1745" s="43">
        <v>4372.7475422680927</v>
      </c>
      <c r="AD1745" s="43">
        <v>4530.9176443081178</v>
      </c>
      <c r="AE1745" s="43">
        <v>4698.4592756394795</v>
      </c>
    </row>
    <row r="1746" spans="1:31" x14ac:dyDescent="0.45">
      <c r="A1746" t="s">
        <v>2979</v>
      </c>
      <c r="B1746" t="s">
        <v>110</v>
      </c>
      <c r="C1746" t="s">
        <v>115</v>
      </c>
      <c r="D1746">
        <v>2</v>
      </c>
      <c r="E1746" t="s">
        <v>2977</v>
      </c>
      <c r="L1746" s="43">
        <v>0</v>
      </c>
      <c r="M1746" s="43">
        <v>0</v>
      </c>
      <c r="N1746" s="43">
        <v>0</v>
      </c>
      <c r="O1746" s="43">
        <v>0</v>
      </c>
      <c r="P1746" s="43">
        <v>0</v>
      </c>
      <c r="Q1746" s="43">
        <v>0</v>
      </c>
      <c r="R1746" s="43">
        <v>0</v>
      </c>
      <c r="S1746" s="43">
        <v>0</v>
      </c>
      <c r="T1746" s="43">
        <v>0</v>
      </c>
      <c r="U1746" s="43">
        <v>0</v>
      </c>
      <c r="V1746" s="43">
        <v>0</v>
      </c>
      <c r="W1746" s="43">
        <v>0</v>
      </c>
      <c r="X1746" s="43">
        <v>0</v>
      </c>
      <c r="Y1746" s="43">
        <v>0</v>
      </c>
      <c r="Z1746" s="43">
        <v>0</v>
      </c>
      <c r="AA1746" s="43">
        <v>0</v>
      </c>
      <c r="AB1746" s="43">
        <v>0</v>
      </c>
      <c r="AC1746" s="43">
        <v>0</v>
      </c>
      <c r="AD1746" s="43">
        <v>0</v>
      </c>
      <c r="AE1746" s="43">
        <v>0</v>
      </c>
    </row>
    <row r="1747" spans="1:31" x14ac:dyDescent="0.45">
      <c r="A1747" t="s">
        <v>2980</v>
      </c>
      <c r="B1747" t="s">
        <v>110</v>
      </c>
      <c r="C1747" t="s">
        <v>117</v>
      </c>
      <c r="D1747">
        <v>2</v>
      </c>
      <c r="E1747" t="s">
        <v>2977</v>
      </c>
      <c r="L1747" s="43">
        <v>0</v>
      </c>
      <c r="M1747" s="43">
        <v>0</v>
      </c>
      <c r="N1747" s="43">
        <v>0</v>
      </c>
      <c r="O1747" s="43">
        <v>0</v>
      </c>
      <c r="P1747" s="43">
        <v>0</v>
      </c>
      <c r="Q1747" s="43">
        <v>0</v>
      </c>
      <c r="R1747" s="43">
        <v>0</v>
      </c>
      <c r="S1747" s="43">
        <v>0</v>
      </c>
      <c r="T1747" s="43">
        <v>0</v>
      </c>
      <c r="U1747" s="43">
        <v>0</v>
      </c>
      <c r="V1747" s="43">
        <v>0</v>
      </c>
      <c r="W1747" s="43">
        <v>0</v>
      </c>
      <c r="X1747" s="43">
        <v>0</v>
      </c>
      <c r="Y1747" s="43">
        <v>0</v>
      </c>
      <c r="Z1747" s="43">
        <v>0</v>
      </c>
      <c r="AA1747" s="43">
        <v>0</v>
      </c>
      <c r="AB1747" s="43">
        <v>0</v>
      </c>
      <c r="AC1747" s="43">
        <v>0</v>
      </c>
      <c r="AD1747" s="43">
        <v>0</v>
      </c>
      <c r="AE1747" s="43">
        <v>0</v>
      </c>
    </row>
    <row r="1748" spans="1:31" x14ac:dyDescent="0.45">
      <c r="A1748" t="s">
        <v>2981</v>
      </c>
      <c r="B1748" t="s">
        <v>2471</v>
      </c>
      <c r="C1748" t="s">
        <v>43</v>
      </c>
      <c r="D1748">
        <v>2</v>
      </c>
      <c r="E1748" t="s">
        <v>2982</v>
      </c>
      <c r="L1748" s="43">
        <v>66.453659723176557</v>
      </c>
      <c r="M1748" s="43">
        <v>68.485475215764879</v>
      </c>
      <c r="N1748" s="43">
        <v>58.995402742046402</v>
      </c>
      <c r="O1748" s="43">
        <v>43.916716887965812</v>
      </c>
      <c r="P1748" s="43">
        <v>53.774364143577706</v>
      </c>
      <c r="Q1748" s="43">
        <v>42.744789650417033</v>
      </c>
      <c r="R1748" s="43">
        <v>52.296372162917706</v>
      </c>
      <c r="S1748" s="43">
        <v>50.675619134555625</v>
      </c>
      <c r="T1748" s="43">
        <v>49.244157129395532</v>
      </c>
      <c r="U1748" s="43">
        <v>47.701530563316886</v>
      </c>
      <c r="V1748" s="43">
        <v>47.700953244779463</v>
      </c>
      <c r="W1748" s="43">
        <v>47.700345043835391</v>
      </c>
      <c r="X1748" s="43">
        <v>47.699606233150249</v>
      </c>
      <c r="Y1748" s="43">
        <v>47.698784018498259</v>
      </c>
      <c r="Z1748" s="43">
        <v>47.698024235913145</v>
      </c>
      <c r="AA1748" s="43">
        <v>47.69713215264818</v>
      </c>
      <c r="AB1748" s="43">
        <v>47.696305897897624</v>
      </c>
      <c r="AC1748" s="43">
        <v>47.694333121626656</v>
      </c>
      <c r="AD1748" s="43">
        <v>47.692427257113664</v>
      </c>
      <c r="AE1748" s="43">
        <v>47.690461928368428</v>
      </c>
    </row>
    <row r="1749" spans="1:31" x14ac:dyDescent="0.45">
      <c r="A1749" t="s">
        <v>2983</v>
      </c>
      <c r="B1749" t="s">
        <v>2471</v>
      </c>
      <c r="C1749" t="s">
        <v>113</v>
      </c>
      <c r="D1749">
        <v>2</v>
      </c>
      <c r="E1749" t="s">
        <v>2982</v>
      </c>
      <c r="L1749" s="43">
        <v>66.453659723176557</v>
      </c>
      <c r="M1749" s="43">
        <v>68.485475215764879</v>
      </c>
      <c r="N1749" s="43">
        <v>58.995402742046402</v>
      </c>
      <c r="O1749" s="43">
        <v>43.916716887965812</v>
      </c>
      <c r="P1749" s="43">
        <v>53.774364143577706</v>
      </c>
      <c r="Q1749" s="43">
        <v>42.744789650417033</v>
      </c>
      <c r="R1749" s="43">
        <v>52.296372162917706</v>
      </c>
      <c r="S1749" s="43">
        <v>50.675619134555625</v>
      </c>
      <c r="T1749" s="43">
        <v>49.244157129395532</v>
      </c>
      <c r="U1749" s="43">
        <v>47.701530563316886</v>
      </c>
      <c r="V1749" s="43">
        <v>47.700953244779463</v>
      </c>
      <c r="W1749" s="43">
        <v>47.700345043835391</v>
      </c>
      <c r="X1749" s="43">
        <v>47.699606233150249</v>
      </c>
      <c r="Y1749" s="43">
        <v>47.698784018498259</v>
      </c>
      <c r="Z1749" s="43">
        <v>47.698024235913145</v>
      </c>
      <c r="AA1749" s="43">
        <v>47.69713215264818</v>
      </c>
      <c r="AB1749" s="43">
        <v>47.696305897897624</v>
      </c>
      <c r="AC1749" s="43">
        <v>47.694333121626656</v>
      </c>
      <c r="AD1749" s="43">
        <v>47.692427257113664</v>
      </c>
      <c r="AE1749" s="43">
        <v>47.690461928368428</v>
      </c>
    </row>
    <row r="1750" spans="1:31" x14ac:dyDescent="0.45">
      <c r="A1750" t="s">
        <v>2984</v>
      </c>
      <c r="B1750" t="s">
        <v>2471</v>
      </c>
      <c r="C1750" t="s">
        <v>115</v>
      </c>
      <c r="D1750">
        <v>2</v>
      </c>
      <c r="E1750" t="s">
        <v>2982</v>
      </c>
      <c r="L1750" s="43">
        <v>66.453659723176557</v>
      </c>
      <c r="M1750" s="43">
        <v>68.485475215764879</v>
      </c>
      <c r="N1750" s="43">
        <v>58.995402742046402</v>
      </c>
      <c r="O1750" s="43">
        <v>43.916716887965812</v>
      </c>
      <c r="P1750" s="43">
        <v>53.774364143577706</v>
      </c>
      <c r="Q1750" s="43">
        <v>42.744789650417033</v>
      </c>
      <c r="R1750" s="43">
        <v>52.296372162917706</v>
      </c>
      <c r="S1750" s="43">
        <v>50.675619134555625</v>
      </c>
      <c r="T1750" s="43">
        <v>49.244157129395532</v>
      </c>
      <c r="U1750" s="43">
        <v>47.701530563316886</v>
      </c>
      <c r="V1750" s="43">
        <v>47.700953244779463</v>
      </c>
      <c r="W1750" s="43">
        <v>47.700345043835391</v>
      </c>
      <c r="X1750" s="43">
        <v>47.699606233150249</v>
      </c>
      <c r="Y1750" s="43">
        <v>47.698784018498259</v>
      </c>
      <c r="Z1750" s="43">
        <v>47.698024235913145</v>
      </c>
      <c r="AA1750" s="43">
        <v>47.69713215264818</v>
      </c>
      <c r="AB1750" s="43">
        <v>47.696305897897624</v>
      </c>
      <c r="AC1750" s="43">
        <v>47.694333121626656</v>
      </c>
      <c r="AD1750" s="43">
        <v>47.692427257113664</v>
      </c>
      <c r="AE1750" s="43">
        <v>47.690461928368428</v>
      </c>
    </row>
    <row r="1751" spans="1:31" x14ac:dyDescent="0.45">
      <c r="A1751" t="s">
        <v>2985</v>
      </c>
      <c r="B1751" t="s">
        <v>2471</v>
      </c>
      <c r="C1751" t="s">
        <v>117</v>
      </c>
      <c r="D1751">
        <v>2</v>
      </c>
      <c r="E1751" t="s">
        <v>2982</v>
      </c>
      <c r="L1751" s="43">
        <v>66.453659723176557</v>
      </c>
      <c r="M1751" s="43">
        <v>68.485475215764879</v>
      </c>
      <c r="N1751" s="43">
        <v>58.995402742046402</v>
      </c>
      <c r="O1751" s="43">
        <v>43.916716887965812</v>
      </c>
      <c r="P1751" s="43">
        <v>53.774364143577706</v>
      </c>
      <c r="Q1751" s="43">
        <v>42.744789650417033</v>
      </c>
      <c r="R1751" s="43">
        <v>52.296372162917706</v>
      </c>
      <c r="S1751" s="43">
        <v>50.675619134555625</v>
      </c>
      <c r="T1751" s="43">
        <v>49.244157129395532</v>
      </c>
      <c r="U1751" s="43">
        <v>47.701530563316886</v>
      </c>
      <c r="V1751" s="43">
        <v>47.700953244779463</v>
      </c>
      <c r="W1751" s="43">
        <v>47.700345043835391</v>
      </c>
      <c r="X1751" s="43">
        <v>47.699606233150249</v>
      </c>
      <c r="Y1751" s="43">
        <v>47.698784018498259</v>
      </c>
      <c r="Z1751" s="43">
        <v>47.698024235913145</v>
      </c>
      <c r="AA1751" s="43">
        <v>47.69713215264818</v>
      </c>
      <c r="AB1751" s="43">
        <v>47.696305897897624</v>
      </c>
      <c r="AC1751" s="43">
        <v>47.694333121626656</v>
      </c>
      <c r="AD1751" s="43">
        <v>47.692427257113664</v>
      </c>
      <c r="AE1751" s="43">
        <v>47.690461928368428</v>
      </c>
    </row>
    <row r="1752" spans="1:31" x14ac:dyDescent="0.45">
      <c r="A1752" t="s">
        <v>2986</v>
      </c>
      <c r="B1752" t="s">
        <v>110</v>
      </c>
      <c r="C1752" t="s">
        <v>2675</v>
      </c>
      <c r="D1752">
        <v>2</v>
      </c>
      <c r="E1752" t="s">
        <v>2987</v>
      </c>
      <c r="L1752" s="43">
        <v>48.086991333544489</v>
      </c>
      <c r="M1752" s="43">
        <v>49.677032012339083</v>
      </c>
      <c r="N1752" s="43">
        <v>51.320891261</v>
      </c>
      <c r="O1752" s="43">
        <v>53.020436367115991</v>
      </c>
      <c r="P1752" s="43">
        <v>54.77760125723205</v>
      </c>
      <c r="Q1752" s="43">
        <v>56.594388955214242</v>
      </c>
      <c r="R1752" s="43">
        <v>52.898268487056413</v>
      </c>
      <c r="S1752" s="43">
        <v>54.658102166570728</v>
      </c>
      <c r="T1752" s="43">
        <v>56.477973039880865</v>
      </c>
      <c r="U1752" s="43">
        <v>58.359985263376132</v>
      </c>
      <c r="V1752" s="43">
        <v>60.306319036120634</v>
      </c>
      <c r="W1752" s="43">
        <v>62.31923344779446</v>
      </c>
      <c r="X1752" s="43">
        <v>64.401069437751914</v>
      </c>
      <c r="Y1752" s="43">
        <v>66.554252869732267</v>
      </c>
      <c r="Z1752" s="43">
        <v>68.781297726952147</v>
      </c>
      <c r="AA1752" s="43">
        <v>71.084809432511747</v>
      </c>
      <c r="AB1752" s="43">
        <v>73.467488300258267</v>
      </c>
      <c r="AC1752" s="43">
        <v>75.932133121471963</v>
      </c>
      <c r="AD1752" s="43">
        <v>78.481644892970635</v>
      </c>
      <c r="AE1752" s="43">
        <v>81.119030692470545</v>
      </c>
    </row>
    <row r="1753" spans="1:31" x14ac:dyDescent="0.45">
      <c r="A1753" t="s">
        <v>2988</v>
      </c>
      <c r="B1753" t="s">
        <v>110</v>
      </c>
      <c r="C1753" t="s">
        <v>2675</v>
      </c>
      <c r="D1753">
        <v>2</v>
      </c>
      <c r="E1753" t="s">
        <v>2989</v>
      </c>
      <c r="L1753" s="43">
        <v>0</v>
      </c>
      <c r="M1753" s="43">
        <v>0</v>
      </c>
      <c r="N1753" s="43">
        <v>0</v>
      </c>
      <c r="O1753" s="43">
        <v>0</v>
      </c>
      <c r="P1753" s="43">
        <v>0</v>
      </c>
      <c r="Q1753" s="43">
        <v>0</v>
      </c>
      <c r="R1753" s="43">
        <v>1057.9653697411281</v>
      </c>
      <c r="S1753" s="43">
        <v>1093.1620433314145</v>
      </c>
      <c r="T1753" s="43">
        <v>1129.5594607976172</v>
      </c>
      <c r="U1753" s="43">
        <v>1167.1997052675226</v>
      </c>
      <c r="V1753" s="43">
        <v>1206.1263807224125</v>
      </c>
      <c r="W1753" s="43">
        <v>1246.3846689558893</v>
      </c>
      <c r="X1753" s="43">
        <v>1288.0213887550383</v>
      </c>
      <c r="Y1753" s="43">
        <v>1331.0850573946457</v>
      </c>
      <c r="Z1753" s="43">
        <v>1375.6259545390433</v>
      </c>
      <c r="AA1753" s="43">
        <v>1421.6961886502352</v>
      </c>
      <c r="AB1753" s="43">
        <v>1469.3497660051657</v>
      </c>
      <c r="AC1753" s="43">
        <v>1518.6426624294395</v>
      </c>
      <c r="AD1753" s="43">
        <v>1569.6328978594124</v>
      </c>
      <c r="AE1753" s="43">
        <v>1622.3806138494108</v>
      </c>
    </row>
    <row r="1754" spans="1:31" x14ac:dyDescent="0.45">
      <c r="A1754" t="s">
        <v>2990</v>
      </c>
      <c r="B1754" t="s">
        <v>110</v>
      </c>
      <c r="C1754" t="s">
        <v>2675</v>
      </c>
      <c r="D1754">
        <v>2</v>
      </c>
      <c r="E1754" t="s">
        <v>2991</v>
      </c>
      <c r="L1754" s="43">
        <v>0</v>
      </c>
      <c r="M1754" s="43">
        <v>0</v>
      </c>
      <c r="N1754" s="43">
        <v>0</v>
      </c>
      <c r="O1754" s="43">
        <v>0</v>
      </c>
      <c r="P1754" s="43">
        <v>0</v>
      </c>
      <c r="Q1754" s="43">
        <v>0</v>
      </c>
      <c r="R1754" s="43">
        <v>0</v>
      </c>
      <c r="S1754" s="43">
        <v>0</v>
      </c>
      <c r="T1754" s="43">
        <v>0</v>
      </c>
      <c r="U1754" s="43">
        <v>0</v>
      </c>
      <c r="V1754" s="43">
        <v>0</v>
      </c>
      <c r="W1754" s="43">
        <v>0</v>
      </c>
      <c r="X1754" s="43">
        <v>0</v>
      </c>
      <c r="Y1754" s="43">
        <v>0</v>
      </c>
      <c r="Z1754" s="43">
        <v>0</v>
      </c>
      <c r="AA1754" s="43">
        <v>0</v>
      </c>
      <c r="AB1754" s="43">
        <v>0</v>
      </c>
      <c r="AC1754" s="43">
        <v>0</v>
      </c>
      <c r="AD1754" s="43">
        <v>0</v>
      </c>
      <c r="AE1754" s="43">
        <v>0</v>
      </c>
    </row>
    <row r="1755" spans="1:31" x14ac:dyDescent="0.45">
      <c r="A1755" t="s">
        <v>2992</v>
      </c>
      <c r="B1755" t="s">
        <v>110</v>
      </c>
      <c r="C1755" t="s">
        <v>2675</v>
      </c>
      <c r="D1755">
        <v>2</v>
      </c>
      <c r="E1755" t="s">
        <v>2993</v>
      </c>
      <c r="L1755" s="43">
        <v>0</v>
      </c>
      <c r="M1755" s="43">
        <v>0</v>
      </c>
      <c r="N1755" s="43">
        <v>0</v>
      </c>
      <c r="O1755" s="43">
        <v>0</v>
      </c>
      <c r="P1755" s="43">
        <v>0</v>
      </c>
      <c r="Q1755" s="43">
        <v>0</v>
      </c>
      <c r="R1755" s="43">
        <v>1057.9653697411281</v>
      </c>
      <c r="S1755" s="43">
        <v>1093.1620433314145</v>
      </c>
      <c r="T1755" s="43">
        <v>1129.5594607976172</v>
      </c>
      <c r="U1755" s="43">
        <v>1167.1997052675226</v>
      </c>
      <c r="V1755" s="43">
        <v>1206.1263807224125</v>
      </c>
      <c r="W1755" s="43">
        <v>1246.3846689558893</v>
      </c>
      <c r="X1755" s="43">
        <v>1288.0213887550383</v>
      </c>
      <c r="Y1755" s="43">
        <v>1331.0850573946457</v>
      </c>
      <c r="Z1755" s="43">
        <v>1375.6259545390433</v>
      </c>
      <c r="AA1755" s="43">
        <v>1421.6961886502352</v>
      </c>
      <c r="AB1755" s="43">
        <v>1469.3497660051657</v>
      </c>
      <c r="AC1755" s="43">
        <v>1518.6426624294395</v>
      </c>
      <c r="AD1755" s="43">
        <v>1569.6328978594124</v>
      </c>
      <c r="AE1755" s="43">
        <v>1622.3806138494108</v>
      </c>
    </row>
    <row r="1756" spans="1:31" x14ac:dyDescent="0.45">
      <c r="A1756" t="s">
        <v>2994</v>
      </c>
      <c r="B1756" t="s">
        <v>110</v>
      </c>
      <c r="C1756" t="s">
        <v>2675</v>
      </c>
      <c r="D1756">
        <v>2</v>
      </c>
      <c r="E1756" t="s">
        <v>2995</v>
      </c>
      <c r="L1756" s="43">
        <v>14.019740964534272</v>
      </c>
      <c r="M1756" s="43">
        <v>11.739301230035998</v>
      </c>
      <c r="N1756" s="43">
        <v>13.303124518863104</v>
      </c>
      <c r="O1756" s="43">
        <v>14.156899598427017</v>
      </c>
      <c r="P1756" s="43">
        <v>14.286244741983563</v>
      </c>
      <c r="Q1756" s="43">
        <v>14.694194505017343</v>
      </c>
      <c r="R1756" s="43">
        <v>13.372471284389238</v>
      </c>
      <c r="S1756" s="43">
        <v>13.860348019977691</v>
      </c>
      <c r="T1756" s="43">
        <v>14.322100919094265</v>
      </c>
      <c r="U1756" s="43">
        <v>14.786693105898717</v>
      </c>
      <c r="V1756" s="43">
        <v>15.235174577847717</v>
      </c>
      <c r="W1756" s="43">
        <v>15.696887105864223</v>
      </c>
      <c r="X1756" s="43">
        <v>16.175638522314799</v>
      </c>
      <c r="Y1756" s="43">
        <v>16.676446578472209</v>
      </c>
      <c r="Z1756" s="43">
        <v>17.206962374246245</v>
      </c>
      <c r="AA1756" s="43">
        <v>17.77198401678017</v>
      </c>
      <c r="AB1756" s="43">
        <v>18.375251756238463</v>
      </c>
      <c r="AC1756" s="43">
        <v>19.017287803735954</v>
      </c>
      <c r="AD1756" s="43">
        <v>19.698568484950489</v>
      </c>
      <c r="AE1756" s="43">
        <v>20.420037937815266</v>
      </c>
    </row>
    <row r="1757" spans="1:31" x14ac:dyDescent="0.45">
      <c r="A1757" t="s">
        <v>2996</v>
      </c>
      <c r="B1757" t="s">
        <v>2974</v>
      </c>
      <c r="C1757" t="s">
        <v>2675</v>
      </c>
      <c r="D1757">
        <v>2</v>
      </c>
      <c r="E1757" t="s">
        <v>2975</v>
      </c>
      <c r="L1757" s="43">
        <v>0</v>
      </c>
      <c r="M1757" s="43">
        <v>0</v>
      </c>
      <c r="N1757" s="43">
        <v>0</v>
      </c>
      <c r="O1757" s="43">
        <v>0</v>
      </c>
      <c r="P1757" s="43">
        <v>0</v>
      </c>
      <c r="Q1757" s="43">
        <v>0</v>
      </c>
      <c r="R1757" s="43">
        <v>0</v>
      </c>
      <c r="S1757" s="43">
        <v>0</v>
      </c>
      <c r="T1757" s="43">
        <v>0</v>
      </c>
      <c r="U1757" s="43">
        <v>0</v>
      </c>
      <c r="V1757" s="43">
        <v>0</v>
      </c>
      <c r="W1757" s="43">
        <v>0</v>
      </c>
      <c r="X1757" s="43">
        <v>0</v>
      </c>
      <c r="Y1757" s="43">
        <v>0</v>
      </c>
      <c r="Z1757" s="43">
        <v>0</v>
      </c>
      <c r="AA1757" s="43">
        <v>0</v>
      </c>
      <c r="AB1757" s="43">
        <v>0</v>
      </c>
      <c r="AC1757" s="43">
        <v>0</v>
      </c>
      <c r="AD1757" s="43">
        <v>0</v>
      </c>
      <c r="AE1757" s="43">
        <v>0</v>
      </c>
    </row>
    <row r="1758" spans="1:31" x14ac:dyDescent="0.45">
      <c r="A1758" t="s">
        <v>2997</v>
      </c>
      <c r="B1758" t="s">
        <v>110</v>
      </c>
      <c r="C1758" t="s">
        <v>43</v>
      </c>
      <c r="D1758">
        <v>2</v>
      </c>
      <c r="E1758" t="s">
        <v>2998</v>
      </c>
      <c r="L1758" s="43">
        <v>1901.7140738122609</v>
      </c>
      <c r="M1758" s="43">
        <v>1621.2301769893743</v>
      </c>
      <c r="N1758" s="43">
        <v>1820.8469202303741</v>
      </c>
      <c r="O1758" s="43">
        <v>1904.3670376253485</v>
      </c>
      <c r="P1758" s="43">
        <v>1961.702021253242</v>
      </c>
      <c r="Q1758" s="43">
        <v>2038.9739202925941</v>
      </c>
      <c r="R1758" s="43">
        <v>1847.3650852128353</v>
      </c>
      <c r="S1758" s="43">
        <v>1927.6967656346794</v>
      </c>
      <c r="T1758" s="43">
        <v>2003.6478535386466</v>
      </c>
      <c r="U1758" s="43">
        <v>2080.420807425895</v>
      </c>
      <c r="V1758" s="43">
        <v>2158.1017458230463</v>
      </c>
      <c r="W1758" s="43">
        <v>2238.4314308137432</v>
      </c>
      <c r="X1758" s="43">
        <v>2322.0852782283118</v>
      </c>
      <c r="Y1758" s="43">
        <v>2409.9601076918048</v>
      </c>
      <c r="Z1758" s="43">
        <v>2503.4273650546652</v>
      </c>
      <c r="AA1758" s="43">
        <v>2603.380841256117</v>
      </c>
      <c r="AB1758" s="43">
        <v>2710.5421417180701</v>
      </c>
      <c r="AC1758" s="43">
        <v>2825.0739330466899</v>
      </c>
      <c r="AD1758" s="43">
        <v>2947.1310655860725</v>
      </c>
      <c r="AE1758" s="43">
        <v>3076.9518919077177</v>
      </c>
    </row>
    <row r="1759" spans="1:31" x14ac:dyDescent="0.45">
      <c r="A1759" t="s">
        <v>2999</v>
      </c>
      <c r="B1759" t="s">
        <v>110</v>
      </c>
      <c r="C1759" t="s">
        <v>113</v>
      </c>
      <c r="D1759">
        <v>2</v>
      </c>
      <c r="E1759" t="s">
        <v>2998</v>
      </c>
      <c r="L1759" s="43">
        <v>3210.4467592248702</v>
      </c>
      <c r="M1759" s="43">
        <v>2690.3404093921163</v>
      </c>
      <c r="N1759" s="43">
        <v>3047.5360888007326</v>
      </c>
      <c r="O1759" s="43">
        <v>3240.6928223889822</v>
      </c>
      <c r="P1759" s="43">
        <v>3273.2119677539522</v>
      </c>
      <c r="Q1759" s="43">
        <v>3368.228907853118</v>
      </c>
      <c r="R1759" s="43">
        <v>3064.6631828354202</v>
      </c>
      <c r="S1759" s="43">
        <v>3177.4158490906384</v>
      </c>
      <c r="T1759" s="43">
        <v>3284.1252951076308</v>
      </c>
      <c r="U1759" s="43">
        <v>3391.5167507993629</v>
      </c>
      <c r="V1759" s="43">
        <v>3495.4443719317869</v>
      </c>
      <c r="W1759" s="43">
        <v>3602.4640735657167</v>
      </c>
      <c r="X1759" s="43">
        <v>3713.4594095241946</v>
      </c>
      <c r="Y1759" s="43">
        <v>3829.5951733815596</v>
      </c>
      <c r="Z1759" s="43">
        <v>3952.6477392689649</v>
      </c>
      <c r="AA1759" s="43">
        <v>4083.733553983021</v>
      </c>
      <c r="AB1759" s="43">
        <v>4223.7247296458527</v>
      </c>
      <c r="AC1759" s="43">
        <v>4372.7475422680927</v>
      </c>
      <c r="AD1759" s="43">
        <v>4530.9176443081178</v>
      </c>
      <c r="AE1759" s="43">
        <v>4698.4592756394795</v>
      </c>
    </row>
    <row r="1760" spans="1:31" x14ac:dyDescent="0.45">
      <c r="A1760" t="s">
        <v>3000</v>
      </c>
      <c r="B1760" t="s">
        <v>110</v>
      </c>
      <c r="C1760" t="s">
        <v>115</v>
      </c>
      <c r="D1760">
        <v>2</v>
      </c>
      <c r="E1760" t="s">
        <v>2998</v>
      </c>
      <c r="L1760" s="43">
        <v>0</v>
      </c>
      <c r="M1760" s="43">
        <v>0</v>
      </c>
      <c r="N1760" s="43">
        <v>0</v>
      </c>
      <c r="O1760" s="43">
        <v>0</v>
      </c>
      <c r="P1760" s="43">
        <v>0</v>
      </c>
      <c r="Q1760" s="43">
        <v>0</v>
      </c>
      <c r="R1760" s="43">
        <v>0</v>
      </c>
      <c r="S1760" s="43">
        <v>0</v>
      </c>
      <c r="T1760" s="43">
        <v>0</v>
      </c>
      <c r="U1760" s="43">
        <v>0</v>
      </c>
      <c r="V1760" s="43">
        <v>0</v>
      </c>
      <c r="W1760" s="43">
        <v>0</v>
      </c>
      <c r="X1760" s="43">
        <v>0</v>
      </c>
      <c r="Y1760" s="43">
        <v>0</v>
      </c>
      <c r="Z1760" s="43">
        <v>0</v>
      </c>
      <c r="AA1760" s="43">
        <v>0</v>
      </c>
      <c r="AB1760" s="43">
        <v>0</v>
      </c>
      <c r="AC1760" s="43">
        <v>0</v>
      </c>
      <c r="AD1760" s="43">
        <v>0</v>
      </c>
      <c r="AE1760" s="43">
        <v>0</v>
      </c>
    </row>
    <row r="1761" spans="1:31" x14ac:dyDescent="0.45">
      <c r="A1761" t="s">
        <v>3001</v>
      </c>
      <c r="B1761" t="s">
        <v>110</v>
      </c>
      <c r="C1761" t="s">
        <v>117</v>
      </c>
      <c r="D1761">
        <v>2</v>
      </c>
      <c r="E1761" t="s">
        <v>2998</v>
      </c>
      <c r="L1761" s="43">
        <v>0</v>
      </c>
      <c r="M1761" s="43">
        <v>0</v>
      </c>
      <c r="N1761" s="43">
        <v>0</v>
      </c>
      <c r="O1761" s="43">
        <v>0</v>
      </c>
      <c r="P1761" s="43">
        <v>0</v>
      </c>
      <c r="Q1761" s="43">
        <v>0</v>
      </c>
      <c r="R1761" s="43">
        <v>0</v>
      </c>
      <c r="S1761" s="43">
        <v>0</v>
      </c>
      <c r="T1761" s="43">
        <v>0</v>
      </c>
      <c r="U1761" s="43">
        <v>0</v>
      </c>
      <c r="V1761" s="43">
        <v>0</v>
      </c>
      <c r="W1761" s="43">
        <v>0</v>
      </c>
      <c r="X1761" s="43">
        <v>0</v>
      </c>
      <c r="Y1761" s="43">
        <v>0</v>
      </c>
      <c r="Z1761" s="43">
        <v>0</v>
      </c>
      <c r="AA1761" s="43">
        <v>0</v>
      </c>
      <c r="AB1761" s="43">
        <v>0</v>
      </c>
      <c r="AC1761" s="43">
        <v>0</v>
      </c>
      <c r="AD1761" s="43">
        <v>0</v>
      </c>
      <c r="AE1761" s="43">
        <v>0</v>
      </c>
    </row>
    <row r="1762" spans="1:31" x14ac:dyDescent="0.45">
      <c r="A1762" t="s">
        <v>3002</v>
      </c>
      <c r="B1762" t="s">
        <v>2471</v>
      </c>
      <c r="C1762" t="s">
        <v>43</v>
      </c>
      <c r="D1762">
        <v>2</v>
      </c>
      <c r="E1762" t="s">
        <v>3003</v>
      </c>
      <c r="L1762" s="43">
        <v>66.453659723176557</v>
      </c>
      <c r="M1762" s="43">
        <v>68.485475215764879</v>
      </c>
      <c r="N1762" s="43">
        <v>58.995402742046402</v>
      </c>
      <c r="O1762" s="43">
        <v>43.916716887965812</v>
      </c>
      <c r="P1762" s="43">
        <v>53.774364143577706</v>
      </c>
      <c r="Q1762" s="43">
        <v>42.744789650417033</v>
      </c>
      <c r="R1762" s="43">
        <v>52.296372162917706</v>
      </c>
      <c r="S1762" s="43">
        <v>50.675619134555625</v>
      </c>
      <c r="T1762" s="43">
        <v>49.244157129395532</v>
      </c>
      <c r="U1762" s="43">
        <v>47.701530563316886</v>
      </c>
      <c r="V1762" s="43">
        <v>47.700953244779463</v>
      </c>
      <c r="W1762" s="43">
        <v>47.700345043835391</v>
      </c>
      <c r="X1762" s="43">
        <v>47.699606233150249</v>
      </c>
      <c r="Y1762" s="43">
        <v>47.698784018498259</v>
      </c>
      <c r="Z1762" s="43">
        <v>47.698024235913145</v>
      </c>
      <c r="AA1762" s="43">
        <v>47.69713215264818</v>
      </c>
      <c r="AB1762" s="43">
        <v>47.696305897897624</v>
      </c>
      <c r="AC1762" s="43">
        <v>47.694333121626656</v>
      </c>
      <c r="AD1762" s="43">
        <v>47.692427257113664</v>
      </c>
      <c r="AE1762" s="43">
        <v>47.690461928368428</v>
      </c>
    </row>
    <row r="1763" spans="1:31" x14ac:dyDescent="0.45">
      <c r="A1763" t="s">
        <v>3004</v>
      </c>
      <c r="B1763" t="s">
        <v>2471</v>
      </c>
      <c r="C1763" t="s">
        <v>113</v>
      </c>
      <c r="D1763">
        <v>2</v>
      </c>
      <c r="E1763" t="s">
        <v>3003</v>
      </c>
      <c r="L1763" s="43">
        <v>66.453659723176557</v>
      </c>
      <c r="M1763" s="43">
        <v>68.485475215764879</v>
      </c>
      <c r="N1763" s="43">
        <v>58.995402742046402</v>
      </c>
      <c r="O1763" s="43">
        <v>43.916716887965812</v>
      </c>
      <c r="P1763" s="43">
        <v>53.774364143577706</v>
      </c>
      <c r="Q1763" s="43">
        <v>42.744789650417033</v>
      </c>
      <c r="R1763" s="43">
        <v>52.296372162917706</v>
      </c>
      <c r="S1763" s="43">
        <v>50.675619134555625</v>
      </c>
      <c r="T1763" s="43">
        <v>49.244157129395532</v>
      </c>
      <c r="U1763" s="43">
        <v>47.701530563316886</v>
      </c>
      <c r="V1763" s="43">
        <v>47.700953244779463</v>
      </c>
      <c r="W1763" s="43">
        <v>47.700345043835391</v>
      </c>
      <c r="X1763" s="43">
        <v>47.699606233150249</v>
      </c>
      <c r="Y1763" s="43">
        <v>47.698784018498259</v>
      </c>
      <c r="Z1763" s="43">
        <v>47.698024235913145</v>
      </c>
      <c r="AA1763" s="43">
        <v>47.69713215264818</v>
      </c>
      <c r="AB1763" s="43">
        <v>47.696305897897624</v>
      </c>
      <c r="AC1763" s="43">
        <v>47.694333121626656</v>
      </c>
      <c r="AD1763" s="43">
        <v>47.692427257113664</v>
      </c>
      <c r="AE1763" s="43">
        <v>47.690461928368428</v>
      </c>
    </row>
    <row r="1764" spans="1:31" x14ac:dyDescent="0.45">
      <c r="A1764" t="s">
        <v>3005</v>
      </c>
      <c r="B1764" t="s">
        <v>2471</v>
      </c>
      <c r="C1764" t="s">
        <v>115</v>
      </c>
      <c r="D1764">
        <v>2</v>
      </c>
      <c r="E1764" t="s">
        <v>3003</v>
      </c>
      <c r="L1764" s="43">
        <v>66.453659723176557</v>
      </c>
      <c r="M1764" s="43">
        <v>68.485475215764879</v>
      </c>
      <c r="N1764" s="43">
        <v>58.995402742046402</v>
      </c>
      <c r="O1764" s="43">
        <v>43.916716887965812</v>
      </c>
      <c r="P1764" s="43">
        <v>53.774364143577706</v>
      </c>
      <c r="Q1764" s="43">
        <v>42.744789650417033</v>
      </c>
      <c r="R1764" s="43">
        <v>52.296372162917706</v>
      </c>
      <c r="S1764" s="43">
        <v>50.675619134555625</v>
      </c>
      <c r="T1764" s="43">
        <v>49.244157129395532</v>
      </c>
      <c r="U1764" s="43">
        <v>47.701530563316886</v>
      </c>
      <c r="V1764" s="43">
        <v>47.700953244779463</v>
      </c>
      <c r="W1764" s="43">
        <v>47.700345043835391</v>
      </c>
      <c r="X1764" s="43">
        <v>47.699606233150249</v>
      </c>
      <c r="Y1764" s="43">
        <v>47.698784018498259</v>
      </c>
      <c r="Z1764" s="43">
        <v>47.698024235913145</v>
      </c>
      <c r="AA1764" s="43">
        <v>47.69713215264818</v>
      </c>
      <c r="AB1764" s="43">
        <v>47.696305897897624</v>
      </c>
      <c r="AC1764" s="43">
        <v>47.694333121626656</v>
      </c>
      <c r="AD1764" s="43">
        <v>47.692427257113664</v>
      </c>
      <c r="AE1764" s="43">
        <v>47.690461928368428</v>
      </c>
    </row>
    <row r="1765" spans="1:31" x14ac:dyDescent="0.45">
      <c r="A1765" t="s">
        <v>3006</v>
      </c>
      <c r="B1765" t="s">
        <v>2471</v>
      </c>
      <c r="C1765" t="s">
        <v>117</v>
      </c>
      <c r="D1765">
        <v>2</v>
      </c>
      <c r="E1765" t="s">
        <v>3003</v>
      </c>
      <c r="L1765" s="43">
        <v>66.453659723176557</v>
      </c>
      <c r="M1765" s="43">
        <v>68.485475215764879</v>
      </c>
      <c r="N1765" s="43">
        <v>58.995402742046402</v>
      </c>
      <c r="O1765" s="43">
        <v>43.916716887965812</v>
      </c>
      <c r="P1765" s="43">
        <v>53.774364143577706</v>
      </c>
      <c r="Q1765" s="43">
        <v>42.744789650417033</v>
      </c>
      <c r="R1765" s="43">
        <v>52.296372162917706</v>
      </c>
      <c r="S1765" s="43">
        <v>50.675619134555625</v>
      </c>
      <c r="T1765" s="43">
        <v>49.244157129395532</v>
      </c>
      <c r="U1765" s="43">
        <v>47.701530563316886</v>
      </c>
      <c r="V1765" s="43">
        <v>47.700953244779463</v>
      </c>
      <c r="W1765" s="43">
        <v>47.700345043835391</v>
      </c>
      <c r="X1765" s="43">
        <v>47.699606233150249</v>
      </c>
      <c r="Y1765" s="43">
        <v>47.698784018498259</v>
      </c>
      <c r="Z1765" s="43">
        <v>47.698024235913145</v>
      </c>
      <c r="AA1765" s="43">
        <v>47.69713215264818</v>
      </c>
      <c r="AB1765" s="43">
        <v>47.696305897897624</v>
      </c>
      <c r="AC1765" s="43">
        <v>47.694333121626656</v>
      </c>
      <c r="AD1765" s="43">
        <v>47.692427257113664</v>
      </c>
      <c r="AE1765" s="43">
        <v>47.690461928368428</v>
      </c>
    </row>
    <row r="1766" spans="1:31" x14ac:dyDescent="0.45">
      <c r="A1766" t="s">
        <v>3007</v>
      </c>
      <c r="B1766" t="s">
        <v>110</v>
      </c>
      <c r="C1766" t="s">
        <v>2675</v>
      </c>
      <c r="D1766">
        <v>2</v>
      </c>
      <c r="E1766" t="s">
        <v>3008</v>
      </c>
      <c r="L1766" s="43">
        <v>48.086991333544489</v>
      </c>
      <c r="M1766" s="43">
        <v>49.677032012339083</v>
      </c>
      <c r="N1766" s="43">
        <v>51.320891261</v>
      </c>
      <c r="O1766" s="43">
        <v>53.020436367115991</v>
      </c>
      <c r="P1766" s="43">
        <v>54.77760125723205</v>
      </c>
      <c r="Q1766" s="43">
        <v>56.594388955214242</v>
      </c>
      <c r="R1766" s="43">
        <v>56.95822661851966</v>
      </c>
      <c r="S1766" s="43">
        <v>58.852036389323892</v>
      </c>
      <c r="T1766" s="43">
        <v>60.810342425384711</v>
      </c>
      <c r="U1766" s="43">
        <v>62.8353988831797</v>
      </c>
      <c r="V1766" s="43">
        <v>64.929541082585544</v>
      </c>
      <c r="W1766" s="43">
        <v>67.095188533368542</v>
      </c>
      <c r="X1766" s="43">
        <v>69.334848079208342</v>
      </c>
      <c r="Y1766" s="43">
        <v>71.651117164030921</v>
      </c>
      <c r="Z1766" s="43">
        <v>74.046687225629398</v>
      </c>
      <c r="AA1766" s="43">
        <v>76.524347221764771</v>
      </c>
      <c r="AB1766" s="43">
        <v>79.086987294159897</v>
      </c>
      <c r="AC1766" s="43">
        <v>81.737602576032344</v>
      </c>
      <c r="AD1766" s="43">
        <v>84.479297149054361</v>
      </c>
      <c r="AE1766" s="43">
        <v>87.31528815588122</v>
      </c>
    </row>
    <row r="1767" spans="1:31" x14ac:dyDescent="0.45">
      <c r="A1767" t="s">
        <v>3009</v>
      </c>
      <c r="B1767" t="s">
        <v>110</v>
      </c>
      <c r="C1767" t="s">
        <v>2675</v>
      </c>
      <c r="D1767">
        <v>2</v>
      </c>
      <c r="E1767" t="s">
        <v>3010</v>
      </c>
      <c r="L1767" s="43">
        <v>0</v>
      </c>
      <c r="M1767" s="43">
        <v>0</v>
      </c>
      <c r="N1767" s="43">
        <v>0</v>
      </c>
      <c r="O1767" s="43">
        <v>0</v>
      </c>
      <c r="P1767" s="43">
        <v>0</v>
      </c>
      <c r="Q1767" s="43">
        <v>0</v>
      </c>
      <c r="R1767" s="43">
        <v>504.02954432644299</v>
      </c>
      <c r="S1767" s="43">
        <v>520.59186271947965</v>
      </c>
      <c r="T1767" s="43">
        <v>537.71770413942943</v>
      </c>
      <c r="U1767" s="43">
        <v>555.42686035444433</v>
      </c>
      <c r="V1767" s="43">
        <v>573.73983914371013</v>
      </c>
      <c r="W1767" s="43">
        <v>592.67789094096656</v>
      </c>
      <c r="X1767" s="43">
        <v>612.26303649661156</v>
      </c>
      <c r="Y1767" s="43">
        <v>632.51809559834771</v>
      </c>
      <c r="Z1767" s="43">
        <v>653.46671689193511</v>
      </c>
      <c r="AA1767" s="43">
        <v>675.13340884529282</v>
      </c>
      <c r="AB1767" s="43">
        <v>697.54357190091923</v>
      </c>
      <c r="AC1767" s="43">
        <v>720.72353186342718</v>
      </c>
      <c r="AD1767" s="43">
        <v>744.70057457087296</v>
      </c>
      <c r="AE1767" s="43">
        <v>769.50298190052069</v>
      </c>
    </row>
    <row r="1768" spans="1:31" x14ac:dyDescent="0.45">
      <c r="A1768" t="s">
        <v>3011</v>
      </c>
      <c r="B1768" t="s">
        <v>110</v>
      </c>
      <c r="C1768" t="s">
        <v>2675</v>
      </c>
      <c r="D1768">
        <v>2</v>
      </c>
      <c r="E1768" t="s">
        <v>3012</v>
      </c>
      <c r="L1768" s="43">
        <v>0</v>
      </c>
      <c r="M1768" s="43">
        <v>0</v>
      </c>
      <c r="N1768" s="43">
        <v>0</v>
      </c>
      <c r="O1768" s="43">
        <v>0</v>
      </c>
      <c r="P1768" s="43">
        <v>0</v>
      </c>
      <c r="Q1768" s="43">
        <v>0</v>
      </c>
      <c r="R1768" s="43">
        <v>0</v>
      </c>
      <c r="S1768" s="43">
        <v>0</v>
      </c>
      <c r="T1768" s="43">
        <v>0</v>
      </c>
      <c r="U1768" s="43">
        <v>0</v>
      </c>
      <c r="V1768" s="43">
        <v>0</v>
      </c>
      <c r="W1768" s="43">
        <v>0</v>
      </c>
      <c r="X1768" s="43">
        <v>0</v>
      </c>
      <c r="Y1768" s="43">
        <v>0</v>
      </c>
      <c r="Z1768" s="43">
        <v>0</v>
      </c>
      <c r="AA1768" s="43">
        <v>0</v>
      </c>
      <c r="AB1768" s="43">
        <v>0</v>
      </c>
      <c r="AC1768" s="43">
        <v>0</v>
      </c>
      <c r="AD1768" s="43">
        <v>0</v>
      </c>
      <c r="AE1768" s="43">
        <v>0</v>
      </c>
    </row>
    <row r="1769" spans="1:31" x14ac:dyDescent="0.45">
      <c r="A1769" t="s">
        <v>3013</v>
      </c>
      <c r="B1769" t="s">
        <v>110</v>
      </c>
      <c r="C1769" t="s">
        <v>2675</v>
      </c>
      <c r="D1769">
        <v>2</v>
      </c>
      <c r="E1769" t="s">
        <v>3014</v>
      </c>
      <c r="L1769" s="43">
        <v>0</v>
      </c>
      <c r="M1769" s="43">
        <v>0</v>
      </c>
      <c r="N1769" s="43">
        <v>0</v>
      </c>
      <c r="O1769" s="43">
        <v>0</v>
      </c>
      <c r="P1769" s="43">
        <v>0</v>
      </c>
      <c r="Q1769" s="43">
        <v>0</v>
      </c>
      <c r="R1769" s="43">
        <v>504.02954432644299</v>
      </c>
      <c r="S1769" s="43">
        <v>520.59186271947965</v>
      </c>
      <c r="T1769" s="43">
        <v>537.71770413942943</v>
      </c>
      <c r="U1769" s="43">
        <v>555.42686035444433</v>
      </c>
      <c r="V1769" s="43">
        <v>573.73983914371013</v>
      </c>
      <c r="W1769" s="43">
        <v>592.67789094096656</v>
      </c>
      <c r="X1769" s="43">
        <v>612.26303649661156</v>
      </c>
      <c r="Y1769" s="43">
        <v>632.51809559834771</v>
      </c>
      <c r="Z1769" s="43">
        <v>653.46671689193511</v>
      </c>
      <c r="AA1769" s="43">
        <v>675.13340884529282</v>
      </c>
      <c r="AB1769" s="43">
        <v>697.54357190091923</v>
      </c>
      <c r="AC1769" s="43">
        <v>720.72353186342718</v>
      </c>
      <c r="AD1769" s="43">
        <v>744.70057457087296</v>
      </c>
      <c r="AE1769" s="43">
        <v>769.50298190052069</v>
      </c>
    </row>
    <row r="1770" spans="1:31" x14ac:dyDescent="0.45">
      <c r="A1770" t="s">
        <v>3015</v>
      </c>
      <c r="B1770" t="s">
        <v>110</v>
      </c>
      <c r="C1770" t="s">
        <v>2675</v>
      </c>
      <c r="D1770">
        <v>2</v>
      </c>
      <c r="E1770" t="s">
        <v>3016</v>
      </c>
      <c r="L1770" s="43">
        <v>14.019740964534272</v>
      </c>
      <c r="M1770" s="43">
        <v>11.739301230035998</v>
      </c>
      <c r="N1770" s="43">
        <v>13.303124518863104</v>
      </c>
      <c r="O1770" s="43">
        <v>14.156899598427017</v>
      </c>
      <c r="P1770" s="43">
        <v>14.286244741983563</v>
      </c>
      <c r="Q1770" s="43">
        <v>14.694194505017343</v>
      </c>
      <c r="R1770" s="43">
        <v>13.372471284389238</v>
      </c>
      <c r="S1770" s="43">
        <v>13.860348019977691</v>
      </c>
      <c r="T1770" s="43">
        <v>14.322100919094265</v>
      </c>
      <c r="U1770" s="43">
        <v>14.786693105898717</v>
      </c>
      <c r="V1770" s="43">
        <v>15.235174577847717</v>
      </c>
      <c r="W1770" s="43">
        <v>15.696887105864223</v>
      </c>
      <c r="X1770" s="43">
        <v>16.175638522314799</v>
      </c>
      <c r="Y1770" s="43">
        <v>16.676446578472209</v>
      </c>
      <c r="Z1770" s="43">
        <v>17.206962374246245</v>
      </c>
      <c r="AA1770" s="43">
        <v>17.77198401678017</v>
      </c>
      <c r="AB1770" s="43">
        <v>18.375251756238463</v>
      </c>
      <c r="AC1770" s="43">
        <v>19.017287803735954</v>
      </c>
      <c r="AD1770" s="43">
        <v>19.698568484950489</v>
      </c>
      <c r="AE1770" s="43">
        <v>20.420037937815266</v>
      </c>
    </row>
    <row r="1771" spans="1:31" x14ac:dyDescent="0.45">
      <c r="A1771" t="s">
        <v>3017</v>
      </c>
      <c r="B1771" t="s">
        <v>2974</v>
      </c>
      <c r="C1771" t="s">
        <v>2675</v>
      </c>
      <c r="D1771">
        <v>2</v>
      </c>
      <c r="E1771" t="s">
        <v>2975</v>
      </c>
      <c r="L1771" s="43">
        <v>0</v>
      </c>
      <c r="M1771" s="43">
        <v>0</v>
      </c>
      <c r="N1771" s="43">
        <v>0</v>
      </c>
      <c r="O1771" s="43">
        <v>0</v>
      </c>
      <c r="P1771" s="43">
        <v>0</v>
      </c>
      <c r="Q1771" s="43">
        <v>0</v>
      </c>
      <c r="R1771" s="43">
        <v>0</v>
      </c>
      <c r="S1771" s="43">
        <v>0</v>
      </c>
      <c r="T1771" s="43">
        <v>0</v>
      </c>
      <c r="U1771" s="43">
        <v>0</v>
      </c>
      <c r="V1771" s="43">
        <v>0</v>
      </c>
      <c r="W1771" s="43">
        <v>0</v>
      </c>
      <c r="X1771" s="43">
        <v>0</v>
      </c>
      <c r="Y1771" s="43">
        <v>0</v>
      </c>
      <c r="Z1771" s="43">
        <v>0</v>
      </c>
      <c r="AA1771" s="43">
        <v>0</v>
      </c>
      <c r="AB1771" s="43">
        <v>0</v>
      </c>
      <c r="AC1771" s="43">
        <v>0</v>
      </c>
      <c r="AD1771" s="43">
        <v>0</v>
      </c>
      <c r="AE1771" s="43">
        <v>0</v>
      </c>
    </row>
    <row r="1772" spans="1:31" x14ac:dyDescent="0.45">
      <c r="A1772" t="s">
        <v>3018</v>
      </c>
      <c r="B1772" t="s">
        <v>110</v>
      </c>
      <c r="C1772" t="s">
        <v>43</v>
      </c>
      <c r="D1772">
        <v>2</v>
      </c>
      <c r="E1772" t="s">
        <v>3019</v>
      </c>
      <c r="L1772" s="43">
        <v>1901.7140738122609</v>
      </c>
      <c r="M1772" s="43">
        <v>1621.2301769893743</v>
      </c>
      <c r="N1772" s="43">
        <v>1820.8469202303741</v>
      </c>
      <c r="O1772" s="43">
        <v>1904.3670376253485</v>
      </c>
      <c r="P1772" s="43">
        <v>1961.702021253242</v>
      </c>
      <c r="Q1772" s="43">
        <v>2038.9739202925941</v>
      </c>
      <c r="R1772" s="43">
        <v>1847.3650852128353</v>
      </c>
      <c r="S1772" s="43">
        <v>1927.6967656346794</v>
      </c>
      <c r="T1772" s="43">
        <v>2003.6478535386466</v>
      </c>
      <c r="U1772" s="43">
        <v>2080.420807425895</v>
      </c>
      <c r="V1772" s="43">
        <v>2158.1017458230463</v>
      </c>
      <c r="W1772" s="43">
        <v>2238.4314308137432</v>
      </c>
      <c r="X1772" s="43">
        <v>2322.0852782283118</v>
      </c>
      <c r="Y1772" s="43">
        <v>2409.9601076918048</v>
      </c>
      <c r="Z1772" s="43">
        <v>2503.4273650546652</v>
      </c>
      <c r="AA1772" s="43">
        <v>2603.380841256117</v>
      </c>
      <c r="AB1772" s="43">
        <v>2710.5421417180701</v>
      </c>
      <c r="AC1772" s="43">
        <v>2825.0739330466899</v>
      </c>
      <c r="AD1772" s="43">
        <v>2947.1310655860725</v>
      </c>
      <c r="AE1772" s="43">
        <v>3076.9518919077177</v>
      </c>
    </row>
    <row r="1773" spans="1:31" x14ac:dyDescent="0.45">
      <c r="A1773" t="s">
        <v>3020</v>
      </c>
      <c r="B1773" t="s">
        <v>110</v>
      </c>
      <c r="C1773" t="s">
        <v>113</v>
      </c>
      <c r="D1773">
        <v>2</v>
      </c>
      <c r="E1773" t="s">
        <v>3019</v>
      </c>
      <c r="L1773" s="43">
        <v>3210.4467592248702</v>
      </c>
      <c r="M1773" s="43">
        <v>2690.3404093921163</v>
      </c>
      <c r="N1773" s="43">
        <v>3047.5360888007326</v>
      </c>
      <c r="O1773" s="43">
        <v>3240.6928223889822</v>
      </c>
      <c r="P1773" s="43">
        <v>3273.2119677539522</v>
      </c>
      <c r="Q1773" s="43">
        <v>3368.228907853118</v>
      </c>
      <c r="R1773" s="43">
        <v>3064.6631828354202</v>
      </c>
      <c r="S1773" s="43">
        <v>3177.4158490906384</v>
      </c>
      <c r="T1773" s="43">
        <v>3284.1252951076308</v>
      </c>
      <c r="U1773" s="43">
        <v>3391.5167507993629</v>
      </c>
      <c r="V1773" s="43">
        <v>3495.4443719317869</v>
      </c>
      <c r="W1773" s="43">
        <v>3602.4640735657167</v>
      </c>
      <c r="X1773" s="43">
        <v>3713.4594095241946</v>
      </c>
      <c r="Y1773" s="43">
        <v>3829.5951733815596</v>
      </c>
      <c r="Z1773" s="43">
        <v>3952.6477392689649</v>
      </c>
      <c r="AA1773" s="43">
        <v>4083.733553983021</v>
      </c>
      <c r="AB1773" s="43">
        <v>4223.7247296458527</v>
      </c>
      <c r="AC1773" s="43">
        <v>4372.7475422680927</v>
      </c>
      <c r="AD1773" s="43">
        <v>4530.9176443081178</v>
      </c>
      <c r="AE1773" s="43">
        <v>4698.4592756394795</v>
      </c>
    </row>
    <row r="1774" spans="1:31" x14ac:dyDescent="0.45">
      <c r="A1774" t="s">
        <v>3021</v>
      </c>
      <c r="B1774" t="s">
        <v>110</v>
      </c>
      <c r="C1774" t="s">
        <v>115</v>
      </c>
      <c r="D1774">
        <v>2</v>
      </c>
      <c r="E1774" t="s">
        <v>3019</v>
      </c>
      <c r="L1774" s="43">
        <v>0</v>
      </c>
      <c r="M1774" s="43">
        <v>0</v>
      </c>
      <c r="N1774" s="43">
        <v>0</v>
      </c>
      <c r="O1774" s="43">
        <v>0</v>
      </c>
      <c r="P1774" s="43">
        <v>0</v>
      </c>
      <c r="Q1774" s="43">
        <v>0</v>
      </c>
      <c r="R1774" s="43">
        <v>0</v>
      </c>
      <c r="S1774" s="43">
        <v>0</v>
      </c>
      <c r="T1774" s="43">
        <v>0</v>
      </c>
      <c r="U1774" s="43">
        <v>0</v>
      </c>
      <c r="V1774" s="43">
        <v>0</v>
      </c>
      <c r="W1774" s="43">
        <v>0</v>
      </c>
      <c r="X1774" s="43">
        <v>0</v>
      </c>
      <c r="Y1774" s="43">
        <v>0</v>
      </c>
      <c r="Z1774" s="43">
        <v>0</v>
      </c>
      <c r="AA1774" s="43">
        <v>0</v>
      </c>
      <c r="AB1774" s="43">
        <v>0</v>
      </c>
      <c r="AC1774" s="43">
        <v>0</v>
      </c>
      <c r="AD1774" s="43">
        <v>0</v>
      </c>
      <c r="AE1774" s="43">
        <v>0</v>
      </c>
    </row>
    <row r="1775" spans="1:31" x14ac:dyDescent="0.45">
      <c r="A1775" t="s">
        <v>3022</v>
      </c>
      <c r="B1775" t="s">
        <v>110</v>
      </c>
      <c r="C1775" t="s">
        <v>117</v>
      </c>
      <c r="D1775">
        <v>2</v>
      </c>
      <c r="E1775" t="s">
        <v>3019</v>
      </c>
      <c r="L1775" s="43">
        <v>0</v>
      </c>
      <c r="M1775" s="43">
        <v>0</v>
      </c>
      <c r="N1775" s="43">
        <v>0</v>
      </c>
      <c r="O1775" s="43">
        <v>0</v>
      </c>
      <c r="P1775" s="43">
        <v>0</v>
      </c>
      <c r="Q1775" s="43">
        <v>0</v>
      </c>
      <c r="R1775" s="43">
        <v>0</v>
      </c>
      <c r="S1775" s="43">
        <v>0</v>
      </c>
      <c r="T1775" s="43">
        <v>0</v>
      </c>
      <c r="U1775" s="43">
        <v>0</v>
      </c>
      <c r="V1775" s="43">
        <v>0</v>
      </c>
      <c r="W1775" s="43">
        <v>0</v>
      </c>
      <c r="X1775" s="43">
        <v>0</v>
      </c>
      <c r="Y1775" s="43">
        <v>0</v>
      </c>
      <c r="Z1775" s="43">
        <v>0</v>
      </c>
      <c r="AA1775" s="43">
        <v>0</v>
      </c>
      <c r="AB1775" s="43">
        <v>0</v>
      </c>
      <c r="AC1775" s="43">
        <v>0</v>
      </c>
      <c r="AD1775" s="43">
        <v>0</v>
      </c>
      <c r="AE1775" s="43">
        <v>0</v>
      </c>
    </row>
    <row r="1776" spans="1:31" x14ac:dyDescent="0.45">
      <c r="A1776" t="s">
        <v>3023</v>
      </c>
      <c r="B1776" t="s">
        <v>2471</v>
      </c>
      <c r="C1776" t="s">
        <v>43</v>
      </c>
      <c r="D1776">
        <v>2</v>
      </c>
      <c r="E1776" t="s">
        <v>3024</v>
      </c>
      <c r="L1776" s="43">
        <v>66.453659723176557</v>
      </c>
      <c r="M1776" s="43">
        <v>68.485475215764879</v>
      </c>
      <c r="N1776" s="43">
        <v>58.995402742046402</v>
      </c>
      <c r="O1776" s="43">
        <v>43.916716887965812</v>
      </c>
      <c r="P1776" s="43">
        <v>53.774364143577706</v>
      </c>
      <c r="Q1776" s="43">
        <v>42.744789650417033</v>
      </c>
      <c r="R1776" s="43">
        <v>52.296372162917706</v>
      </c>
      <c r="S1776" s="43">
        <v>50.675619134555625</v>
      </c>
      <c r="T1776" s="43">
        <v>49.244157129395532</v>
      </c>
      <c r="U1776" s="43">
        <v>47.701530563316886</v>
      </c>
      <c r="V1776" s="43">
        <v>47.700953244779463</v>
      </c>
      <c r="W1776" s="43">
        <v>47.700345043835391</v>
      </c>
      <c r="X1776" s="43">
        <v>47.699606233150249</v>
      </c>
      <c r="Y1776" s="43">
        <v>47.698784018498259</v>
      </c>
      <c r="Z1776" s="43">
        <v>47.698024235913145</v>
      </c>
      <c r="AA1776" s="43">
        <v>47.69713215264818</v>
      </c>
      <c r="AB1776" s="43">
        <v>47.696305897897624</v>
      </c>
      <c r="AC1776" s="43">
        <v>47.694333121626656</v>
      </c>
      <c r="AD1776" s="43">
        <v>47.692427257113664</v>
      </c>
      <c r="AE1776" s="43">
        <v>47.690461928368428</v>
      </c>
    </row>
    <row r="1777" spans="1:31" x14ac:dyDescent="0.45">
      <c r="A1777" t="s">
        <v>3025</v>
      </c>
      <c r="B1777" t="s">
        <v>2471</v>
      </c>
      <c r="C1777" t="s">
        <v>113</v>
      </c>
      <c r="D1777">
        <v>2</v>
      </c>
      <c r="E1777" t="s">
        <v>3024</v>
      </c>
      <c r="L1777" s="43">
        <v>66.453659723176557</v>
      </c>
      <c r="M1777" s="43">
        <v>68.485475215764879</v>
      </c>
      <c r="N1777" s="43">
        <v>58.995402742046402</v>
      </c>
      <c r="O1777" s="43">
        <v>43.916716887965812</v>
      </c>
      <c r="P1777" s="43">
        <v>53.774364143577706</v>
      </c>
      <c r="Q1777" s="43">
        <v>42.744789650417033</v>
      </c>
      <c r="R1777" s="43">
        <v>52.296372162917706</v>
      </c>
      <c r="S1777" s="43">
        <v>50.675619134555625</v>
      </c>
      <c r="T1777" s="43">
        <v>49.244157129395532</v>
      </c>
      <c r="U1777" s="43">
        <v>47.701530563316886</v>
      </c>
      <c r="V1777" s="43">
        <v>47.700953244779463</v>
      </c>
      <c r="W1777" s="43">
        <v>47.700345043835391</v>
      </c>
      <c r="X1777" s="43">
        <v>47.699606233150249</v>
      </c>
      <c r="Y1777" s="43">
        <v>47.698784018498259</v>
      </c>
      <c r="Z1777" s="43">
        <v>47.698024235913145</v>
      </c>
      <c r="AA1777" s="43">
        <v>47.69713215264818</v>
      </c>
      <c r="AB1777" s="43">
        <v>47.696305897897624</v>
      </c>
      <c r="AC1777" s="43">
        <v>47.694333121626656</v>
      </c>
      <c r="AD1777" s="43">
        <v>47.692427257113664</v>
      </c>
      <c r="AE1777" s="43">
        <v>47.690461928368428</v>
      </c>
    </row>
    <row r="1778" spans="1:31" x14ac:dyDescent="0.45">
      <c r="A1778" t="s">
        <v>3026</v>
      </c>
      <c r="B1778" t="s">
        <v>2471</v>
      </c>
      <c r="C1778" t="s">
        <v>115</v>
      </c>
      <c r="D1778">
        <v>2</v>
      </c>
      <c r="E1778" t="s">
        <v>3024</v>
      </c>
      <c r="L1778" s="43">
        <v>66.453659723176557</v>
      </c>
      <c r="M1778" s="43">
        <v>68.485475215764879</v>
      </c>
      <c r="N1778" s="43">
        <v>58.995402742046402</v>
      </c>
      <c r="O1778" s="43">
        <v>43.916716887965812</v>
      </c>
      <c r="P1778" s="43">
        <v>53.774364143577706</v>
      </c>
      <c r="Q1778" s="43">
        <v>42.744789650417033</v>
      </c>
      <c r="R1778" s="43">
        <v>52.296372162917706</v>
      </c>
      <c r="S1778" s="43">
        <v>50.675619134555625</v>
      </c>
      <c r="T1778" s="43">
        <v>49.244157129395532</v>
      </c>
      <c r="U1778" s="43">
        <v>47.701530563316886</v>
      </c>
      <c r="V1778" s="43">
        <v>47.700953244779463</v>
      </c>
      <c r="W1778" s="43">
        <v>47.700345043835391</v>
      </c>
      <c r="X1778" s="43">
        <v>47.699606233150249</v>
      </c>
      <c r="Y1778" s="43">
        <v>47.698784018498259</v>
      </c>
      <c r="Z1778" s="43">
        <v>47.698024235913145</v>
      </c>
      <c r="AA1778" s="43">
        <v>47.69713215264818</v>
      </c>
      <c r="AB1778" s="43">
        <v>47.696305897897624</v>
      </c>
      <c r="AC1778" s="43">
        <v>47.694333121626656</v>
      </c>
      <c r="AD1778" s="43">
        <v>47.692427257113664</v>
      </c>
      <c r="AE1778" s="43">
        <v>47.690461928368428</v>
      </c>
    </row>
    <row r="1779" spans="1:31" x14ac:dyDescent="0.45">
      <c r="A1779" t="s">
        <v>3027</v>
      </c>
      <c r="B1779" t="s">
        <v>2471</v>
      </c>
      <c r="C1779" t="s">
        <v>117</v>
      </c>
      <c r="D1779">
        <v>2</v>
      </c>
      <c r="E1779" t="s">
        <v>3024</v>
      </c>
      <c r="L1779" s="43">
        <v>66.453659723176557</v>
      </c>
      <c r="M1779" s="43">
        <v>68.485475215764879</v>
      </c>
      <c r="N1779" s="43">
        <v>58.995402742046402</v>
      </c>
      <c r="O1779" s="43">
        <v>43.916716887965812</v>
      </c>
      <c r="P1779" s="43">
        <v>53.774364143577706</v>
      </c>
      <c r="Q1779" s="43">
        <v>42.744789650417033</v>
      </c>
      <c r="R1779" s="43">
        <v>52.296372162917706</v>
      </c>
      <c r="S1779" s="43">
        <v>50.675619134555625</v>
      </c>
      <c r="T1779" s="43">
        <v>49.244157129395532</v>
      </c>
      <c r="U1779" s="43">
        <v>47.701530563316886</v>
      </c>
      <c r="V1779" s="43">
        <v>47.700953244779463</v>
      </c>
      <c r="W1779" s="43">
        <v>47.700345043835391</v>
      </c>
      <c r="X1779" s="43">
        <v>47.699606233150249</v>
      </c>
      <c r="Y1779" s="43">
        <v>47.698784018498259</v>
      </c>
      <c r="Z1779" s="43">
        <v>47.698024235913145</v>
      </c>
      <c r="AA1779" s="43">
        <v>47.69713215264818</v>
      </c>
      <c r="AB1779" s="43">
        <v>47.696305897897624</v>
      </c>
      <c r="AC1779" s="43">
        <v>47.694333121626656</v>
      </c>
      <c r="AD1779" s="43">
        <v>47.692427257113664</v>
      </c>
      <c r="AE1779" s="43">
        <v>47.690461928368428</v>
      </c>
    </row>
    <row r="1780" spans="1:31" x14ac:dyDescent="0.45">
      <c r="A1780" t="s">
        <v>3028</v>
      </c>
      <c r="B1780" t="s">
        <v>110</v>
      </c>
      <c r="C1780" t="s">
        <v>2675</v>
      </c>
      <c r="D1780">
        <v>2</v>
      </c>
      <c r="E1780" t="s">
        <v>3029</v>
      </c>
      <c r="L1780" s="43">
        <v>48.086991333544489</v>
      </c>
      <c r="M1780" s="43">
        <v>49.677032012339083</v>
      </c>
      <c r="N1780" s="43">
        <v>51.320891261</v>
      </c>
      <c r="O1780" s="43">
        <v>53.020436367115991</v>
      </c>
      <c r="P1780" s="43">
        <v>54.77760125723205</v>
      </c>
      <c r="Q1780" s="43">
        <v>56.594388955214242</v>
      </c>
      <c r="R1780" s="43">
        <v>56.95822661851966</v>
      </c>
      <c r="S1780" s="43">
        <v>58.852036389323892</v>
      </c>
      <c r="T1780" s="43">
        <v>60.810342425384711</v>
      </c>
      <c r="U1780" s="43">
        <v>62.8353988831797</v>
      </c>
      <c r="V1780" s="43">
        <v>64.929541082585544</v>
      </c>
      <c r="W1780" s="43">
        <v>67.095188533368542</v>
      </c>
      <c r="X1780" s="43">
        <v>69.334848079208342</v>
      </c>
      <c r="Y1780" s="43">
        <v>71.651117164030921</v>
      </c>
      <c r="Z1780" s="43">
        <v>74.046687225629398</v>
      </c>
      <c r="AA1780" s="43">
        <v>76.524347221764771</v>
      </c>
      <c r="AB1780" s="43">
        <v>79.086987294159897</v>
      </c>
      <c r="AC1780" s="43">
        <v>81.737602576032344</v>
      </c>
      <c r="AD1780" s="43">
        <v>84.479297149054361</v>
      </c>
      <c r="AE1780" s="43">
        <v>87.31528815588122</v>
      </c>
    </row>
    <row r="1781" spans="1:31" x14ac:dyDescent="0.45">
      <c r="A1781" t="s">
        <v>3030</v>
      </c>
      <c r="B1781" t="s">
        <v>110</v>
      </c>
      <c r="C1781" t="s">
        <v>2675</v>
      </c>
      <c r="D1781">
        <v>2</v>
      </c>
      <c r="E1781" t="s">
        <v>3031</v>
      </c>
      <c r="L1781" s="43">
        <v>0</v>
      </c>
      <c r="M1781" s="43">
        <v>0</v>
      </c>
      <c r="N1781" s="43">
        <v>0</v>
      </c>
      <c r="O1781" s="43">
        <v>0</v>
      </c>
      <c r="P1781" s="43">
        <v>0</v>
      </c>
      <c r="Q1781" s="43">
        <v>0</v>
      </c>
      <c r="R1781" s="43">
        <v>504.02954432644299</v>
      </c>
      <c r="S1781" s="43">
        <v>520.59186271947965</v>
      </c>
      <c r="T1781" s="43">
        <v>537.71770413942943</v>
      </c>
      <c r="U1781" s="43">
        <v>555.42686035444433</v>
      </c>
      <c r="V1781" s="43">
        <v>573.73983914371013</v>
      </c>
      <c r="W1781" s="43">
        <v>592.67789094096656</v>
      </c>
      <c r="X1781" s="43">
        <v>612.26303649661156</v>
      </c>
      <c r="Y1781" s="43">
        <v>632.51809559834771</v>
      </c>
      <c r="Z1781" s="43">
        <v>653.46671689193511</v>
      </c>
      <c r="AA1781" s="43">
        <v>675.13340884529282</v>
      </c>
      <c r="AB1781" s="43">
        <v>697.54357190091923</v>
      </c>
      <c r="AC1781" s="43">
        <v>720.72353186342718</v>
      </c>
      <c r="AD1781" s="43">
        <v>744.70057457087296</v>
      </c>
      <c r="AE1781" s="43">
        <v>769.50298190052069</v>
      </c>
    </row>
    <row r="1782" spans="1:31" x14ac:dyDescent="0.45">
      <c r="A1782" t="s">
        <v>3032</v>
      </c>
      <c r="B1782" t="s">
        <v>110</v>
      </c>
      <c r="C1782" t="s">
        <v>2675</v>
      </c>
      <c r="D1782">
        <v>2</v>
      </c>
      <c r="E1782" t="s">
        <v>3033</v>
      </c>
      <c r="L1782" s="43">
        <v>0</v>
      </c>
      <c r="M1782" s="43">
        <v>0</v>
      </c>
      <c r="N1782" s="43">
        <v>0</v>
      </c>
      <c r="O1782" s="43">
        <v>0</v>
      </c>
      <c r="P1782" s="43">
        <v>0</v>
      </c>
      <c r="Q1782" s="43">
        <v>0</v>
      </c>
      <c r="R1782" s="43">
        <v>0</v>
      </c>
      <c r="S1782" s="43">
        <v>0</v>
      </c>
      <c r="T1782" s="43">
        <v>0</v>
      </c>
      <c r="U1782" s="43">
        <v>0</v>
      </c>
      <c r="V1782" s="43">
        <v>0</v>
      </c>
      <c r="W1782" s="43">
        <v>0</v>
      </c>
      <c r="X1782" s="43">
        <v>0</v>
      </c>
      <c r="Y1782" s="43">
        <v>0</v>
      </c>
      <c r="Z1782" s="43">
        <v>0</v>
      </c>
      <c r="AA1782" s="43">
        <v>0</v>
      </c>
      <c r="AB1782" s="43">
        <v>0</v>
      </c>
      <c r="AC1782" s="43">
        <v>0</v>
      </c>
      <c r="AD1782" s="43">
        <v>0</v>
      </c>
      <c r="AE1782" s="43">
        <v>0</v>
      </c>
    </row>
    <row r="1783" spans="1:31" x14ac:dyDescent="0.45">
      <c r="A1783" t="s">
        <v>3034</v>
      </c>
      <c r="B1783" t="s">
        <v>110</v>
      </c>
      <c r="C1783" t="s">
        <v>2675</v>
      </c>
      <c r="D1783">
        <v>2</v>
      </c>
      <c r="E1783" t="s">
        <v>3035</v>
      </c>
      <c r="L1783" s="43">
        <v>0</v>
      </c>
      <c r="M1783" s="43">
        <v>0</v>
      </c>
      <c r="N1783" s="43">
        <v>0</v>
      </c>
      <c r="O1783" s="43">
        <v>0</v>
      </c>
      <c r="P1783" s="43">
        <v>0</v>
      </c>
      <c r="Q1783" s="43">
        <v>0</v>
      </c>
      <c r="R1783" s="43">
        <v>504.02954432644299</v>
      </c>
      <c r="S1783" s="43">
        <v>520.59186271947965</v>
      </c>
      <c r="T1783" s="43">
        <v>537.71770413942943</v>
      </c>
      <c r="U1783" s="43">
        <v>555.42686035444433</v>
      </c>
      <c r="V1783" s="43">
        <v>573.73983914371013</v>
      </c>
      <c r="W1783" s="43">
        <v>592.67789094096656</v>
      </c>
      <c r="X1783" s="43">
        <v>612.26303649661156</v>
      </c>
      <c r="Y1783" s="43">
        <v>632.51809559834771</v>
      </c>
      <c r="Z1783" s="43">
        <v>653.46671689193511</v>
      </c>
      <c r="AA1783" s="43">
        <v>675.13340884529282</v>
      </c>
      <c r="AB1783" s="43">
        <v>697.54357190091923</v>
      </c>
      <c r="AC1783" s="43">
        <v>720.72353186342718</v>
      </c>
      <c r="AD1783" s="43">
        <v>744.70057457087296</v>
      </c>
      <c r="AE1783" s="43">
        <v>769.50298190052069</v>
      </c>
    </row>
    <row r="1784" spans="1:31" x14ac:dyDescent="0.45">
      <c r="A1784" t="s">
        <v>3036</v>
      </c>
      <c r="B1784" t="s">
        <v>110</v>
      </c>
      <c r="C1784" t="s">
        <v>2675</v>
      </c>
      <c r="D1784">
        <v>2</v>
      </c>
      <c r="E1784" t="s">
        <v>3037</v>
      </c>
      <c r="L1784" s="43">
        <v>14.019740964534272</v>
      </c>
      <c r="M1784" s="43">
        <v>11.739301230035998</v>
      </c>
      <c r="N1784" s="43">
        <v>13.303124518863104</v>
      </c>
      <c r="O1784" s="43">
        <v>14.156899598427017</v>
      </c>
      <c r="P1784" s="43">
        <v>14.286244741983563</v>
      </c>
      <c r="Q1784" s="43">
        <v>14.694194505017343</v>
      </c>
      <c r="R1784" s="43">
        <v>13.372471284389238</v>
      </c>
      <c r="S1784" s="43">
        <v>13.860348019977691</v>
      </c>
      <c r="T1784" s="43">
        <v>14.322100919094265</v>
      </c>
      <c r="U1784" s="43">
        <v>14.786693105898717</v>
      </c>
      <c r="V1784" s="43">
        <v>15.235174577847717</v>
      </c>
      <c r="W1784" s="43">
        <v>15.696887105864223</v>
      </c>
      <c r="X1784" s="43">
        <v>16.175638522314799</v>
      </c>
      <c r="Y1784" s="43">
        <v>16.676446578472209</v>
      </c>
      <c r="Z1784" s="43">
        <v>17.206962374246245</v>
      </c>
      <c r="AA1784" s="43">
        <v>17.77198401678017</v>
      </c>
      <c r="AB1784" s="43">
        <v>18.375251756238463</v>
      </c>
      <c r="AC1784" s="43">
        <v>19.017287803735954</v>
      </c>
      <c r="AD1784" s="43">
        <v>19.698568484950489</v>
      </c>
      <c r="AE1784" s="43">
        <v>20.420037937815266</v>
      </c>
    </row>
    <row r="1785" spans="1:31" x14ac:dyDescent="0.45">
      <c r="A1785" t="s">
        <v>3038</v>
      </c>
      <c r="B1785" t="s">
        <v>2974</v>
      </c>
      <c r="C1785" t="s">
        <v>2675</v>
      </c>
      <c r="D1785">
        <v>2</v>
      </c>
      <c r="E1785" t="s">
        <v>2975</v>
      </c>
      <c r="L1785" s="43">
        <v>0</v>
      </c>
      <c r="M1785" s="43">
        <v>0</v>
      </c>
      <c r="N1785" s="43">
        <v>0</v>
      </c>
      <c r="O1785" s="43">
        <v>0</v>
      </c>
      <c r="P1785" s="43">
        <v>0</v>
      </c>
      <c r="Q1785" s="43">
        <v>0</v>
      </c>
      <c r="R1785" s="43">
        <v>0</v>
      </c>
      <c r="S1785" s="43">
        <v>0</v>
      </c>
      <c r="T1785" s="43">
        <v>0</v>
      </c>
      <c r="U1785" s="43">
        <v>0</v>
      </c>
      <c r="V1785" s="43">
        <v>0</v>
      </c>
      <c r="W1785" s="43">
        <v>0</v>
      </c>
      <c r="X1785" s="43">
        <v>0</v>
      </c>
      <c r="Y1785" s="43">
        <v>0</v>
      </c>
      <c r="Z1785" s="43">
        <v>0</v>
      </c>
      <c r="AA1785" s="43">
        <v>0</v>
      </c>
      <c r="AB1785" s="43">
        <v>0</v>
      </c>
      <c r="AC1785" s="43">
        <v>0</v>
      </c>
      <c r="AD1785" s="43">
        <v>0</v>
      </c>
      <c r="AE1785" s="43">
        <v>0</v>
      </c>
    </row>
    <row r="1786" spans="1:31" x14ac:dyDescent="0.45">
      <c r="A1786" t="s">
        <v>3039</v>
      </c>
      <c r="B1786" t="s">
        <v>110</v>
      </c>
      <c r="C1786" t="s">
        <v>43</v>
      </c>
      <c r="D1786">
        <v>2</v>
      </c>
      <c r="E1786" t="s">
        <v>3040</v>
      </c>
      <c r="L1786" s="43">
        <v>1901.7140738122609</v>
      </c>
      <c r="M1786" s="43">
        <v>1621.2301769893743</v>
      </c>
      <c r="N1786" s="43">
        <v>1820.8469202303741</v>
      </c>
      <c r="O1786" s="43">
        <v>1904.3670376253485</v>
      </c>
      <c r="P1786" s="43">
        <v>1961.702021253242</v>
      </c>
      <c r="Q1786" s="43">
        <v>2038.9739202925941</v>
      </c>
      <c r="R1786" s="43">
        <v>2053.7524223291048</v>
      </c>
      <c r="S1786" s="43">
        <v>2028.7258545687616</v>
      </c>
      <c r="T1786" s="43">
        <v>2003.6478535386473</v>
      </c>
      <c r="U1786" s="43">
        <v>1983.2706278023495</v>
      </c>
      <c r="V1786" s="43">
        <v>1966.960491119863</v>
      </c>
      <c r="W1786" s="43">
        <v>1955.5819635673633</v>
      </c>
      <c r="X1786" s="43">
        <v>1949.000028543926</v>
      </c>
      <c r="Y1786" s="43">
        <v>1947.3059514210311</v>
      </c>
      <c r="Z1786" s="43">
        <v>1950.9693766450584</v>
      </c>
      <c r="AA1786" s="43">
        <v>1960.0564283126205</v>
      </c>
      <c r="AB1786" s="43">
        <v>1974.5170929136352</v>
      </c>
      <c r="AC1786" s="43">
        <v>1993.9297991003125</v>
      </c>
      <c r="AD1786" s="43">
        <v>2017.9315635538314</v>
      </c>
      <c r="AE1786" s="43">
        <v>2046.2675129889969</v>
      </c>
    </row>
    <row r="1787" spans="1:31" x14ac:dyDescent="0.45">
      <c r="A1787" t="s">
        <v>3041</v>
      </c>
      <c r="B1787" t="s">
        <v>110</v>
      </c>
      <c r="C1787" t="s">
        <v>113</v>
      </c>
      <c r="D1787">
        <v>2</v>
      </c>
      <c r="E1787" t="s">
        <v>3040</v>
      </c>
      <c r="L1787" s="43">
        <v>3210.4467592248702</v>
      </c>
      <c r="M1787" s="43">
        <v>2690.3404093921163</v>
      </c>
      <c r="N1787" s="43">
        <v>3047.5360888007326</v>
      </c>
      <c r="O1787" s="43">
        <v>3240.6928223889822</v>
      </c>
      <c r="P1787" s="43">
        <v>3273.2119677539522</v>
      </c>
      <c r="Q1787" s="43">
        <v>3368.228907853118</v>
      </c>
      <c r="R1787" s="43">
        <v>3379.4779585853985</v>
      </c>
      <c r="S1787" s="43">
        <v>3331.2392751518291</v>
      </c>
      <c r="T1787" s="43">
        <v>3284.1252951076317</v>
      </c>
      <c r="U1787" s="43">
        <v>3244.0426318203517</v>
      </c>
      <c r="V1787" s="43">
        <v>3206.5962688425279</v>
      </c>
      <c r="W1787" s="43">
        <v>3176.9586228001854</v>
      </c>
      <c r="X1787" s="43">
        <v>3154.7672508666237</v>
      </c>
      <c r="Y1787" s="43">
        <v>3139.9898420802028</v>
      </c>
      <c r="Z1787" s="43">
        <v>3133.1186800267096</v>
      </c>
      <c r="AA1787" s="43">
        <v>3134.112488762697</v>
      </c>
      <c r="AB1787" s="43">
        <v>3142.7839499983083</v>
      </c>
      <c r="AC1787" s="43">
        <v>3158.4600343757443</v>
      </c>
      <c r="AD1787" s="43">
        <v>3180.5588326837142</v>
      </c>
      <c r="AE1787" s="43">
        <v>3208.6530755839376</v>
      </c>
    </row>
    <row r="1788" spans="1:31" x14ac:dyDescent="0.45">
      <c r="A1788" t="s">
        <v>3042</v>
      </c>
      <c r="B1788" t="s">
        <v>110</v>
      </c>
      <c r="C1788" t="s">
        <v>115</v>
      </c>
      <c r="D1788">
        <v>2</v>
      </c>
      <c r="E1788" t="s">
        <v>3040</v>
      </c>
      <c r="L1788" s="43">
        <v>0</v>
      </c>
      <c r="M1788" s="43">
        <v>0</v>
      </c>
      <c r="N1788" s="43">
        <v>0</v>
      </c>
      <c r="O1788" s="43">
        <v>0</v>
      </c>
      <c r="P1788" s="43">
        <v>0</v>
      </c>
      <c r="Q1788" s="43">
        <v>0</v>
      </c>
      <c r="R1788" s="43">
        <v>0</v>
      </c>
      <c r="S1788" s="43">
        <v>0</v>
      </c>
      <c r="T1788" s="43">
        <v>0</v>
      </c>
      <c r="U1788" s="43">
        <v>0</v>
      </c>
      <c r="V1788" s="43">
        <v>0</v>
      </c>
      <c r="W1788" s="43">
        <v>0</v>
      </c>
      <c r="X1788" s="43">
        <v>0</v>
      </c>
      <c r="Y1788" s="43">
        <v>0</v>
      </c>
      <c r="Z1788" s="43">
        <v>0</v>
      </c>
      <c r="AA1788" s="43">
        <v>0</v>
      </c>
      <c r="AB1788" s="43">
        <v>0</v>
      </c>
      <c r="AC1788" s="43">
        <v>0</v>
      </c>
      <c r="AD1788" s="43">
        <v>0</v>
      </c>
      <c r="AE1788" s="43">
        <v>0</v>
      </c>
    </row>
    <row r="1789" spans="1:31" x14ac:dyDescent="0.45">
      <c r="A1789" t="s">
        <v>3043</v>
      </c>
      <c r="B1789" t="s">
        <v>110</v>
      </c>
      <c r="C1789" t="s">
        <v>117</v>
      </c>
      <c r="D1789">
        <v>2</v>
      </c>
      <c r="E1789" t="s">
        <v>3040</v>
      </c>
      <c r="L1789" s="43">
        <v>0</v>
      </c>
      <c r="M1789" s="43">
        <v>0</v>
      </c>
      <c r="N1789" s="43">
        <v>0</v>
      </c>
      <c r="O1789" s="43">
        <v>0</v>
      </c>
      <c r="P1789" s="43">
        <v>0</v>
      </c>
      <c r="Q1789" s="43">
        <v>0</v>
      </c>
      <c r="R1789" s="43">
        <v>0</v>
      </c>
      <c r="S1789" s="43">
        <v>0</v>
      </c>
      <c r="T1789" s="43">
        <v>0</v>
      </c>
      <c r="U1789" s="43">
        <v>0</v>
      </c>
      <c r="V1789" s="43">
        <v>0</v>
      </c>
      <c r="W1789" s="43">
        <v>0</v>
      </c>
      <c r="X1789" s="43">
        <v>0</v>
      </c>
      <c r="Y1789" s="43">
        <v>0</v>
      </c>
      <c r="Z1789" s="43">
        <v>0</v>
      </c>
      <c r="AA1789" s="43">
        <v>0</v>
      </c>
      <c r="AB1789" s="43">
        <v>0</v>
      </c>
      <c r="AC1789" s="43">
        <v>0</v>
      </c>
      <c r="AD1789" s="43">
        <v>0</v>
      </c>
      <c r="AE1789" s="43">
        <v>0</v>
      </c>
    </row>
    <row r="1790" spans="1:31" x14ac:dyDescent="0.45">
      <c r="A1790" t="s">
        <v>3044</v>
      </c>
      <c r="B1790" t="s">
        <v>2471</v>
      </c>
      <c r="C1790" t="s">
        <v>43</v>
      </c>
      <c r="D1790">
        <v>2</v>
      </c>
      <c r="E1790" t="s">
        <v>3045</v>
      </c>
      <c r="L1790" s="43">
        <v>66.453659723176557</v>
      </c>
      <c r="M1790" s="43">
        <v>68.485475215764879</v>
      </c>
      <c r="N1790" s="43">
        <v>58.995402742046402</v>
      </c>
      <c r="O1790" s="43">
        <v>43.916716887965812</v>
      </c>
      <c r="P1790" s="43">
        <v>53.774364143577706</v>
      </c>
      <c r="Q1790" s="43">
        <v>42.744789650417033</v>
      </c>
      <c r="R1790" s="43">
        <v>42.779072328836371</v>
      </c>
      <c r="S1790" s="43">
        <v>45.916969217514961</v>
      </c>
      <c r="T1790" s="43">
        <v>49.244157129395532</v>
      </c>
      <c r="U1790" s="43">
        <v>52.460180480357558</v>
      </c>
      <c r="V1790" s="43">
        <v>57.218253078860805</v>
      </c>
      <c r="W1790" s="43">
        <v>61.976294794957397</v>
      </c>
      <c r="X1790" s="43">
        <v>66.734205901312919</v>
      </c>
      <c r="Y1790" s="43">
        <v>71.4920336037016</v>
      </c>
      <c r="Z1790" s="43">
        <v>76.24992373815715</v>
      </c>
      <c r="AA1790" s="43">
        <v>81.007681571932849</v>
      </c>
      <c r="AB1790" s="43">
        <v>85.765505234222971</v>
      </c>
      <c r="AC1790" s="43">
        <v>90.522182374992653</v>
      </c>
      <c r="AD1790" s="43">
        <v>95.278926427520332</v>
      </c>
      <c r="AE1790" s="43">
        <v>100.03561101581576</v>
      </c>
    </row>
    <row r="1791" spans="1:31" x14ac:dyDescent="0.45">
      <c r="A1791" t="s">
        <v>3046</v>
      </c>
      <c r="B1791" t="s">
        <v>2471</v>
      </c>
      <c r="C1791" t="s">
        <v>113</v>
      </c>
      <c r="D1791">
        <v>2</v>
      </c>
      <c r="E1791" t="s">
        <v>3045</v>
      </c>
      <c r="L1791" s="43">
        <v>66.453659723176557</v>
      </c>
      <c r="M1791" s="43">
        <v>68.485475215764879</v>
      </c>
      <c r="N1791" s="43">
        <v>58.995402742046402</v>
      </c>
      <c r="O1791" s="43">
        <v>43.916716887965812</v>
      </c>
      <c r="P1791" s="43">
        <v>53.774364143577706</v>
      </c>
      <c r="Q1791" s="43">
        <v>42.744789650417033</v>
      </c>
      <c r="R1791" s="43">
        <v>42.779072328836371</v>
      </c>
      <c r="S1791" s="43">
        <v>45.916969217514961</v>
      </c>
      <c r="T1791" s="43">
        <v>49.244157129395532</v>
      </c>
      <c r="U1791" s="43">
        <v>52.460180480357558</v>
      </c>
      <c r="V1791" s="43">
        <v>57.218253078860805</v>
      </c>
      <c r="W1791" s="43">
        <v>61.976294794957397</v>
      </c>
      <c r="X1791" s="43">
        <v>66.734205901312919</v>
      </c>
      <c r="Y1791" s="43">
        <v>71.4920336037016</v>
      </c>
      <c r="Z1791" s="43">
        <v>76.24992373815715</v>
      </c>
      <c r="AA1791" s="43">
        <v>81.007681571932849</v>
      </c>
      <c r="AB1791" s="43">
        <v>85.765505234222971</v>
      </c>
      <c r="AC1791" s="43">
        <v>90.522182374992653</v>
      </c>
      <c r="AD1791" s="43">
        <v>95.278926427520332</v>
      </c>
      <c r="AE1791" s="43">
        <v>100.03561101581576</v>
      </c>
    </row>
    <row r="1792" spans="1:31" x14ac:dyDescent="0.45">
      <c r="A1792" t="s">
        <v>3047</v>
      </c>
      <c r="B1792" t="s">
        <v>2471</v>
      </c>
      <c r="C1792" t="s">
        <v>115</v>
      </c>
      <c r="D1792">
        <v>2</v>
      </c>
      <c r="E1792" t="s">
        <v>3045</v>
      </c>
      <c r="L1792" s="43">
        <v>66.453659723176557</v>
      </c>
      <c r="M1792" s="43">
        <v>68.485475215764879</v>
      </c>
      <c r="N1792" s="43">
        <v>58.995402742046402</v>
      </c>
      <c r="O1792" s="43">
        <v>43.916716887965812</v>
      </c>
      <c r="P1792" s="43">
        <v>53.774364143577706</v>
      </c>
      <c r="Q1792" s="43">
        <v>42.744789650417033</v>
      </c>
      <c r="R1792" s="43">
        <v>42.779072328836371</v>
      </c>
      <c r="S1792" s="43">
        <v>45.916969217514961</v>
      </c>
      <c r="T1792" s="43">
        <v>49.244157129395532</v>
      </c>
      <c r="U1792" s="43">
        <v>52.460180480357558</v>
      </c>
      <c r="V1792" s="43">
        <v>57.218253078860805</v>
      </c>
      <c r="W1792" s="43">
        <v>61.976294794957397</v>
      </c>
      <c r="X1792" s="43">
        <v>66.734205901312919</v>
      </c>
      <c r="Y1792" s="43">
        <v>71.4920336037016</v>
      </c>
      <c r="Z1792" s="43">
        <v>76.24992373815715</v>
      </c>
      <c r="AA1792" s="43">
        <v>81.007681571932849</v>
      </c>
      <c r="AB1792" s="43">
        <v>85.765505234222971</v>
      </c>
      <c r="AC1792" s="43">
        <v>90.522182374992653</v>
      </c>
      <c r="AD1792" s="43">
        <v>95.278926427520332</v>
      </c>
      <c r="AE1792" s="43">
        <v>100.03561101581576</v>
      </c>
    </row>
    <row r="1793" spans="1:31" x14ac:dyDescent="0.45">
      <c r="A1793" t="s">
        <v>3048</v>
      </c>
      <c r="B1793" t="s">
        <v>2471</v>
      </c>
      <c r="C1793" t="s">
        <v>117</v>
      </c>
      <c r="D1793">
        <v>2</v>
      </c>
      <c r="E1793" t="s">
        <v>3045</v>
      </c>
      <c r="L1793" s="43">
        <v>66.453659723176557</v>
      </c>
      <c r="M1793" s="43">
        <v>68.485475215764879</v>
      </c>
      <c r="N1793" s="43">
        <v>58.995402742046402</v>
      </c>
      <c r="O1793" s="43">
        <v>43.916716887965812</v>
      </c>
      <c r="P1793" s="43">
        <v>53.774364143577706</v>
      </c>
      <c r="Q1793" s="43">
        <v>42.744789650417033</v>
      </c>
      <c r="R1793" s="43">
        <v>42.779072328836371</v>
      </c>
      <c r="S1793" s="43">
        <v>45.916969217514961</v>
      </c>
      <c r="T1793" s="43">
        <v>49.244157129395532</v>
      </c>
      <c r="U1793" s="43">
        <v>52.460180480357558</v>
      </c>
      <c r="V1793" s="43">
        <v>57.218253078860805</v>
      </c>
      <c r="W1793" s="43">
        <v>61.976294794957397</v>
      </c>
      <c r="X1793" s="43">
        <v>66.734205901312919</v>
      </c>
      <c r="Y1793" s="43">
        <v>71.4920336037016</v>
      </c>
      <c r="Z1793" s="43">
        <v>76.24992373815715</v>
      </c>
      <c r="AA1793" s="43">
        <v>81.007681571932849</v>
      </c>
      <c r="AB1793" s="43">
        <v>85.765505234222971</v>
      </c>
      <c r="AC1793" s="43">
        <v>90.522182374992653</v>
      </c>
      <c r="AD1793" s="43">
        <v>95.278926427520332</v>
      </c>
      <c r="AE1793" s="43">
        <v>100.03561101581576</v>
      </c>
    </row>
    <row r="1794" spans="1:31" x14ac:dyDescent="0.45">
      <c r="A1794" t="s">
        <v>3049</v>
      </c>
      <c r="B1794" t="s">
        <v>110</v>
      </c>
      <c r="C1794" t="s">
        <v>2675</v>
      </c>
      <c r="D1794">
        <v>2</v>
      </c>
      <c r="E1794" t="s">
        <v>3050</v>
      </c>
      <c r="L1794" s="43">
        <v>48.086991333544489</v>
      </c>
      <c r="M1794" s="43">
        <v>49.677032012339083</v>
      </c>
      <c r="N1794" s="43">
        <v>51.320891261</v>
      </c>
      <c r="O1794" s="43">
        <v>53.020436367115991</v>
      </c>
      <c r="P1794" s="43">
        <v>54.77760125723205</v>
      </c>
      <c r="Q1794" s="43">
        <v>56.594388955214242</v>
      </c>
      <c r="R1794" s="43">
        <v>56.967414086646173</v>
      </c>
      <c r="S1794" s="43">
        <v>56.678667398200041</v>
      </c>
      <c r="T1794" s="43">
        <v>56.477973039880865</v>
      </c>
      <c r="U1794" s="43">
        <v>56.357293108118625</v>
      </c>
      <c r="V1794" s="43">
        <v>56.310003397982669</v>
      </c>
      <c r="W1794" s="43">
        <v>56.330616987965016</v>
      </c>
      <c r="X1794" s="43">
        <v>56.414572425281136</v>
      </c>
      <c r="Y1794" s="43">
        <v>56.558069455706743</v>
      </c>
      <c r="Z1794" s="43">
        <v>56.757940238054452</v>
      </c>
      <c r="AA1794" s="43">
        <v>57.011547383435342</v>
      </c>
      <c r="AB1794" s="43">
        <v>57.316702512634329</v>
      </c>
      <c r="AC1794" s="43">
        <v>57.671600678898727</v>
      </c>
      <c r="AD1794" s="43">
        <v>58.074767182548314</v>
      </c>
      <c r="AE1794" s="43">
        <v>58.525014155462173</v>
      </c>
    </row>
    <row r="1795" spans="1:31" x14ac:dyDescent="0.45">
      <c r="A1795" t="s">
        <v>3051</v>
      </c>
      <c r="B1795" t="s">
        <v>110</v>
      </c>
      <c r="C1795" t="s">
        <v>2675</v>
      </c>
      <c r="D1795">
        <v>2</v>
      </c>
      <c r="E1795" t="s">
        <v>3052</v>
      </c>
      <c r="L1795" s="43">
        <v>0</v>
      </c>
      <c r="M1795" s="43">
        <v>0</v>
      </c>
      <c r="N1795" s="43">
        <v>0</v>
      </c>
      <c r="O1795" s="43">
        <v>0</v>
      </c>
      <c r="P1795" s="43">
        <v>0</v>
      </c>
      <c r="Q1795" s="43">
        <v>0</v>
      </c>
      <c r="R1795" s="43">
        <v>284.83707043323085</v>
      </c>
      <c r="S1795" s="43">
        <v>708.48334247750063</v>
      </c>
      <c r="T1795" s="43">
        <v>1129.5594607976172</v>
      </c>
      <c r="U1795" s="43">
        <v>1549.8255604732622</v>
      </c>
      <c r="V1795" s="43">
        <v>1970.8501189293938</v>
      </c>
      <c r="W1795" s="43">
        <v>2394.0512219885136</v>
      </c>
      <c r="X1795" s="43">
        <v>2820.7286212640561</v>
      </c>
      <c r="Y1795" s="43">
        <v>3252.0889937031379</v>
      </c>
      <c r="Z1795" s="43">
        <v>3689.2661154735392</v>
      </c>
      <c r="AA1795" s="43">
        <v>4133.3371852990622</v>
      </c>
      <c r="AB1795" s="43">
        <v>4585.3362010107467</v>
      </c>
      <c r="AC1795" s="43">
        <v>5046.2650594036386</v>
      </c>
      <c r="AD1795" s="43">
        <v>5517.1028823420902</v>
      </c>
      <c r="AE1795" s="43">
        <v>5998.8139509348739</v>
      </c>
    </row>
    <row r="1796" spans="1:31" x14ac:dyDescent="0.45">
      <c r="A1796" t="s">
        <v>3053</v>
      </c>
      <c r="B1796" t="s">
        <v>110</v>
      </c>
      <c r="C1796" t="s">
        <v>2675</v>
      </c>
      <c r="D1796">
        <v>2</v>
      </c>
      <c r="E1796" t="s">
        <v>3054</v>
      </c>
      <c r="L1796" s="43">
        <v>0</v>
      </c>
      <c r="M1796" s="43">
        <v>0</v>
      </c>
      <c r="N1796" s="43">
        <v>0</v>
      </c>
      <c r="O1796" s="43">
        <v>0</v>
      </c>
      <c r="P1796" s="43">
        <v>0</v>
      </c>
      <c r="Q1796" s="43">
        <v>0</v>
      </c>
      <c r="R1796" s="43">
        <v>0</v>
      </c>
      <c r="S1796" s="43">
        <v>0</v>
      </c>
      <c r="T1796" s="43">
        <v>0</v>
      </c>
      <c r="U1796" s="43">
        <v>0</v>
      </c>
      <c r="V1796" s="43">
        <v>0</v>
      </c>
      <c r="W1796" s="43">
        <v>0</v>
      </c>
      <c r="X1796" s="43">
        <v>0</v>
      </c>
      <c r="Y1796" s="43">
        <v>0</v>
      </c>
      <c r="Z1796" s="43">
        <v>0</v>
      </c>
      <c r="AA1796" s="43">
        <v>0</v>
      </c>
      <c r="AB1796" s="43">
        <v>0</v>
      </c>
      <c r="AC1796" s="43">
        <v>0</v>
      </c>
      <c r="AD1796" s="43">
        <v>0</v>
      </c>
      <c r="AE1796" s="43">
        <v>0</v>
      </c>
    </row>
    <row r="1797" spans="1:31" x14ac:dyDescent="0.45">
      <c r="A1797" t="s">
        <v>3055</v>
      </c>
      <c r="B1797" t="s">
        <v>110</v>
      </c>
      <c r="C1797" t="s">
        <v>2675</v>
      </c>
      <c r="D1797">
        <v>2</v>
      </c>
      <c r="E1797" t="s">
        <v>3056</v>
      </c>
      <c r="L1797" s="43">
        <v>0</v>
      </c>
      <c r="M1797" s="43">
        <v>0</v>
      </c>
      <c r="N1797" s="43">
        <v>0</v>
      </c>
      <c r="O1797" s="43">
        <v>0</v>
      </c>
      <c r="P1797" s="43">
        <v>0</v>
      </c>
      <c r="Q1797" s="43">
        <v>0</v>
      </c>
      <c r="R1797" s="43">
        <v>284.83707043323085</v>
      </c>
      <c r="S1797" s="43">
        <v>708.48334247750063</v>
      </c>
      <c r="T1797" s="43">
        <v>1129.5594607976172</v>
      </c>
      <c r="U1797" s="43">
        <v>1549.8255604732622</v>
      </c>
      <c r="V1797" s="43">
        <v>1970.8501189293938</v>
      </c>
      <c r="W1797" s="43">
        <v>2394.0512219885136</v>
      </c>
      <c r="X1797" s="43">
        <v>2820.7286212640561</v>
      </c>
      <c r="Y1797" s="43">
        <v>3252.0889937031379</v>
      </c>
      <c r="Z1797" s="43">
        <v>3689.2661154735392</v>
      </c>
      <c r="AA1797" s="43">
        <v>4133.3371852990622</v>
      </c>
      <c r="AB1797" s="43">
        <v>4585.3362010107467</v>
      </c>
      <c r="AC1797" s="43">
        <v>5046.2650594036386</v>
      </c>
      <c r="AD1797" s="43">
        <v>5517.1028823420902</v>
      </c>
      <c r="AE1797" s="43">
        <v>5998.8139509348739</v>
      </c>
    </row>
    <row r="1798" spans="1:31" x14ac:dyDescent="0.45">
      <c r="A1798" t="s">
        <v>3057</v>
      </c>
      <c r="B1798" t="s">
        <v>110</v>
      </c>
      <c r="C1798" t="s">
        <v>2675</v>
      </c>
      <c r="D1798">
        <v>2</v>
      </c>
      <c r="E1798" t="s">
        <v>3058</v>
      </c>
      <c r="L1798" s="43">
        <v>14.019740964534272</v>
      </c>
      <c r="M1798" s="43">
        <v>11.739301230035998</v>
      </c>
      <c r="N1798" s="43">
        <v>13.303124518863104</v>
      </c>
      <c r="O1798" s="43">
        <v>14.156899598427017</v>
      </c>
      <c r="P1798" s="43">
        <v>14.286244741983563</v>
      </c>
      <c r="Q1798" s="43">
        <v>14.694194505017343</v>
      </c>
      <c r="R1798" s="43">
        <v>14.740618977705909</v>
      </c>
      <c r="S1798" s="43">
        <v>14.52878485890464</v>
      </c>
      <c r="T1798" s="43">
        <v>14.322100919094268</v>
      </c>
      <c r="U1798" s="43">
        <v>14.14594392748921</v>
      </c>
      <c r="V1798" s="43">
        <v>13.980466089001904</v>
      </c>
      <c r="W1798" s="43">
        <v>13.848986424483872</v>
      </c>
      <c r="X1798" s="43">
        <v>13.74989567647736</v>
      </c>
      <c r="Y1798" s="43">
        <v>13.683016024281805</v>
      </c>
      <c r="Z1798" s="43">
        <v>13.650438010030964</v>
      </c>
      <c r="AA1798" s="43">
        <v>13.651951259634075</v>
      </c>
      <c r="AB1798" s="43">
        <v>13.686717499710817</v>
      </c>
      <c r="AC1798" s="43">
        <v>13.75180528687531</v>
      </c>
      <c r="AD1798" s="43">
        <v>13.844679557204563</v>
      </c>
      <c r="AE1798" s="43">
        <v>13.96347505464426</v>
      </c>
    </row>
    <row r="1799" spans="1:31" x14ac:dyDescent="0.45">
      <c r="A1799" t="s">
        <v>3059</v>
      </c>
      <c r="B1799" t="s">
        <v>2974</v>
      </c>
      <c r="C1799" t="s">
        <v>2675</v>
      </c>
      <c r="D1799">
        <v>2</v>
      </c>
      <c r="E1799" t="s">
        <v>2975</v>
      </c>
      <c r="L1799" s="43">
        <v>0</v>
      </c>
      <c r="M1799" s="43">
        <v>0</v>
      </c>
      <c r="N1799" s="43">
        <v>0</v>
      </c>
      <c r="O1799" s="43">
        <v>0</v>
      </c>
      <c r="P1799" s="43">
        <v>0</v>
      </c>
      <c r="Q1799" s="43">
        <v>0</v>
      </c>
      <c r="R1799" s="43">
        <v>0</v>
      </c>
      <c r="S1799" s="43">
        <v>0</v>
      </c>
      <c r="T1799" s="43">
        <v>0</v>
      </c>
      <c r="U1799" s="43">
        <v>0</v>
      </c>
      <c r="V1799" s="43">
        <v>0</v>
      </c>
      <c r="W1799" s="43">
        <v>0</v>
      </c>
      <c r="X1799" s="43">
        <v>0</v>
      </c>
      <c r="Y1799" s="43">
        <v>0</v>
      </c>
      <c r="Z1799" s="43">
        <v>0</v>
      </c>
      <c r="AA1799" s="43">
        <v>0</v>
      </c>
      <c r="AB1799" s="43">
        <v>0</v>
      </c>
      <c r="AC1799" s="43">
        <v>0</v>
      </c>
      <c r="AD1799" s="43">
        <v>0</v>
      </c>
      <c r="AE1799" s="43">
        <v>0</v>
      </c>
    </row>
    <row r="1800" spans="1:31" x14ac:dyDescent="0.45">
      <c r="A1800" t="s">
        <v>3060</v>
      </c>
      <c r="B1800" t="s">
        <v>110</v>
      </c>
      <c r="C1800" t="s">
        <v>43</v>
      </c>
      <c r="D1800">
        <v>2</v>
      </c>
      <c r="E1800" t="s">
        <v>3061</v>
      </c>
      <c r="L1800" s="43">
        <v>1901.7140738122609</v>
      </c>
      <c r="M1800" s="43">
        <v>1621.2301769893743</v>
      </c>
      <c r="N1800" s="43">
        <v>1820.8469202303741</v>
      </c>
      <c r="O1800" s="43">
        <v>1904.3670376253485</v>
      </c>
      <c r="P1800" s="43">
        <v>1961.702021253242</v>
      </c>
      <c r="Q1800" s="43">
        <v>2038.9739202925941</v>
      </c>
      <c r="R1800" s="43">
        <v>2095.4297130313844</v>
      </c>
      <c r="S1800" s="43">
        <v>2128.483781966831</v>
      </c>
      <c r="T1800" s="43">
        <v>2156.6452446096491</v>
      </c>
      <c r="U1800" s="43">
        <v>2185.619659484254</v>
      </c>
      <c r="V1800" s="43">
        <v>2215.3604387252622</v>
      </c>
      <c r="W1800" s="43">
        <v>2247.534450134282</v>
      </c>
      <c r="X1800" s="43">
        <v>2282.5873832220959</v>
      </c>
      <c r="Y1800" s="43">
        <v>2321.1583371767647</v>
      </c>
      <c r="Z1800" s="43">
        <v>2364.2990530860761</v>
      </c>
      <c r="AA1800" s="43">
        <v>2412.5513319749721</v>
      </c>
      <c r="AB1800" s="43">
        <v>2466.2727195705106</v>
      </c>
      <c r="AC1800" s="43">
        <v>2525.3064048554324</v>
      </c>
      <c r="AD1800" s="43">
        <v>2589.5092352637248</v>
      </c>
      <c r="AE1800" s="43">
        <v>2658.8279810810095</v>
      </c>
    </row>
    <row r="1801" spans="1:31" x14ac:dyDescent="0.45">
      <c r="A1801" t="s">
        <v>3062</v>
      </c>
      <c r="B1801" t="s">
        <v>110</v>
      </c>
      <c r="C1801" t="s">
        <v>113</v>
      </c>
      <c r="D1801">
        <v>2</v>
      </c>
      <c r="E1801" t="s">
        <v>3061</v>
      </c>
      <c r="L1801" s="43">
        <v>3210.4467592248702</v>
      </c>
      <c r="M1801" s="43">
        <v>2690.3404093921163</v>
      </c>
      <c r="N1801" s="43">
        <v>3047.5360888007326</v>
      </c>
      <c r="O1801" s="43">
        <v>3240.6928223889822</v>
      </c>
      <c r="P1801" s="43">
        <v>3273.2119677539522</v>
      </c>
      <c r="Q1801" s="43">
        <v>3368.228907853118</v>
      </c>
      <c r="R1801" s="43">
        <v>3437.9309145673883</v>
      </c>
      <c r="S1801" s="43">
        <v>3470.900822733407</v>
      </c>
      <c r="T1801" s="43">
        <v>3498.0194177538642</v>
      </c>
      <c r="U1801" s="43">
        <v>3526.4640162861488</v>
      </c>
      <c r="V1801" s="43">
        <v>3551.8232701592028</v>
      </c>
      <c r="W1801" s="43">
        <v>3581.0076746909085</v>
      </c>
      <c r="X1801" s="43">
        <v>3614.4939957590395</v>
      </c>
      <c r="Y1801" s="43">
        <v>3653.0206890882928</v>
      </c>
      <c r="Z1801" s="43">
        <v>3697.8686859868676</v>
      </c>
      <c r="AA1801" s="43">
        <v>3749.6373723650045</v>
      </c>
      <c r="AB1801" s="43">
        <v>3808.6824163904794</v>
      </c>
      <c r="AC1801" s="43">
        <v>3874.6901518262448</v>
      </c>
      <c r="AD1801" s="43">
        <v>3947.3749322922286</v>
      </c>
      <c r="AE1801" s="43">
        <v>4026.5764046501595</v>
      </c>
    </row>
    <row r="1802" spans="1:31" x14ac:dyDescent="0.45">
      <c r="A1802" t="s">
        <v>3063</v>
      </c>
      <c r="B1802" t="s">
        <v>110</v>
      </c>
      <c r="C1802" t="s">
        <v>115</v>
      </c>
      <c r="D1802">
        <v>2</v>
      </c>
      <c r="E1802" t="s">
        <v>3061</v>
      </c>
      <c r="L1802" s="43">
        <v>0</v>
      </c>
      <c r="M1802" s="43">
        <v>0</v>
      </c>
      <c r="N1802" s="43">
        <v>0</v>
      </c>
      <c r="O1802" s="43">
        <v>0</v>
      </c>
      <c r="P1802" s="43">
        <v>0</v>
      </c>
      <c r="Q1802" s="43">
        <v>0</v>
      </c>
      <c r="R1802" s="43">
        <v>0</v>
      </c>
      <c r="S1802" s="43">
        <v>0</v>
      </c>
      <c r="T1802" s="43">
        <v>0</v>
      </c>
      <c r="U1802" s="43">
        <v>0</v>
      </c>
      <c r="V1802" s="43">
        <v>0</v>
      </c>
      <c r="W1802" s="43">
        <v>0</v>
      </c>
      <c r="X1802" s="43">
        <v>0</v>
      </c>
      <c r="Y1802" s="43">
        <v>0</v>
      </c>
      <c r="Z1802" s="43">
        <v>0</v>
      </c>
      <c r="AA1802" s="43">
        <v>0</v>
      </c>
      <c r="AB1802" s="43">
        <v>0</v>
      </c>
      <c r="AC1802" s="43">
        <v>0</v>
      </c>
      <c r="AD1802" s="43">
        <v>0</v>
      </c>
      <c r="AE1802" s="43">
        <v>0</v>
      </c>
    </row>
    <row r="1803" spans="1:31" x14ac:dyDescent="0.45">
      <c r="A1803" t="s">
        <v>3064</v>
      </c>
      <c r="B1803" t="s">
        <v>110</v>
      </c>
      <c r="C1803" t="s">
        <v>117</v>
      </c>
      <c r="D1803">
        <v>2</v>
      </c>
      <c r="E1803" t="s">
        <v>3061</v>
      </c>
      <c r="L1803" s="43">
        <v>0</v>
      </c>
      <c r="M1803" s="43">
        <v>0</v>
      </c>
      <c r="N1803" s="43">
        <v>0</v>
      </c>
      <c r="O1803" s="43">
        <v>0</v>
      </c>
      <c r="P1803" s="43">
        <v>0</v>
      </c>
      <c r="Q1803" s="43">
        <v>0</v>
      </c>
      <c r="R1803" s="43">
        <v>0</v>
      </c>
      <c r="S1803" s="43">
        <v>0</v>
      </c>
      <c r="T1803" s="43">
        <v>0</v>
      </c>
      <c r="U1803" s="43">
        <v>0</v>
      </c>
      <c r="V1803" s="43">
        <v>0</v>
      </c>
      <c r="W1803" s="43">
        <v>0</v>
      </c>
      <c r="X1803" s="43">
        <v>0</v>
      </c>
      <c r="Y1803" s="43">
        <v>0</v>
      </c>
      <c r="Z1803" s="43">
        <v>0</v>
      </c>
      <c r="AA1803" s="43">
        <v>0</v>
      </c>
      <c r="AB1803" s="43">
        <v>0</v>
      </c>
      <c r="AC1803" s="43">
        <v>0</v>
      </c>
      <c r="AD1803" s="43">
        <v>0</v>
      </c>
      <c r="AE1803" s="43">
        <v>0</v>
      </c>
    </row>
    <row r="1804" spans="1:31" x14ac:dyDescent="0.45">
      <c r="A1804" t="s">
        <v>3065</v>
      </c>
      <c r="B1804" t="s">
        <v>2471</v>
      </c>
      <c r="C1804" t="s">
        <v>43</v>
      </c>
      <c r="D1804">
        <v>2</v>
      </c>
      <c r="E1804" t="s">
        <v>3066</v>
      </c>
      <c r="L1804" s="43">
        <v>66.453659723176557</v>
      </c>
      <c r="M1804" s="43">
        <v>68.485475215764879</v>
      </c>
      <c r="N1804" s="43">
        <v>58.995402742046402</v>
      </c>
      <c r="O1804" s="43">
        <v>43.916716887965812</v>
      </c>
      <c r="P1804" s="43">
        <v>53.774364143577706</v>
      </c>
      <c r="Q1804" s="43">
        <v>42.744789650417033</v>
      </c>
      <c r="R1804" s="43">
        <v>42.779072328836371</v>
      </c>
      <c r="S1804" s="43">
        <v>45.916969217514961</v>
      </c>
      <c r="T1804" s="43">
        <v>49.244157129395532</v>
      </c>
      <c r="U1804" s="43">
        <v>52.460180480357558</v>
      </c>
      <c r="V1804" s="43">
        <v>57.218253078860805</v>
      </c>
      <c r="W1804" s="43">
        <v>61.976294794957397</v>
      </c>
      <c r="X1804" s="43">
        <v>66.734205901312919</v>
      </c>
      <c r="Y1804" s="43">
        <v>71.4920336037016</v>
      </c>
      <c r="Z1804" s="43">
        <v>76.24992373815715</v>
      </c>
      <c r="AA1804" s="43">
        <v>81.007681571932849</v>
      </c>
      <c r="AB1804" s="43">
        <v>85.765505234222971</v>
      </c>
      <c r="AC1804" s="43">
        <v>90.522182374992653</v>
      </c>
      <c r="AD1804" s="43">
        <v>95.278926427520332</v>
      </c>
      <c r="AE1804" s="43">
        <v>100.03561101581576</v>
      </c>
    </row>
    <row r="1805" spans="1:31" x14ac:dyDescent="0.45">
      <c r="A1805" t="s">
        <v>3067</v>
      </c>
      <c r="B1805" t="s">
        <v>2471</v>
      </c>
      <c r="C1805" t="s">
        <v>113</v>
      </c>
      <c r="D1805">
        <v>2</v>
      </c>
      <c r="E1805" t="s">
        <v>3066</v>
      </c>
      <c r="L1805" s="43">
        <v>66.453659723176557</v>
      </c>
      <c r="M1805" s="43">
        <v>68.485475215764879</v>
      </c>
      <c r="N1805" s="43">
        <v>58.995402742046402</v>
      </c>
      <c r="O1805" s="43">
        <v>43.916716887965812</v>
      </c>
      <c r="P1805" s="43">
        <v>53.774364143577706</v>
      </c>
      <c r="Q1805" s="43">
        <v>42.744789650417033</v>
      </c>
      <c r="R1805" s="43">
        <v>42.779072328836371</v>
      </c>
      <c r="S1805" s="43">
        <v>45.916969217514961</v>
      </c>
      <c r="T1805" s="43">
        <v>49.244157129395532</v>
      </c>
      <c r="U1805" s="43">
        <v>52.460180480357558</v>
      </c>
      <c r="V1805" s="43">
        <v>57.218253078860805</v>
      </c>
      <c r="W1805" s="43">
        <v>61.976294794957397</v>
      </c>
      <c r="X1805" s="43">
        <v>66.734205901312919</v>
      </c>
      <c r="Y1805" s="43">
        <v>71.4920336037016</v>
      </c>
      <c r="Z1805" s="43">
        <v>76.24992373815715</v>
      </c>
      <c r="AA1805" s="43">
        <v>81.007681571932849</v>
      </c>
      <c r="AB1805" s="43">
        <v>85.765505234222971</v>
      </c>
      <c r="AC1805" s="43">
        <v>90.522182374992653</v>
      </c>
      <c r="AD1805" s="43">
        <v>95.278926427520332</v>
      </c>
      <c r="AE1805" s="43">
        <v>100.03561101581576</v>
      </c>
    </row>
    <row r="1806" spans="1:31" x14ac:dyDescent="0.45">
      <c r="A1806" t="s">
        <v>3068</v>
      </c>
      <c r="B1806" t="s">
        <v>2471</v>
      </c>
      <c r="C1806" t="s">
        <v>115</v>
      </c>
      <c r="D1806">
        <v>2</v>
      </c>
      <c r="E1806" t="s">
        <v>3066</v>
      </c>
      <c r="L1806" s="43">
        <v>66.453659723176557</v>
      </c>
      <c r="M1806" s="43">
        <v>68.485475215764879</v>
      </c>
      <c r="N1806" s="43">
        <v>58.995402742046402</v>
      </c>
      <c r="O1806" s="43">
        <v>43.916716887965812</v>
      </c>
      <c r="P1806" s="43">
        <v>53.774364143577706</v>
      </c>
      <c r="Q1806" s="43">
        <v>42.744789650417033</v>
      </c>
      <c r="R1806" s="43">
        <v>42.779072328836371</v>
      </c>
      <c r="S1806" s="43">
        <v>45.916969217514961</v>
      </c>
      <c r="T1806" s="43">
        <v>49.244157129395532</v>
      </c>
      <c r="U1806" s="43">
        <v>52.460180480357558</v>
      </c>
      <c r="V1806" s="43">
        <v>57.218253078860805</v>
      </c>
      <c r="W1806" s="43">
        <v>61.976294794957397</v>
      </c>
      <c r="X1806" s="43">
        <v>66.734205901312919</v>
      </c>
      <c r="Y1806" s="43">
        <v>71.4920336037016</v>
      </c>
      <c r="Z1806" s="43">
        <v>76.24992373815715</v>
      </c>
      <c r="AA1806" s="43">
        <v>81.007681571932849</v>
      </c>
      <c r="AB1806" s="43">
        <v>85.765505234222971</v>
      </c>
      <c r="AC1806" s="43">
        <v>90.522182374992653</v>
      </c>
      <c r="AD1806" s="43">
        <v>95.278926427520332</v>
      </c>
      <c r="AE1806" s="43">
        <v>100.03561101581576</v>
      </c>
    </row>
    <row r="1807" spans="1:31" x14ac:dyDescent="0.45">
      <c r="A1807" t="s">
        <v>3069</v>
      </c>
      <c r="B1807" t="s">
        <v>2471</v>
      </c>
      <c r="C1807" t="s">
        <v>117</v>
      </c>
      <c r="D1807">
        <v>2</v>
      </c>
      <c r="E1807" t="s">
        <v>3066</v>
      </c>
      <c r="L1807" s="43">
        <v>66.453659723176557</v>
      </c>
      <c r="M1807" s="43">
        <v>68.485475215764879</v>
      </c>
      <c r="N1807" s="43">
        <v>58.995402742046402</v>
      </c>
      <c r="O1807" s="43">
        <v>43.916716887965812</v>
      </c>
      <c r="P1807" s="43">
        <v>53.774364143577706</v>
      </c>
      <c r="Q1807" s="43">
        <v>42.744789650417033</v>
      </c>
      <c r="R1807" s="43">
        <v>42.779072328836371</v>
      </c>
      <c r="S1807" s="43">
        <v>45.916969217514961</v>
      </c>
      <c r="T1807" s="43">
        <v>49.244157129395532</v>
      </c>
      <c r="U1807" s="43">
        <v>52.460180480357558</v>
      </c>
      <c r="V1807" s="43">
        <v>57.218253078860805</v>
      </c>
      <c r="W1807" s="43">
        <v>61.976294794957397</v>
      </c>
      <c r="X1807" s="43">
        <v>66.734205901312919</v>
      </c>
      <c r="Y1807" s="43">
        <v>71.4920336037016</v>
      </c>
      <c r="Z1807" s="43">
        <v>76.24992373815715</v>
      </c>
      <c r="AA1807" s="43">
        <v>81.007681571932849</v>
      </c>
      <c r="AB1807" s="43">
        <v>85.765505234222971</v>
      </c>
      <c r="AC1807" s="43">
        <v>90.522182374992653</v>
      </c>
      <c r="AD1807" s="43">
        <v>95.278926427520332</v>
      </c>
      <c r="AE1807" s="43">
        <v>100.03561101581576</v>
      </c>
    </row>
    <row r="1808" spans="1:31" x14ac:dyDescent="0.45">
      <c r="A1808" t="s">
        <v>3070</v>
      </c>
      <c r="B1808" t="s">
        <v>110</v>
      </c>
      <c r="C1808" t="s">
        <v>2675</v>
      </c>
      <c r="D1808">
        <v>2</v>
      </c>
      <c r="E1808" t="s">
        <v>3071</v>
      </c>
      <c r="L1808" s="43">
        <v>48.086991333544489</v>
      </c>
      <c r="M1808" s="43">
        <v>49.677032012339083</v>
      </c>
      <c r="N1808" s="43">
        <v>51.320891261</v>
      </c>
      <c r="O1808" s="43">
        <v>53.020436367115991</v>
      </c>
      <c r="P1808" s="43">
        <v>54.77760125723205</v>
      </c>
      <c r="Q1808" s="43">
        <v>56.594388955214242</v>
      </c>
      <c r="R1808" s="43">
        <v>57.925545188855324</v>
      </c>
      <c r="S1808" s="43">
        <v>59.020219122727049</v>
      </c>
      <c r="T1808" s="43">
        <v>60.147889772246174</v>
      </c>
      <c r="U1808" s="43">
        <v>61.309611792942349</v>
      </c>
      <c r="V1808" s="43">
        <v>62.506479942760187</v>
      </c>
      <c r="W1808" s="43">
        <v>63.739630488053592</v>
      </c>
      <c r="X1808" s="43">
        <v>65.01024266637009</v>
      </c>
      <c r="Y1808" s="43">
        <v>66.319540208132338</v>
      </c>
      <c r="Z1808" s="43">
        <v>67.668792919411487</v>
      </c>
      <c r="AA1808" s="43">
        <v>69.059318328080764</v>
      </c>
      <c r="AB1808" s="43">
        <v>70.492483395731881</v>
      </c>
      <c r="AC1808" s="43">
        <v>71.969706297837448</v>
      </c>
      <c r="AD1808" s="43">
        <v>73.492458274745786</v>
      </c>
      <c r="AE1808" s="43">
        <v>75.062265556201879</v>
      </c>
    </row>
    <row r="1809" spans="1:31" x14ac:dyDescent="0.45">
      <c r="A1809" t="s">
        <v>3072</v>
      </c>
      <c r="B1809" t="s">
        <v>110</v>
      </c>
      <c r="C1809" t="s">
        <v>2675</v>
      </c>
      <c r="D1809">
        <v>2</v>
      </c>
      <c r="E1809" t="s">
        <v>3073</v>
      </c>
      <c r="L1809" s="43">
        <v>0</v>
      </c>
      <c r="M1809" s="43">
        <v>0</v>
      </c>
      <c r="N1809" s="43">
        <v>0</v>
      </c>
      <c r="O1809" s="43">
        <v>0</v>
      </c>
      <c r="P1809" s="43">
        <v>0</v>
      </c>
      <c r="Q1809" s="43">
        <v>0</v>
      </c>
      <c r="R1809" s="43">
        <v>289.62772594427656</v>
      </c>
      <c r="S1809" s="43">
        <v>737.75273903408822</v>
      </c>
      <c r="T1809" s="43">
        <v>1202.9577954449232</v>
      </c>
      <c r="U1809" s="43">
        <v>1686.0143243059147</v>
      </c>
      <c r="V1809" s="43">
        <v>2187.7267979966064</v>
      </c>
      <c r="W1809" s="43">
        <v>2708.9342957422773</v>
      </c>
      <c r="X1809" s="43">
        <v>3250.5121333185043</v>
      </c>
      <c r="Y1809" s="43">
        <v>3813.3735619676095</v>
      </c>
      <c r="Z1809" s="43">
        <v>4398.4715397617465</v>
      </c>
      <c r="AA1809" s="43">
        <v>5006.8005787858556</v>
      </c>
      <c r="AB1809" s="43">
        <v>5639.3986716585505</v>
      </c>
      <c r="AC1809" s="43">
        <v>6297.3493010607763</v>
      </c>
      <c r="AD1809" s="43">
        <v>6981.7835361008501</v>
      </c>
      <c r="AE1809" s="43">
        <v>7693.8822195106914</v>
      </c>
    </row>
    <row r="1810" spans="1:31" x14ac:dyDescent="0.45">
      <c r="A1810" t="s">
        <v>3074</v>
      </c>
      <c r="B1810" t="s">
        <v>110</v>
      </c>
      <c r="C1810" t="s">
        <v>2675</v>
      </c>
      <c r="D1810">
        <v>2</v>
      </c>
      <c r="E1810" t="s">
        <v>3075</v>
      </c>
      <c r="L1810" s="43">
        <v>0</v>
      </c>
      <c r="M1810" s="43">
        <v>0</v>
      </c>
      <c r="N1810" s="43">
        <v>0</v>
      </c>
      <c r="O1810" s="43">
        <v>0</v>
      </c>
      <c r="P1810" s="43">
        <v>0</v>
      </c>
      <c r="Q1810" s="43">
        <v>0</v>
      </c>
      <c r="R1810" s="43">
        <v>226.00935927778659</v>
      </c>
      <c r="S1810" s="43">
        <v>583.80009637569901</v>
      </c>
      <c r="T1810" s="43">
        <v>965.14266028114253</v>
      </c>
      <c r="U1810" s="43">
        <v>1371.2329992814202</v>
      </c>
      <c r="V1810" s="43">
        <v>1803.3223808322948</v>
      </c>
      <c r="W1810" s="43">
        <v>2262.7198551964975</v>
      </c>
      <c r="X1810" s="43">
        <v>2750.7948277121236</v>
      </c>
      <c r="Y1810" s="43">
        <v>3268.9797445181539</v>
      </c>
      <c r="Z1810" s="43">
        <v>3818.7728967831436</v>
      </c>
      <c r="AA1810" s="43">
        <v>4401.7413487122885</v>
      </c>
      <c r="AB1810" s="43">
        <v>5019.5239948477338</v>
      </c>
      <c r="AC1810" s="43">
        <v>5673.8347524281144</v>
      </c>
      <c r="AD1810" s="43">
        <v>6366.4658948359283</v>
      </c>
      <c r="AE1810" s="43">
        <v>7099.2915324365131</v>
      </c>
    </row>
    <row r="1811" spans="1:31" x14ac:dyDescent="0.45">
      <c r="A1811" t="s">
        <v>3076</v>
      </c>
      <c r="B1811" t="s">
        <v>110</v>
      </c>
      <c r="C1811" t="s">
        <v>2675</v>
      </c>
      <c r="D1811">
        <v>2</v>
      </c>
      <c r="E1811" t="s">
        <v>3077</v>
      </c>
      <c r="L1811" s="43">
        <v>0</v>
      </c>
      <c r="M1811" s="43">
        <v>0</v>
      </c>
      <c r="N1811" s="43">
        <v>0</v>
      </c>
      <c r="O1811" s="43">
        <v>0</v>
      </c>
      <c r="P1811" s="43">
        <v>0</v>
      </c>
      <c r="Q1811" s="43">
        <v>0</v>
      </c>
      <c r="R1811" s="43">
        <v>63.618366666489976</v>
      </c>
      <c r="S1811" s="43">
        <v>153.95264265838921</v>
      </c>
      <c r="T1811" s="43">
        <v>237.81513516378072</v>
      </c>
      <c r="U1811" s="43">
        <v>314.78132502449444</v>
      </c>
      <c r="V1811" s="43">
        <v>384.40441716431155</v>
      </c>
      <c r="W1811" s="43">
        <v>446.21444054577978</v>
      </c>
      <c r="X1811" s="43">
        <v>499.71730560638071</v>
      </c>
      <c r="Y1811" s="43">
        <v>544.39381744945558</v>
      </c>
      <c r="Z1811" s="43">
        <v>579.69864297860295</v>
      </c>
      <c r="AA1811" s="43">
        <v>605.05923007356705</v>
      </c>
      <c r="AB1811" s="43">
        <v>619.87467681081671</v>
      </c>
      <c r="AC1811" s="43">
        <v>623.5145486326619</v>
      </c>
      <c r="AD1811" s="43">
        <v>615.3176412649218</v>
      </c>
      <c r="AE1811" s="43">
        <v>594.59068707417828</v>
      </c>
    </row>
    <row r="1812" spans="1:31" x14ac:dyDescent="0.45">
      <c r="A1812" t="s">
        <v>3078</v>
      </c>
      <c r="B1812" t="s">
        <v>110</v>
      </c>
      <c r="C1812" t="s">
        <v>2675</v>
      </c>
      <c r="D1812">
        <v>2</v>
      </c>
      <c r="E1812" t="s">
        <v>3079</v>
      </c>
      <c r="L1812" s="43">
        <v>14.019740964534272</v>
      </c>
      <c r="M1812" s="43">
        <v>11.739301230035998</v>
      </c>
      <c r="N1812" s="43">
        <v>13.303124518863104</v>
      </c>
      <c r="O1812" s="43">
        <v>14.156899598427017</v>
      </c>
      <c r="P1812" s="43">
        <v>14.286244741983563</v>
      </c>
      <c r="Q1812" s="43">
        <v>14.694194505017343</v>
      </c>
      <c r="R1812" s="43">
        <v>14.994875575862162</v>
      </c>
      <c r="S1812" s="43">
        <v>15.136366273638147</v>
      </c>
      <c r="T1812" s="43">
        <v>15.252764173074945</v>
      </c>
      <c r="U1812" s="43">
        <v>15.374934418045484</v>
      </c>
      <c r="V1812" s="43">
        <v>15.482754180635997</v>
      </c>
      <c r="W1812" s="43">
        <v>15.60722359692301</v>
      </c>
      <c r="X1812" s="43">
        <v>15.750379252912278</v>
      </c>
      <c r="Y1812" s="43">
        <v>15.915389983789648</v>
      </c>
      <c r="Z1812" s="43">
        <v>16.107767691733201</v>
      </c>
      <c r="AA1812" s="43">
        <v>16.330081813120753</v>
      </c>
      <c r="AB1812" s="43">
        <v>16.583850082211992</v>
      </c>
      <c r="AC1812" s="43">
        <v>16.867702036893469</v>
      </c>
      <c r="AD1812" s="43">
        <v>17.180389673888605</v>
      </c>
      <c r="AE1812" s="43">
        <v>17.521206965497779</v>
      </c>
    </row>
    <row r="1813" spans="1:31" x14ac:dyDescent="0.45">
      <c r="A1813" t="s">
        <v>3080</v>
      </c>
      <c r="B1813" t="s">
        <v>2974</v>
      </c>
      <c r="C1813" t="s">
        <v>2675</v>
      </c>
      <c r="D1813">
        <v>2</v>
      </c>
      <c r="E1813" t="s">
        <v>2975</v>
      </c>
      <c r="L1813" s="43">
        <v>0</v>
      </c>
      <c r="M1813" s="43">
        <v>0</v>
      </c>
      <c r="N1813" s="43">
        <v>0</v>
      </c>
      <c r="O1813" s="43">
        <v>0</v>
      </c>
      <c r="P1813" s="43">
        <v>0</v>
      </c>
      <c r="Q1813" s="43">
        <v>0</v>
      </c>
      <c r="R1813" s="43">
        <v>0</v>
      </c>
      <c r="S1813" s="43">
        <v>0</v>
      </c>
      <c r="T1813" s="43">
        <v>0</v>
      </c>
      <c r="U1813" s="43">
        <v>0</v>
      </c>
      <c r="V1813" s="43">
        <v>0</v>
      </c>
      <c r="W1813" s="43">
        <v>0</v>
      </c>
      <c r="X1813" s="43">
        <v>0</v>
      </c>
      <c r="Y1813" s="43">
        <v>0</v>
      </c>
      <c r="Z1813" s="43">
        <v>0</v>
      </c>
      <c r="AA1813" s="43">
        <v>0</v>
      </c>
      <c r="AB1813" s="43">
        <v>0</v>
      </c>
      <c r="AC1813" s="43">
        <v>0</v>
      </c>
      <c r="AD1813" s="43">
        <v>0</v>
      </c>
      <c r="AE1813" s="43">
        <v>0</v>
      </c>
    </row>
    <row r="1814" spans="1:31" x14ac:dyDescent="0.45">
      <c r="A1814" t="s">
        <v>3081</v>
      </c>
      <c r="B1814" t="s">
        <v>110</v>
      </c>
      <c r="C1814" t="s">
        <v>43</v>
      </c>
      <c r="D1814">
        <v>2</v>
      </c>
      <c r="E1814" t="s">
        <v>3082</v>
      </c>
      <c r="L1814" s="43">
        <v>1901.7140738122609</v>
      </c>
      <c r="M1814" s="43">
        <v>1621.2301769893743</v>
      </c>
      <c r="N1814" s="43">
        <v>1820.8469202303741</v>
      </c>
      <c r="O1814" s="43">
        <v>1904.3670376253485</v>
      </c>
      <c r="P1814" s="43">
        <v>1961.702021253242</v>
      </c>
      <c r="Q1814" s="43">
        <v>2038.9739202925941</v>
      </c>
      <c r="R1814" s="43">
        <v>2053.7524223291048</v>
      </c>
      <c r="S1814" s="43">
        <v>2028.7258545687616</v>
      </c>
      <c r="T1814" s="43">
        <v>2003.6478535386473</v>
      </c>
      <c r="U1814" s="43">
        <v>1983.2706278023495</v>
      </c>
      <c r="V1814" s="43">
        <v>1966.960491119863</v>
      </c>
      <c r="W1814" s="43">
        <v>1955.5819635673633</v>
      </c>
      <c r="X1814" s="43">
        <v>1949.000028543926</v>
      </c>
      <c r="Y1814" s="43">
        <v>1947.3059514210311</v>
      </c>
      <c r="Z1814" s="43">
        <v>1950.9693766450584</v>
      </c>
      <c r="AA1814" s="43">
        <v>1960.0564283126205</v>
      </c>
      <c r="AB1814" s="43">
        <v>1974.5170929136352</v>
      </c>
      <c r="AC1814" s="43">
        <v>1993.9297991003125</v>
      </c>
      <c r="AD1814" s="43">
        <v>2017.9315635538314</v>
      </c>
      <c r="AE1814" s="43">
        <v>2046.2675129889969</v>
      </c>
    </row>
    <row r="1815" spans="1:31" x14ac:dyDescent="0.45">
      <c r="A1815" t="s">
        <v>3083</v>
      </c>
      <c r="B1815" t="s">
        <v>110</v>
      </c>
      <c r="C1815" t="s">
        <v>113</v>
      </c>
      <c r="D1815">
        <v>2</v>
      </c>
      <c r="E1815" t="s">
        <v>3082</v>
      </c>
      <c r="L1815" s="43">
        <v>3210.4467592248702</v>
      </c>
      <c r="M1815" s="43">
        <v>2690.3404093921163</v>
      </c>
      <c r="N1815" s="43">
        <v>3047.5360888007326</v>
      </c>
      <c r="O1815" s="43">
        <v>3240.6928223889822</v>
      </c>
      <c r="P1815" s="43">
        <v>3273.2119677539522</v>
      </c>
      <c r="Q1815" s="43">
        <v>3368.228907853118</v>
      </c>
      <c r="R1815" s="43">
        <v>3379.4779585853985</v>
      </c>
      <c r="S1815" s="43">
        <v>3331.2392751518291</v>
      </c>
      <c r="T1815" s="43">
        <v>3284.1252951076317</v>
      </c>
      <c r="U1815" s="43">
        <v>3244.0426318203517</v>
      </c>
      <c r="V1815" s="43">
        <v>3206.5962688425279</v>
      </c>
      <c r="W1815" s="43">
        <v>3176.9586228001854</v>
      </c>
      <c r="X1815" s="43">
        <v>3154.7672508666237</v>
      </c>
      <c r="Y1815" s="43">
        <v>3139.9898420802028</v>
      </c>
      <c r="Z1815" s="43">
        <v>3133.1186800267096</v>
      </c>
      <c r="AA1815" s="43">
        <v>3134.112488762697</v>
      </c>
      <c r="AB1815" s="43">
        <v>3142.7839499983083</v>
      </c>
      <c r="AC1815" s="43">
        <v>3158.4600343757443</v>
      </c>
      <c r="AD1815" s="43">
        <v>3180.5588326837142</v>
      </c>
      <c r="AE1815" s="43">
        <v>3208.6530755839376</v>
      </c>
    </row>
    <row r="1816" spans="1:31" x14ac:dyDescent="0.45">
      <c r="A1816" t="s">
        <v>3084</v>
      </c>
      <c r="B1816" t="s">
        <v>110</v>
      </c>
      <c r="C1816" t="s">
        <v>115</v>
      </c>
      <c r="D1816">
        <v>2</v>
      </c>
      <c r="E1816" t="s">
        <v>3082</v>
      </c>
      <c r="L1816" s="43">
        <v>0</v>
      </c>
      <c r="M1816" s="43">
        <v>0</v>
      </c>
      <c r="N1816" s="43">
        <v>0</v>
      </c>
      <c r="O1816" s="43">
        <v>0</v>
      </c>
      <c r="P1816" s="43">
        <v>0</v>
      </c>
      <c r="Q1816" s="43">
        <v>0</v>
      </c>
      <c r="R1816" s="43">
        <v>0</v>
      </c>
      <c r="S1816" s="43">
        <v>0</v>
      </c>
      <c r="T1816" s="43">
        <v>0</v>
      </c>
      <c r="U1816" s="43">
        <v>0</v>
      </c>
      <c r="V1816" s="43">
        <v>0</v>
      </c>
      <c r="W1816" s="43">
        <v>0</v>
      </c>
      <c r="X1816" s="43">
        <v>0</v>
      </c>
      <c r="Y1816" s="43">
        <v>0</v>
      </c>
      <c r="Z1816" s="43">
        <v>0</v>
      </c>
      <c r="AA1816" s="43">
        <v>0</v>
      </c>
      <c r="AB1816" s="43">
        <v>0</v>
      </c>
      <c r="AC1816" s="43">
        <v>0</v>
      </c>
      <c r="AD1816" s="43">
        <v>0</v>
      </c>
      <c r="AE1816" s="43">
        <v>0</v>
      </c>
    </row>
    <row r="1817" spans="1:31" x14ac:dyDescent="0.45">
      <c r="A1817" t="s">
        <v>3085</v>
      </c>
      <c r="B1817" t="s">
        <v>110</v>
      </c>
      <c r="C1817" t="s">
        <v>117</v>
      </c>
      <c r="D1817">
        <v>2</v>
      </c>
      <c r="E1817" t="s">
        <v>3082</v>
      </c>
      <c r="L1817" s="43">
        <v>0</v>
      </c>
      <c r="M1817" s="43">
        <v>0</v>
      </c>
      <c r="N1817" s="43">
        <v>0</v>
      </c>
      <c r="O1817" s="43">
        <v>0</v>
      </c>
      <c r="P1817" s="43">
        <v>0</v>
      </c>
      <c r="Q1817" s="43">
        <v>0</v>
      </c>
      <c r="R1817" s="43">
        <v>0</v>
      </c>
      <c r="S1817" s="43">
        <v>0</v>
      </c>
      <c r="T1817" s="43">
        <v>0</v>
      </c>
      <c r="U1817" s="43">
        <v>0</v>
      </c>
      <c r="V1817" s="43">
        <v>0</v>
      </c>
      <c r="W1817" s="43">
        <v>0</v>
      </c>
      <c r="X1817" s="43">
        <v>0</v>
      </c>
      <c r="Y1817" s="43">
        <v>0</v>
      </c>
      <c r="Z1817" s="43">
        <v>0</v>
      </c>
      <c r="AA1817" s="43">
        <v>0</v>
      </c>
      <c r="AB1817" s="43">
        <v>0</v>
      </c>
      <c r="AC1817" s="43">
        <v>0</v>
      </c>
      <c r="AD1817" s="43">
        <v>0</v>
      </c>
      <c r="AE1817" s="43">
        <v>0</v>
      </c>
    </row>
    <row r="1818" spans="1:31" x14ac:dyDescent="0.45">
      <c r="A1818" t="s">
        <v>3086</v>
      </c>
      <c r="B1818" t="s">
        <v>2471</v>
      </c>
      <c r="C1818" t="s">
        <v>43</v>
      </c>
      <c r="D1818">
        <v>2</v>
      </c>
      <c r="E1818" t="s">
        <v>3087</v>
      </c>
      <c r="L1818" s="43">
        <v>66.453659723176557</v>
      </c>
      <c r="M1818" s="43">
        <v>68.485475215764879</v>
      </c>
      <c r="N1818" s="43">
        <v>58.995402742046402</v>
      </c>
      <c r="O1818" s="43">
        <v>43.916716887965812</v>
      </c>
      <c r="P1818" s="43">
        <v>53.774364143577706</v>
      </c>
      <c r="Q1818" s="43">
        <v>42.744789650417033</v>
      </c>
      <c r="R1818" s="43">
        <v>42.779072328836371</v>
      </c>
      <c r="S1818" s="43">
        <v>45.916969217514961</v>
      </c>
      <c r="T1818" s="43">
        <v>49.244157129395532</v>
      </c>
      <c r="U1818" s="43">
        <v>52.460180480357558</v>
      </c>
      <c r="V1818" s="43">
        <v>57.218253078860805</v>
      </c>
      <c r="W1818" s="43">
        <v>61.976294794957397</v>
      </c>
      <c r="X1818" s="43">
        <v>66.734205901312919</v>
      </c>
      <c r="Y1818" s="43">
        <v>71.4920336037016</v>
      </c>
      <c r="Z1818" s="43">
        <v>76.24992373815715</v>
      </c>
      <c r="AA1818" s="43">
        <v>81.007681571932849</v>
      </c>
      <c r="AB1818" s="43">
        <v>85.765505234222971</v>
      </c>
      <c r="AC1818" s="43">
        <v>90.522182374992653</v>
      </c>
      <c r="AD1818" s="43">
        <v>95.278926427520332</v>
      </c>
      <c r="AE1818" s="43">
        <v>100.03561101581576</v>
      </c>
    </row>
    <row r="1819" spans="1:31" x14ac:dyDescent="0.45">
      <c r="A1819" t="s">
        <v>3088</v>
      </c>
      <c r="B1819" t="s">
        <v>2471</v>
      </c>
      <c r="C1819" t="s">
        <v>113</v>
      </c>
      <c r="D1819">
        <v>2</v>
      </c>
      <c r="E1819" t="s">
        <v>3087</v>
      </c>
      <c r="L1819" s="43">
        <v>66.453659723176557</v>
      </c>
      <c r="M1819" s="43">
        <v>68.485475215764879</v>
      </c>
      <c r="N1819" s="43">
        <v>58.995402742046402</v>
      </c>
      <c r="O1819" s="43">
        <v>43.916716887965812</v>
      </c>
      <c r="P1819" s="43">
        <v>53.774364143577706</v>
      </c>
      <c r="Q1819" s="43">
        <v>42.744789650417033</v>
      </c>
      <c r="R1819" s="43">
        <v>42.779072328836371</v>
      </c>
      <c r="S1819" s="43">
        <v>45.916969217514961</v>
      </c>
      <c r="T1819" s="43">
        <v>49.244157129395532</v>
      </c>
      <c r="U1819" s="43">
        <v>52.460180480357558</v>
      </c>
      <c r="V1819" s="43">
        <v>57.218253078860805</v>
      </c>
      <c r="W1819" s="43">
        <v>61.976294794957397</v>
      </c>
      <c r="X1819" s="43">
        <v>66.734205901312919</v>
      </c>
      <c r="Y1819" s="43">
        <v>71.4920336037016</v>
      </c>
      <c r="Z1819" s="43">
        <v>76.24992373815715</v>
      </c>
      <c r="AA1819" s="43">
        <v>81.007681571932849</v>
      </c>
      <c r="AB1819" s="43">
        <v>85.765505234222971</v>
      </c>
      <c r="AC1819" s="43">
        <v>90.522182374992653</v>
      </c>
      <c r="AD1819" s="43">
        <v>95.278926427520332</v>
      </c>
      <c r="AE1819" s="43">
        <v>100.03561101581576</v>
      </c>
    </row>
    <row r="1820" spans="1:31" x14ac:dyDescent="0.45">
      <c r="A1820" t="s">
        <v>3089</v>
      </c>
      <c r="B1820" t="s">
        <v>2471</v>
      </c>
      <c r="C1820" t="s">
        <v>115</v>
      </c>
      <c r="D1820">
        <v>2</v>
      </c>
      <c r="E1820" t="s">
        <v>3087</v>
      </c>
      <c r="L1820" s="43">
        <v>66.453659723176557</v>
      </c>
      <c r="M1820" s="43">
        <v>68.485475215764879</v>
      </c>
      <c r="N1820" s="43">
        <v>58.995402742046402</v>
      </c>
      <c r="O1820" s="43">
        <v>43.916716887965812</v>
      </c>
      <c r="P1820" s="43">
        <v>53.774364143577706</v>
      </c>
      <c r="Q1820" s="43">
        <v>42.744789650417033</v>
      </c>
      <c r="R1820" s="43">
        <v>42.779072328836371</v>
      </c>
      <c r="S1820" s="43">
        <v>45.916969217514961</v>
      </c>
      <c r="T1820" s="43">
        <v>49.244157129395532</v>
      </c>
      <c r="U1820" s="43">
        <v>52.460180480357558</v>
      </c>
      <c r="V1820" s="43">
        <v>57.218253078860805</v>
      </c>
      <c r="W1820" s="43">
        <v>61.976294794957397</v>
      </c>
      <c r="X1820" s="43">
        <v>66.734205901312919</v>
      </c>
      <c r="Y1820" s="43">
        <v>71.4920336037016</v>
      </c>
      <c r="Z1820" s="43">
        <v>76.24992373815715</v>
      </c>
      <c r="AA1820" s="43">
        <v>81.007681571932849</v>
      </c>
      <c r="AB1820" s="43">
        <v>85.765505234222971</v>
      </c>
      <c r="AC1820" s="43">
        <v>90.522182374992653</v>
      </c>
      <c r="AD1820" s="43">
        <v>95.278926427520332</v>
      </c>
      <c r="AE1820" s="43">
        <v>100.03561101581576</v>
      </c>
    </row>
    <row r="1821" spans="1:31" x14ac:dyDescent="0.45">
      <c r="A1821" t="s">
        <v>3090</v>
      </c>
      <c r="B1821" t="s">
        <v>2471</v>
      </c>
      <c r="C1821" t="s">
        <v>117</v>
      </c>
      <c r="D1821">
        <v>2</v>
      </c>
      <c r="E1821" t="s">
        <v>3087</v>
      </c>
      <c r="L1821" s="43">
        <v>66.453659723176557</v>
      </c>
      <c r="M1821" s="43">
        <v>68.485475215764879</v>
      </c>
      <c r="N1821" s="43">
        <v>58.995402742046402</v>
      </c>
      <c r="O1821" s="43">
        <v>43.916716887965812</v>
      </c>
      <c r="P1821" s="43">
        <v>53.774364143577706</v>
      </c>
      <c r="Q1821" s="43">
        <v>42.744789650417033</v>
      </c>
      <c r="R1821" s="43">
        <v>42.779072328836371</v>
      </c>
      <c r="S1821" s="43">
        <v>45.916969217514961</v>
      </c>
      <c r="T1821" s="43">
        <v>49.244157129395532</v>
      </c>
      <c r="U1821" s="43">
        <v>52.460180480357558</v>
      </c>
      <c r="V1821" s="43">
        <v>57.218253078860805</v>
      </c>
      <c r="W1821" s="43">
        <v>61.976294794957397</v>
      </c>
      <c r="X1821" s="43">
        <v>66.734205901312919</v>
      </c>
      <c r="Y1821" s="43">
        <v>71.4920336037016</v>
      </c>
      <c r="Z1821" s="43">
        <v>76.24992373815715</v>
      </c>
      <c r="AA1821" s="43">
        <v>81.007681571932849</v>
      </c>
      <c r="AB1821" s="43">
        <v>85.765505234222971</v>
      </c>
      <c r="AC1821" s="43">
        <v>90.522182374992653</v>
      </c>
      <c r="AD1821" s="43">
        <v>95.278926427520332</v>
      </c>
      <c r="AE1821" s="43">
        <v>100.03561101581576</v>
      </c>
    </row>
    <row r="1822" spans="1:31" x14ac:dyDescent="0.45">
      <c r="A1822" t="s">
        <v>3091</v>
      </c>
      <c r="B1822" t="s">
        <v>110</v>
      </c>
      <c r="C1822" t="s">
        <v>2675</v>
      </c>
      <c r="D1822">
        <v>2</v>
      </c>
      <c r="E1822" t="s">
        <v>3092</v>
      </c>
      <c r="L1822" s="43">
        <v>48.086991333544489</v>
      </c>
      <c r="M1822" s="43">
        <v>49.677032012339083</v>
      </c>
      <c r="N1822" s="43">
        <v>51.320891261</v>
      </c>
      <c r="O1822" s="43">
        <v>53.020436367115991</v>
      </c>
      <c r="P1822" s="43">
        <v>54.77760125723205</v>
      </c>
      <c r="Q1822" s="43">
        <v>56.594388955214242</v>
      </c>
      <c r="R1822" s="43">
        <v>56.967414086646173</v>
      </c>
      <c r="S1822" s="43">
        <v>56.678667398200041</v>
      </c>
      <c r="T1822" s="43">
        <v>56.477973039880865</v>
      </c>
      <c r="U1822" s="43">
        <v>56.357293108118625</v>
      </c>
      <c r="V1822" s="43">
        <v>56.310003397982669</v>
      </c>
      <c r="W1822" s="43">
        <v>56.330616987965016</v>
      </c>
      <c r="X1822" s="43">
        <v>56.414572425281136</v>
      </c>
      <c r="Y1822" s="43">
        <v>56.558069455706743</v>
      </c>
      <c r="Z1822" s="43">
        <v>56.757940238054452</v>
      </c>
      <c r="AA1822" s="43">
        <v>57.011547383435342</v>
      </c>
      <c r="AB1822" s="43">
        <v>57.316702512634329</v>
      </c>
      <c r="AC1822" s="43">
        <v>57.671600678898727</v>
      </c>
      <c r="AD1822" s="43">
        <v>58.074767182548314</v>
      </c>
      <c r="AE1822" s="43">
        <v>58.525014155462173</v>
      </c>
    </row>
    <row r="1823" spans="1:31" x14ac:dyDescent="0.45">
      <c r="A1823" t="s">
        <v>3093</v>
      </c>
      <c r="B1823" t="s">
        <v>110</v>
      </c>
      <c r="C1823" t="s">
        <v>2675</v>
      </c>
      <c r="D1823">
        <v>2</v>
      </c>
      <c r="E1823" t="s">
        <v>3094</v>
      </c>
      <c r="L1823" s="43">
        <v>0</v>
      </c>
      <c r="M1823" s="43">
        <v>0</v>
      </c>
      <c r="N1823" s="43">
        <v>0</v>
      </c>
      <c r="O1823" s="43">
        <v>0</v>
      </c>
      <c r="P1823" s="43">
        <v>0</v>
      </c>
      <c r="Q1823" s="43">
        <v>0</v>
      </c>
      <c r="R1823" s="43">
        <v>284.83707043323085</v>
      </c>
      <c r="S1823" s="43">
        <v>708.48334247750063</v>
      </c>
      <c r="T1823" s="43">
        <v>1129.5594607976172</v>
      </c>
      <c r="U1823" s="43">
        <v>1549.8255604732622</v>
      </c>
      <c r="V1823" s="43">
        <v>1970.8501189293938</v>
      </c>
      <c r="W1823" s="43">
        <v>2394.0512219885136</v>
      </c>
      <c r="X1823" s="43">
        <v>2820.7286212640561</v>
      </c>
      <c r="Y1823" s="43">
        <v>3252.0889937031379</v>
      </c>
      <c r="Z1823" s="43">
        <v>3689.2661154735392</v>
      </c>
      <c r="AA1823" s="43">
        <v>4133.3371852990622</v>
      </c>
      <c r="AB1823" s="43">
        <v>4585.3362010107467</v>
      </c>
      <c r="AC1823" s="43">
        <v>5046.2650594036386</v>
      </c>
      <c r="AD1823" s="43">
        <v>5517.1028823420902</v>
      </c>
      <c r="AE1823" s="43">
        <v>5998.8139509348739</v>
      </c>
    </row>
    <row r="1824" spans="1:31" x14ac:dyDescent="0.45">
      <c r="A1824" t="s">
        <v>3095</v>
      </c>
      <c r="B1824" t="s">
        <v>110</v>
      </c>
      <c r="C1824" t="s">
        <v>2675</v>
      </c>
      <c r="D1824">
        <v>2</v>
      </c>
      <c r="E1824" t="s">
        <v>3096</v>
      </c>
      <c r="L1824" s="43">
        <v>0</v>
      </c>
      <c r="M1824" s="43">
        <v>0</v>
      </c>
      <c r="N1824" s="43">
        <v>0</v>
      </c>
      <c r="O1824" s="43">
        <v>0</v>
      </c>
      <c r="P1824" s="43">
        <v>0</v>
      </c>
      <c r="Q1824" s="43">
        <v>0</v>
      </c>
      <c r="R1824" s="43">
        <v>0</v>
      </c>
      <c r="S1824" s="43">
        <v>0</v>
      </c>
      <c r="T1824" s="43">
        <v>0</v>
      </c>
      <c r="U1824" s="43">
        <v>0</v>
      </c>
      <c r="V1824" s="43">
        <v>0</v>
      </c>
      <c r="W1824" s="43">
        <v>0</v>
      </c>
      <c r="X1824" s="43">
        <v>0</v>
      </c>
      <c r="Y1824" s="43">
        <v>0</v>
      </c>
      <c r="Z1824" s="43">
        <v>0</v>
      </c>
      <c r="AA1824" s="43">
        <v>0</v>
      </c>
      <c r="AB1824" s="43">
        <v>0</v>
      </c>
      <c r="AC1824" s="43">
        <v>0</v>
      </c>
      <c r="AD1824" s="43">
        <v>0</v>
      </c>
      <c r="AE1824" s="43">
        <v>0</v>
      </c>
    </row>
    <row r="1825" spans="1:35" x14ac:dyDescent="0.45">
      <c r="A1825" t="s">
        <v>3097</v>
      </c>
      <c r="B1825" t="s">
        <v>110</v>
      </c>
      <c r="C1825" t="s">
        <v>2675</v>
      </c>
      <c r="D1825">
        <v>2</v>
      </c>
      <c r="E1825" t="s">
        <v>3098</v>
      </c>
      <c r="L1825" s="43">
        <v>0</v>
      </c>
      <c r="M1825" s="43">
        <v>0</v>
      </c>
      <c r="N1825" s="43">
        <v>0</v>
      </c>
      <c r="O1825" s="43">
        <v>0</v>
      </c>
      <c r="P1825" s="43">
        <v>0</v>
      </c>
      <c r="Q1825" s="43">
        <v>0</v>
      </c>
      <c r="R1825" s="43">
        <v>284.83707043323085</v>
      </c>
      <c r="S1825" s="43">
        <v>708.48334247750063</v>
      </c>
      <c r="T1825" s="43">
        <v>1129.5594607976172</v>
      </c>
      <c r="U1825" s="43">
        <v>1549.8255604732622</v>
      </c>
      <c r="V1825" s="43">
        <v>1970.8501189293938</v>
      </c>
      <c r="W1825" s="43">
        <v>2394.0512219885136</v>
      </c>
      <c r="X1825" s="43">
        <v>2820.7286212640561</v>
      </c>
      <c r="Y1825" s="43">
        <v>3252.0889937031379</v>
      </c>
      <c r="Z1825" s="43">
        <v>3689.2661154735392</v>
      </c>
      <c r="AA1825" s="43">
        <v>4133.3371852990622</v>
      </c>
      <c r="AB1825" s="43">
        <v>4585.3362010107467</v>
      </c>
      <c r="AC1825" s="43">
        <v>5046.2650594036386</v>
      </c>
      <c r="AD1825" s="43">
        <v>5517.1028823420902</v>
      </c>
      <c r="AE1825" s="43">
        <v>5998.8139509348739</v>
      </c>
    </row>
    <row r="1826" spans="1:35" x14ac:dyDescent="0.45">
      <c r="A1826" t="s">
        <v>3099</v>
      </c>
      <c r="B1826" t="s">
        <v>110</v>
      </c>
      <c r="C1826" t="s">
        <v>2675</v>
      </c>
      <c r="D1826">
        <v>2</v>
      </c>
      <c r="E1826" t="s">
        <v>3100</v>
      </c>
      <c r="L1826" s="43">
        <v>14.019740964534272</v>
      </c>
      <c r="M1826" s="43">
        <v>11.739301230035998</v>
      </c>
      <c r="N1826" s="43">
        <v>13.303124518863104</v>
      </c>
      <c r="O1826" s="43">
        <v>14.156899598427017</v>
      </c>
      <c r="P1826" s="43">
        <v>14.286244741983563</v>
      </c>
      <c r="Q1826" s="43">
        <v>14.694194505017343</v>
      </c>
      <c r="R1826" s="43">
        <v>14.740618977705909</v>
      </c>
      <c r="S1826" s="43">
        <v>14.52878485890464</v>
      </c>
      <c r="T1826" s="43">
        <v>14.322100919094268</v>
      </c>
      <c r="U1826" s="43">
        <v>14.14594392748921</v>
      </c>
      <c r="V1826" s="43">
        <v>13.980466089001904</v>
      </c>
      <c r="W1826" s="43">
        <v>13.848986424483872</v>
      </c>
      <c r="X1826" s="43">
        <v>13.74989567647736</v>
      </c>
      <c r="Y1826" s="43">
        <v>13.683016024281805</v>
      </c>
      <c r="Z1826" s="43">
        <v>13.650438010030964</v>
      </c>
      <c r="AA1826" s="43">
        <v>13.651951259634075</v>
      </c>
      <c r="AB1826" s="43">
        <v>13.686717499710817</v>
      </c>
      <c r="AC1826" s="43">
        <v>13.75180528687531</v>
      </c>
      <c r="AD1826" s="43">
        <v>13.844679557204563</v>
      </c>
      <c r="AE1826" s="43">
        <v>13.96347505464426</v>
      </c>
    </row>
    <row r="1827" spans="1:35" x14ac:dyDescent="0.45">
      <c r="A1827" t="s">
        <v>3101</v>
      </c>
      <c r="B1827" t="s">
        <v>2974</v>
      </c>
      <c r="C1827" t="s">
        <v>2675</v>
      </c>
      <c r="D1827">
        <v>2</v>
      </c>
      <c r="E1827" t="s">
        <v>2975</v>
      </c>
      <c r="L1827" s="43">
        <v>1</v>
      </c>
      <c r="M1827" s="43">
        <v>1</v>
      </c>
      <c r="N1827" s="43">
        <v>1</v>
      </c>
      <c r="O1827" s="43">
        <v>1</v>
      </c>
      <c r="P1827" s="43">
        <v>1</v>
      </c>
      <c r="Q1827" s="43">
        <v>1</v>
      </c>
      <c r="R1827" s="43">
        <v>1</v>
      </c>
      <c r="S1827" s="43">
        <v>1</v>
      </c>
      <c r="T1827" s="43">
        <v>1</v>
      </c>
      <c r="U1827" s="43">
        <v>1</v>
      </c>
      <c r="V1827" s="43">
        <v>1</v>
      </c>
      <c r="W1827" s="43">
        <v>1</v>
      </c>
      <c r="X1827" s="43">
        <v>1</v>
      </c>
      <c r="Y1827" s="43">
        <v>1</v>
      </c>
      <c r="Z1827" s="43">
        <v>1</v>
      </c>
      <c r="AA1827" s="43">
        <v>1</v>
      </c>
      <c r="AB1827" s="43">
        <v>1</v>
      </c>
      <c r="AC1827" s="43">
        <v>1</v>
      </c>
      <c r="AD1827" s="43">
        <v>1</v>
      </c>
      <c r="AE1827" s="43">
        <v>1</v>
      </c>
    </row>
    <row r="1830" spans="1:35" x14ac:dyDescent="0.45">
      <c r="A1830" s="52" t="s">
        <v>3234</v>
      </c>
    </row>
    <row r="1831" spans="1:35" x14ac:dyDescent="0.45">
      <c r="A1831" t="s">
        <v>3243</v>
      </c>
      <c r="D1831" s="92">
        <f>MAX(F1834:F1844)</f>
        <v>0</v>
      </c>
    </row>
    <row r="1833" spans="1:35" x14ac:dyDescent="0.45">
      <c r="A1833" s="50" t="s">
        <v>1488</v>
      </c>
      <c r="B1833" s="50"/>
      <c r="C1833" s="50"/>
      <c r="D1833" s="50" t="s">
        <v>47</v>
      </c>
      <c r="E1833" s="50" t="s">
        <v>1156</v>
      </c>
      <c r="F1833" s="50" t="s">
        <v>1958</v>
      </c>
      <c r="G1833" s="50"/>
      <c r="H1833" s="50"/>
      <c r="I1833" s="50" t="s">
        <v>1489</v>
      </c>
      <c r="J1833" s="50"/>
      <c r="K1833" s="50">
        <v>2021</v>
      </c>
      <c r="L1833" s="50">
        <v>2022</v>
      </c>
      <c r="M1833" s="50">
        <v>2023</v>
      </c>
      <c r="N1833" s="50">
        <v>2024</v>
      </c>
      <c r="O1833" s="50">
        <v>2025</v>
      </c>
      <c r="P1833" s="50">
        <v>2026</v>
      </c>
      <c r="Q1833" s="50">
        <v>2027</v>
      </c>
      <c r="R1833" s="50">
        <v>2028</v>
      </c>
      <c r="S1833" s="50">
        <v>2029</v>
      </c>
      <c r="T1833" s="50">
        <v>2030</v>
      </c>
      <c r="U1833" s="50">
        <v>2031</v>
      </c>
      <c r="V1833" s="50">
        <v>2032</v>
      </c>
      <c r="W1833" s="50">
        <v>2033</v>
      </c>
      <c r="X1833" s="50">
        <v>2034</v>
      </c>
      <c r="Y1833" s="50">
        <v>2035</v>
      </c>
      <c r="Z1833" s="50">
        <v>2036</v>
      </c>
      <c r="AA1833" s="50">
        <v>2037</v>
      </c>
      <c r="AB1833" s="50">
        <v>2038</v>
      </c>
      <c r="AC1833" s="50">
        <v>2039</v>
      </c>
      <c r="AD1833" s="50">
        <v>2040</v>
      </c>
      <c r="AE1833" s="50">
        <v>2041</v>
      </c>
      <c r="AF1833" s="50">
        <v>2042</v>
      </c>
      <c r="AG1833" s="50">
        <v>2043</v>
      </c>
      <c r="AH1833" s="50">
        <v>2044</v>
      </c>
      <c r="AI1833" s="50">
        <v>2045</v>
      </c>
    </row>
    <row r="1834" spans="1:35" x14ac:dyDescent="0.45">
      <c r="A1834" t="s">
        <v>3235</v>
      </c>
      <c r="D1834">
        <v>1</v>
      </c>
      <c r="E1834" t="s">
        <v>1161</v>
      </c>
      <c r="F1834">
        <f>MAX(MAX(L1834:AE1834),-MIN(L1834:AE1834))</f>
        <v>0</v>
      </c>
      <c r="I1834">
        <v>0</v>
      </c>
      <c r="L1834">
        <f>IPPU_Industry!L19-IPPU_Industry!L10</f>
        <v>0</v>
      </c>
      <c r="M1834">
        <f>IPPU_Industry!M19-IPPU_Industry!M10</f>
        <v>0</v>
      </c>
      <c r="N1834">
        <f>IPPU_Industry!N19-IPPU_Industry!N10</f>
        <v>0</v>
      </c>
      <c r="O1834">
        <f>IPPU_Industry!O19-IPPU_Industry!O10</f>
        <v>0</v>
      </c>
      <c r="P1834">
        <f>IPPU_Industry!P19-IPPU_Industry!P10</f>
        <v>0</v>
      </c>
      <c r="Q1834">
        <f>IPPU_Industry!Q19-IPPU_Industry!Q10</f>
        <v>0</v>
      </c>
      <c r="R1834">
        <f>IPPU_Industry!R19-IPPU_Industry!R10</f>
        <v>0</v>
      </c>
      <c r="S1834">
        <f>IPPU_Industry!S19-IPPU_Industry!S10</f>
        <v>0</v>
      </c>
      <c r="T1834">
        <f>IPPU_Industry!T19-IPPU_Industry!T10</f>
        <v>0</v>
      </c>
      <c r="U1834">
        <f>IPPU_Industry!U19-IPPU_Industry!U10</f>
        <v>0</v>
      </c>
      <c r="V1834">
        <f>IPPU_Industry!V19-IPPU_Industry!V10</f>
        <v>0</v>
      </c>
      <c r="W1834">
        <f>IPPU_Industry!W19-IPPU_Industry!W10</f>
        <v>0</v>
      </c>
      <c r="X1834">
        <f>IPPU_Industry!X19-IPPU_Industry!X10</f>
        <v>0</v>
      </c>
      <c r="Y1834">
        <f>IPPU_Industry!Y19-IPPU_Industry!Y10</f>
        <v>0</v>
      </c>
      <c r="Z1834">
        <f>IPPU_Industry!Z19-IPPU_Industry!Z10</f>
        <v>0</v>
      </c>
      <c r="AA1834">
        <f>IPPU_Industry!AA19-IPPU_Industry!AA10</f>
        <v>0</v>
      </c>
      <c r="AB1834">
        <f>IPPU_Industry!AB19-IPPU_Industry!AB10</f>
        <v>0</v>
      </c>
      <c r="AC1834">
        <f>IPPU_Industry!AC19-IPPU_Industry!AC10</f>
        <v>0</v>
      </c>
      <c r="AD1834">
        <f>IPPU_Industry!AD19-IPPU_Industry!AD10</f>
        <v>0</v>
      </c>
      <c r="AE1834">
        <f>IPPU_Industry!AE19-IPPU_Industry!AE10</f>
        <v>0</v>
      </c>
    </row>
    <row r="1835" spans="1:35" x14ac:dyDescent="0.45">
      <c r="A1835" t="s">
        <v>3236</v>
      </c>
      <c r="D1835">
        <v>1</v>
      </c>
      <c r="E1835" t="s">
        <v>1161</v>
      </c>
      <c r="F1835">
        <f>MAX(MAX(L1835:AE1835),-MIN(L1835:AE1835))</f>
        <v>0</v>
      </c>
      <c r="I1835">
        <v>0</v>
      </c>
      <c r="L1835">
        <f>IPPU_Industry!L27</f>
        <v>0</v>
      </c>
      <c r="M1835">
        <f>IPPU_Industry!M27</f>
        <v>0</v>
      </c>
      <c r="N1835">
        <f>IPPU_Industry!N27</f>
        <v>0</v>
      </c>
      <c r="O1835">
        <f>IPPU_Industry!O27</f>
        <v>0</v>
      </c>
      <c r="P1835">
        <f>IPPU_Industry!P27</f>
        <v>0</v>
      </c>
      <c r="Q1835">
        <f>IPPU_Industry!Q27</f>
        <v>0</v>
      </c>
      <c r="R1835">
        <f>IPPU_Industry!R27</f>
        <v>0</v>
      </c>
      <c r="S1835">
        <f>IPPU_Industry!S27</f>
        <v>0</v>
      </c>
      <c r="T1835">
        <f>IPPU_Industry!T27</f>
        <v>0</v>
      </c>
      <c r="U1835">
        <f>IPPU_Industry!U27</f>
        <v>0</v>
      </c>
      <c r="V1835">
        <f>IPPU_Industry!V27</f>
        <v>0</v>
      </c>
      <c r="W1835">
        <f>IPPU_Industry!W27</f>
        <v>0</v>
      </c>
      <c r="X1835">
        <f>IPPU_Industry!X27</f>
        <v>0</v>
      </c>
      <c r="Y1835">
        <f>IPPU_Industry!Y27</f>
        <v>0</v>
      </c>
      <c r="Z1835">
        <f>IPPU_Industry!Z27</f>
        <v>0</v>
      </c>
      <c r="AA1835">
        <f>IPPU_Industry!AA27</f>
        <v>0</v>
      </c>
      <c r="AB1835">
        <f>IPPU_Industry!AB27</f>
        <v>0</v>
      </c>
      <c r="AC1835">
        <f>IPPU_Industry!AC27</f>
        <v>0</v>
      </c>
      <c r="AD1835">
        <f>IPPU_Industry!AD27</f>
        <v>0</v>
      </c>
      <c r="AE1835">
        <f>IPPU_Industry!AE27</f>
        <v>0</v>
      </c>
    </row>
    <row r="1836" spans="1:35" x14ac:dyDescent="0.45">
      <c r="A1836" t="s">
        <v>3237</v>
      </c>
      <c r="D1836">
        <v>1</v>
      </c>
      <c r="E1836" t="s">
        <v>1161</v>
      </c>
      <c r="F1836">
        <f>MAX(MAX(L1836:AE1836),-MIN(L1836:AE1836))</f>
        <v>0</v>
      </c>
      <c r="I1836">
        <v>0</v>
      </c>
      <c r="L1836">
        <f>IPPU_Industry!L20+IPPU_Industry!L21-IPPU_Industry!L22</f>
        <v>0</v>
      </c>
      <c r="M1836">
        <f>IPPU_Industry!M20+IPPU_Industry!M21-IPPU_Industry!M22</f>
        <v>0</v>
      </c>
      <c r="N1836">
        <f>IPPU_Industry!N20+IPPU_Industry!N21-IPPU_Industry!N22</f>
        <v>0</v>
      </c>
      <c r="O1836">
        <f>IPPU_Industry!O20+IPPU_Industry!O21-IPPU_Industry!O22</f>
        <v>0</v>
      </c>
      <c r="P1836">
        <f>IPPU_Industry!P20+IPPU_Industry!P21-IPPU_Industry!P22</f>
        <v>0</v>
      </c>
      <c r="Q1836">
        <f>IPPU_Industry!Q20+IPPU_Industry!Q21-IPPU_Industry!Q22</f>
        <v>0</v>
      </c>
      <c r="R1836">
        <f>IPPU_Industry!R20+IPPU_Industry!R21-IPPU_Industry!R22</f>
        <v>0</v>
      </c>
      <c r="S1836">
        <f>IPPU_Industry!S20+IPPU_Industry!S21-IPPU_Industry!S22</f>
        <v>0</v>
      </c>
      <c r="T1836">
        <f>IPPU_Industry!T20+IPPU_Industry!T21-IPPU_Industry!T22</f>
        <v>0</v>
      </c>
      <c r="U1836">
        <f>IPPU_Industry!U20+IPPU_Industry!U21-IPPU_Industry!U22</f>
        <v>0</v>
      </c>
      <c r="V1836">
        <f>IPPU_Industry!V20+IPPU_Industry!V21-IPPU_Industry!V22</f>
        <v>0</v>
      </c>
      <c r="W1836">
        <f>IPPU_Industry!W20+IPPU_Industry!W21-IPPU_Industry!W22</f>
        <v>0</v>
      </c>
      <c r="X1836">
        <f>IPPU_Industry!X20+IPPU_Industry!X21-IPPU_Industry!X22</f>
        <v>0</v>
      </c>
      <c r="Y1836">
        <f>IPPU_Industry!Y20+IPPU_Industry!Y21-IPPU_Industry!Y22</f>
        <v>0</v>
      </c>
      <c r="Z1836">
        <f>IPPU_Industry!Z20+IPPU_Industry!Z21-IPPU_Industry!Z22</f>
        <v>0</v>
      </c>
      <c r="AA1836">
        <f>IPPU_Industry!AA20+IPPU_Industry!AA21-IPPU_Industry!AA22</f>
        <v>0</v>
      </c>
      <c r="AB1836">
        <f>IPPU_Industry!AB20+IPPU_Industry!AB21-IPPU_Industry!AB22</f>
        <v>0</v>
      </c>
      <c r="AC1836">
        <f>IPPU_Industry!AC20+IPPU_Industry!AC21-IPPU_Industry!AC22</f>
        <v>0</v>
      </c>
      <c r="AD1836">
        <f>IPPU_Industry!AD20+IPPU_Industry!AD21-IPPU_Industry!AD22</f>
        <v>0</v>
      </c>
      <c r="AE1836">
        <f>IPPU_Industry!AE20+IPPU_Industry!AE21-IPPU_Industry!AE22</f>
        <v>0</v>
      </c>
    </row>
    <row r="1837" spans="1:35" x14ac:dyDescent="0.45">
      <c r="A1837" t="s">
        <v>3238</v>
      </c>
      <c r="D1837">
        <v>1</v>
      </c>
      <c r="E1837" t="s">
        <v>2167</v>
      </c>
      <c r="F1837">
        <f>SUM(L1837:AE1837)</f>
        <v>0</v>
      </c>
      <c r="I1837">
        <v>0</v>
      </c>
      <c r="L1837">
        <f>--(IPPU_Industry!L25&lt;-0.000000001)</f>
        <v>0</v>
      </c>
      <c r="M1837">
        <f>--(IPPU_Industry!M25&lt;-0.000000001)</f>
        <v>0</v>
      </c>
      <c r="N1837">
        <f>--(IPPU_Industry!N25&lt;-0.000000001)</f>
        <v>0</v>
      </c>
      <c r="O1837">
        <f>--(IPPU_Industry!O25&lt;-0.000000001)</f>
        <v>0</v>
      </c>
      <c r="P1837">
        <f>--(IPPU_Industry!P25&lt;-0.000000001)</f>
        <v>0</v>
      </c>
      <c r="Q1837">
        <f>--(IPPU_Industry!Q25&lt;-0.000000001)</f>
        <v>0</v>
      </c>
      <c r="R1837">
        <f>--(IPPU_Industry!R25&lt;-0.000000001)</f>
        <v>0</v>
      </c>
      <c r="S1837">
        <f>--(IPPU_Industry!S25&lt;-0.000000001)</f>
        <v>0</v>
      </c>
      <c r="T1837">
        <f>--(IPPU_Industry!T25&lt;-0.000000001)</f>
        <v>0</v>
      </c>
      <c r="U1837">
        <f>--(IPPU_Industry!U25&lt;-0.000000001)</f>
        <v>0</v>
      </c>
      <c r="V1837">
        <f>--(IPPU_Industry!V25&lt;-0.000000001)</f>
        <v>0</v>
      </c>
      <c r="W1837">
        <f>--(IPPU_Industry!W25&lt;-0.000000001)</f>
        <v>0</v>
      </c>
      <c r="X1837">
        <f>--(IPPU_Industry!X25&lt;-0.000000001)</f>
        <v>0</v>
      </c>
      <c r="Y1837">
        <f>--(IPPU_Industry!Y25&lt;-0.000000001)</f>
        <v>0</v>
      </c>
      <c r="Z1837">
        <f>--(IPPU_Industry!Z25&lt;-0.000000001)</f>
        <v>0</v>
      </c>
      <c r="AA1837">
        <f>--(IPPU_Industry!AA25&lt;-0.000000001)</f>
        <v>0</v>
      </c>
      <c r="AB1837">
        <f>--(IPPU_Industry!AB25&lt;-0.000000001)</f>
        <v>0</v>
      </c>
      <c r="AC1837">
        <f>--(IPPU_Industry!AC25&lt;-0.000000001)</f>
        <v>0</v>
      </c>
      <c r="AD1837">
        <f>--(IPPU_Industry!AD25&lt;-0.000000001)</f>
        <v>0</v>
      </c>
      <c r="AE1837">
        <f>--(IPPU_Industry!AE25&lt;-0.000000001)</f>
        <v>0</v>
      </c>
    </row>
    <row r="1838" spans="1:35" x14ac:dyDescent="0.45">
      <c r="A1838" t="s">
        <v>3239</v>
      </c>
      <c r="D1838">
        <v>1</v>
      </c>
      <c r="E1838" t="s">
        <v>1161</v>
      </c>
      <c r="F1838">
        <f>MAX(MAX(L1838:AE1838),-MIN(L1838:AE1838))</f>
        <v>0</v>
      </c>
      <c r="I1838">
        <v>0</v>
      </c>
      <c r="L1838">
        <f>IPPU_Industry!L26-IPPU_Industry!L24-IPPU_Industry!L25</f>
        <v>0</v>
      </c>
      <c r="M1838">
        <f>IPPU_Industry!M26-IPPU_Industry!M24-IPPU_Industry!M25</f>
        <v>0</v>
      </c>
      <c r="N1838">
        <f>IPPU_Industry!N26-IPPU_Industry!N24-IPPU_Industry!N25</f>
        <v>0</v>
      </c>
      <c r="O1838">
        <f>IPPU_Industry!O26-IPPU_Industry!O24-IPPU_Industry!O25</f>
        <v>0</v>
      </c>
      <c r="P1838">
        <f>IPPU_Industry!P26-IPPU_Industry!P24-IPPU_Industry!P25</f>
        <v>0</v>
      </c>
      <c r="Q1838">
        <f>IPPU_Industry!Q26-IPPU_Industry!Q24-IPPU_Industry!Q25</f>
        <v>0</v>
      </c>
      <c r="R1838">
        <f>IPPU_Industry!R26-IPPU_Industry!R24-IPPU_Industry!R25</f>
        <v>0</v>
      </c>
      <c r="S1838">
        <f>IPPU_Industry!S26-IPPU_Industry!S24-IPPU_Industry!S25</f>
        <v>0</v>
      </c>
      <c r="T1838">
        <f>IPPU_Industry!T26-IPPU_Industry!T24-IPPU_Industry!T25</f>
        <v>0</v>
      </c>
      <c r="U1838">
        <f>IPPU_Industry!U26-IPPU_Industry!U24-IPPU_Industry!U25</f>
        <v>0</v>
      </c>
      <c r="V1838">
        <f>IPPU_Industry!V26-IPPU_Industry!V24-IPPU_Industry!V25</f>
        <v>0</v>
      </c>
      <c r="W1838">
        <f>IPPU_Industry!W26-IPPU_Industry!W24-IPPU_Industry!W25</f>
        <v>0</v>
      </c>
      <c r="X1838">
        <f>IPPU_Industry!X26-IPPU_Industry!X24-IPPU_Industry!X25</f>
        <v>0</v>
      </c>
      <c r="Y1838">
        <f>IPPU_Industry!Y26-IPPU_Industry!Y24-IPPU_Industry!Y25</f>
        <v>0</v>
      </c>
      <c r="Z1838">
        <f>IPPU_Industry!Z26-IPPU_Industry!Z24-IPPU_Industry!Z25</f>
        <v>0</v>
      </c>
      <c r="AA1838">
        <f>IPPU_Industry!AA26-IPPU_Industry!AA24-IPPU_Industry!AA25</f>
        <v>0</v>
      </c>
      <c r="AB1838">
        <f>IPPU_Industry!AB26-IPPU_Industry!AB24-IPPU_Industry!AB25</f>
        <v>0</v>
      </c>
      <c r="AC1838">
        <f>IPPU_Industry!AC26-IPPU_Industry!AC24-IPPU_Industry!AC25</f>
        <v>0</v>
      </c>
      <c r="AD1838">
        <f>IPPU_Industry!AD26-IPPU_Industry!AD24-IPPU_Industry!AD25</f>
        <v>0</v>
      </c>
      <c r="AE1838">
        <f>IPPU_Industry!AE26-IPPU_Industry!AE24-IPPU_Industry!AE25</f>
        <v>0</v>
      </c>
    </row>
    <row r="1839" spans="1:35" x14ac:dyDescent="0.45">
      <c r="A1839" t="s">
        <v>3237</v>
      </c>
      <c r="D1839">
        <v>2</v>
      </c>
      <c r="E1839" t="s">
        <v>1161</v>
      </c>
      <c r="F1839">
        <f>MAX(MAX(L1839:AE1839),-MIN(L1839:AE1839))</f>
        <v>0</v>
      </c>
      <c r="I1839">
        <v>0</v>
      </c>
      <c r="L1839">
        <f>IPPU_Industry!L37+IPPU_Industry!L38-IPPU_Industry!L39</f>
        <v>0</v>
      </c>
      <c r="M1839">
        <f>IPPU_Industry!M37+IPPU_Industry!M38-IPPU_Industry!M39</f>
        <v>0</v>
      </c>
      <c r="N1839">
        <f>IPPU_Industry!N37+IPPU_Industry!N38-IPPU_Industry!N39</f>
        <v>0</v>
      </c>
      <c r="O1839">
        <f>IPPU_Industry!O37+IPPU_Industry!O38-IPPU_Industry!O39</f>
        <v>0</v>
      </c>
      <c r="P1839">
        <f>IPPU_Industry!P37+IPPU_Industry!P38-IPPU_Industry!P39</f>
        <v>0</v>
      </c>
      <c r="Q1839">
        <f>IPPU_Industry!Q37+IPPU_Industry!Q38-IPPU_Industry!Q39</f>
        <v>0</v>
      </c>
      <c r="R1839">
        <f>IPPU_Industry!R37+IPPU_Industry!R38-IPPU_Industry!R39</f>
        <v>0</v>
      </c>
      <c r="S1839">
        <f>IPPU_Industry!S37+IPPU_Industry!S38-IPPU_Industry!S39</f>
        <v>0</v>
      </c>
      <c r="T1839">
        <f>IPPU_Industry!T37+IPPU_Industry!T38-IPPU_Industry!T39</f>
        <v>0</v>
      </c>
      <c r="U1839">
        <f>IPPU_Industry!U37+IPPU_Industry!U38-IPPU_Industry!U39</f>
        <v>0</v>
      </c>
      <c r="V1839">
        <f>IPPU_Industry!V37+IPPU_Industry!V38-IPPU_Industry!V39</f>
        <v>0</v>
      </c>
      <c r="W1839">
        <f>IPPU_Industry!W37+IPPU_Industry!W38-IPPU_Industry!W39</f>
        <v>0</v>
      </c>
      <c r="X1839">
        <f>IPPU_Industry!X37+IPPU_Industry!X38-IPPU_Industry!X39</f>
        <v>0</v>
      </c>
      <c r="Y1839">
        <f>IPPU_Industry!Y37+IPPU_Industry!Y38-IPPU_Industry!Y39</f>
        <v>0</v>
      </c>
      <c r="Z1839">
        <f>IPPU_Industry!Z37+IPPU_Industry!Z38-IPPU_Industry!Z39</f>
        <v>0</v>
      </c>
      <c r="AA1839">
        <f>IPPU_Industry!AA37+IPPU_Industry!AA38-IPPU_Industry!AA39</f>
        <v>0</v>
      </c>
      <c r="AB1839">
        <f>IPPU_Industry!AB37+IPPU_Industry!AB38-IPPU_Industry!AB39</f>
        <v>0</v>
      </c>
      <c r="AC1839">
        <f>IPPU_Industry!AC37+IPPU_Industry!AC38-IPPU_Industry!AC39</f>
        <v>0</v>
      </c>
      <c r="AD1839">
        <f>IPPU_Industry!AD37+IPPU_Industry!AD38-IPPU_Industry!AD39</f>
        <v>0</v>
      </c>
      <c r="AE1839">
        <f>IPPU_Industry!AE37+IPPU_Industry!AE38-IPPU_Industry!AE39</f>
        <v>0</v>
      </c>
    </row>
    <row r="1840" spans="1:35" x14ac:dyDescent="0.45">
      <c r="A1840" t="s">
        <v>3238</v>
      </c>
      <c r="D1840">
        <v>2</v>
      </c>
      <c r="E1840" t="s">
        <v>2167</v>
      </c>
      <c r="F1840">
        <f>SUM(L1840:AE1840)</f>
        <v>0</v>
      </c>
      <c r="I1840">
        <v>0</v>
      </c>
      <c r="L1840">
        <f>--(IPPU_Industry!L42&lt;-0.000000001)</f>
        <v>0</v>
      </c>
      <c r="M1840">
        <f>--(IPPU_Industry!M42&lt;-0.000000001)</f>
        <v>0</v>
      </c>
      <c r="N1840">
        <f>--(IPPU_Industry!N42&lt;-0.000000001)</f>
        <v>0</v>
      </c>
      <c r="O1840">
        <f>--(IPPU_Industry!O42&lt;-0.000000001)</f>
        <v>0</v>
      </c>
      <c r="P1840">
        <f>--(IPPU_Industry!P42&lt;-0.000000001)</f>
        <v>0</v>
      </c>
      <c r="Q1840">
        <f>--(IPPU_Industry!Q42&lt;-0.000000001)</f>
        <v>0</v>
      </c>
      <c r="R1840">
        <f>--(IPPU_Industry!R42&lt;-0.000000001)</f>
        <v>0</v>
      </c>
      <c r="S1840">
        <f>--(IPPU_Industry!S42&lt;-0.000000001)</f>
        <v>0</v>
      </c>
      <c r="T1840">
        <f>--(IPPU_Industry!T42&lt;-0.000000001)</f>
        <v>0</v>
      </c>
      <c r="U1840">
        <f>--(IPPU_Industry!U42&lt;-0.000000001)</f>
        <v>0</v>
      </c>
      <c r="V1840">
        <f>--(IPPU_Industry!V42&lt;-0.000000001)</f>
        <v>0</v>
      </c>
      <c r="W1840">
        <f>--(IPPU_Industry!W42&lt;-0.000000001)</f>
        <v>0</v>
      </c>
      <c r="X1840">
        <f>--(IPPU_Industry!X42&lt;-0.000000001)</f>
        <v>0</v>
      </c>
      <c r="Y1840">
        <f>--(IPPU_Industry!Y42&lt;-0.000000001)</f>
        <v>0</v>
      </c>
      <c r="Z1840">
        <f>--(IPPU_Industry!Z42&lt;-0.000000001)</f>
        <v>0</v>
      </c>
      <c r="AA1840">
        <f>--(IPPU_Industry!AA42&lt;-0.000000001)</f>
        <v>0</v>
      </c>
      <c r="AB1840">
        <f>--(IPPU_Industry!AB42&lt;-0.000000001)</f>
        <v>0</v>
      </c>
      <c r="AC1840">
        <f>--(IPPU_Industry!AC42&lt;-0.000000001)</f>
        <v>0</v>
      </c>
      <c r="AD1840">
        <f>--(IPPU_Industry!AD42&lt;-0.000000001)</f>
        <v>0</v>
      </c>
      <c r="AE1840">
        <f>--(IPPU_Industry!AE42&lt;-0.000000001)</f>
        <v>0</v>
      </c>
    </row>
    <row r="1841" spans="1:31" x14ac:dyDescent="0.45">
      <c r="A1841" t="s">
        <v>3239</v>
      </c>
      <c r="D1841">
        <v>2</v>
      </c>
      <c r="E1841" t="s">
        <v>1161</v>
      </c>
      <c r="F1841">
        <f>MAX(MAX(L1841:AE1841),-MIN(L1841:AE1841))</f>
        <v>0</v>
      </c>
      <c r="I1841">
        <v>0</v>
      </c>
      <c r="L1841">
        <f>IPPU_Industry!L43-IPPU_Industry!L41-IPPU_Industry!L42</f>
        <v>0</v>
      </c>
      <c r="M1841">
        <f>IPPU_Industry!M43-IPPU_Industry!M41-IPPU_Industry!M42</f>
        <v>0</v>
      </c>
      <c r="N1841">
        <f>IPPU_Industry!N43-IPPU_Industry!N41-IPPU_Industry!N42</f>
        <v>0</v>
      </c>
      <c r="O1841">
        <f>IPPU_Industry!O43-IPPU_Industry!O41-IPPU_Industry!O42</f>
        <v>0</v>
      </c>
      <c r="P1841">
        <f>IPPU_Industry!P43-IPPU_Industry!P41-IPPU_Industry!P42</f>
        <v>0</v>
      </c>
      <c r="Q1841">
        <f>IPPU_Industry!Q43-IPPU_Industry!Q41-IPPU_Industry!Q42</f>
        <v>0</v>
      </c>
      <c r="R1841">
        <f>IPPU_Industry!R43-IPPU_Industry!R41-IPPU_Industry!R42</f>
        <v>0</v>
      </c>
      <c r="S1841">
        <f>IPPU_Industry!S43-IPPU_Industry!S41-IPPU_Industry!S42</f>
        <v>0</v>
      </c>
      <c r="T1841">
        <f>IPPU_Industry!T43-IPPU_Industry!T41-IPPU_Industry!T42</f>
        <v>0</v>
      </c>
      <c r="U1841">
        <f>IPPU_Industry!U43-IPPU_Industry!U41-IPPU_Industry!U42</f>
        <v>0</v>
      </c>
      <c r="V1841">
        <f>IPPU_Industry!V43-IPPU_Industry!V41-IPPU_Industry!V42</f>
        <v>0</v>
      </c>
      <c r="W1841">
        <f>IPPU_Industry!W43-IPPU_Industry!W41-IPPU_Industry!W42</f>
        <v>0</v>
      </c>
      <c r="X1841">
        <f>IPPU_Industry!X43-IPPU_Industry!X41-IPPU_Industry!X42</f>
        <v>0</v>
      </c>
      <c r="Y1841">
        <f>IPPU_Industry!Y43-IPPU_Industry!Y41-IPPU_Industry!Y42</f>
        <v>0</v>
      </c>
      <c r="Z1841">
        <f>IPPU_Industry!Z43-IPPU_Industry!Z41-IPPU_Industry!Z42</f>
        <v>0</v>
      </c>
      <c r="AA1841">
        <f>IPPU_Industry!AA43-IPPU_Industry!AA41-IPPU_Industry!AA42</f>
        <v>0</v>
      </c>
      <c r="AB1841">
        <f>IPPU_Industry!AB43-IPPU_Industry!AB41-IPPU_Industry!AB42</f>
        <v>0</v>
      </c>
      <c r="AC1841">
        <f>IPPU_Industry!AC43-IPPU_Industry!AC41-IPPU_Industry!AC42</f>
        <v>0</v>
      </c>
      <c r="AD1841">
        <f>IPPU_Industry!AD43-IPPU_Industry!AD41-IPPU_Industry!AD42</f>
        <v>0</v>
      </c>
      <c r="AE1841">
        <f>IPPU_Industry!AE43-IPPU_Industry!AE41-IPPU_Industry!AE42</f>
        <v>0</v>
      </c>
    </row>
    <row r="1842" spans="1:31" x14ac:dyDescent="0.45">
      <c r="A1842" t="s">
        <v>3240</v>
      </c>
      <c r="D1842">
        <v>1</v>
      </c>
      <c r="E1842" t="s">
        <v>2167</v>
      </c>
      <c r="F1842">
        <f>SUM(L1842:AE1842)</f>
        <v>0</v>
      </c>
      <c r="I1842">
        <v>0</v>
      </c>
      <c r="L1842">
        <f>--(IPPU_Industry!L20+IPPU_Industry!L23&gt;IPPU_Industry!L6+0.000000001)</f>
        <v>0</v>
      </c>
      <c r="M1842">
        <f>--(IPPU_Industry!M20+IPPU_Industry!M23&gt;IPPU_Industry!M6+0.000000001)</f>
        <v>0</v>
      </c>
      <c r="N1842">
        <f>--(IPPU_Industry!N20+IPPU_Industry!N23&gt;IPPU_Industry!N6+0.000000001)</f>
        <v>0</v>
      </c>
      <c r="O1842">
        <f>--(IPPU_Industry!O20+IPPU_Industry!O23&gt;IPPU_Industry!O6+0.000000001)</f>
        <v>0</v>
      </c>
      <c r="P1842">
        <f>--(IPPU_Industry!P20+IPPU_Industry!P23&gt;IPPU_Industry!P6+0.000000001)</f>
        <v>0</v>
      </c>
      <c r="Q1842">
        <f>--(IPPU_Industry!Q20+IPPU_Industry!Q23&gt;IPPU_Industry!Q6+0.000000001)</f>
        <v>0</v>
      </c>
      <c r="R1842">
        <f>--(IPPU_Industry!R20+IPPU_Industry!R23&gt;IPPU_Industry!R6+0.000000001)</f>
        <v>0</v>
      </c>
      <c r="S1842">
        <f>--(IPPU_Industry!S20+IPPU_Industry!S23&gt;IPPU_Industry!S6+0.000000001)</f>
        <v>0</v>
      </c>
      <c r="T1842">
        <f>--(IPPU_Industry!T20+IPPU_Industry!T23&gt;IPPU_Industry!T6+0.000000001)</f>
        <v>0</v>
      </c>
      <c r="U1842">
        <f>--(IPPU_Industry!U20+IPPU_Industry!U23&gt;IPPU_Industry!U6+0.000000001)</f>
        <v>0</v>
      </c>
      <c r="V1842">
        <f>--(IPPU_Industry!V20+IPPU_Industry!V23&gt;IPPU_Industry!V6+0.000000001)</f>
        <v>0</v>
      </c>
      <c r="W1842">
        <f>--(IPPU_Industry!W20+IPPU_Industry!W23&gt;IPPU_Industry!W6+0.000000001)</f>
        <v>0</v>
      </c>
      <c r="X1842">
        <f>--(IPPU_Industry!X20+IPPU_Industry!X23&gt;IPPU_Industry!X6+0.000000001)</f>
        <v>0</v>
      </c>
      <c r="Y1842">
        <f>--(IPPU_Industry!Y20+IPPU_Industry!Y23&gt;IPPU_Industry!Y6+0.000000001)</f>
        <v>0</v>
      </c>
      <c r="Z1842">
        <f>--(IPPU_Industry!Z20+IPPU_Industry!Z23&gt;IPPU_Industry!Z6+0.000000001)</f>
        <v>0</v>
      </c>
      <c r="AA1842">
        <f>--(IPPU_Industry!AA20+IPPU_Industry!AA23&gt;IPPU_Industry!AA6+0.000000001)</f>
        <v>0</v>
      </c>
      <c r="AB1842">
        <f>--(IPPU_Industry!AB20+IPPU_Industry!AB23&gt;IPPU_Industry!AB6+0.000000001)</f>
        <v>0</v>
      </c>
      <c r="AC1842">
        <f>--(IPPU_Industry!AC20+IPPU_Industry!AC23&gt;IPPU_Industry!AC6+0.000000001)</f>
        <v>0</v>
      </c>
      <c r="AD1842">
        <f>--(IPPU_Industry!AD20+IPPU_Industry!AD23&gt;IPPU_Industry!AD6+0.000000001)</f>
        <v>0</v>
      </c>
      <c r="AE1842">
        <f>--(IPPU_Industry!AE20+IPPU_Industry!AE23&gt;IPPU_Industry!AE6+0.000000001)</f>
        <v>0</v>
      </c>
    </row>
    <row r="1843" spans="1:31" x14ac:dyDescent="0.45">
      <c r="A1843" t="s">
        <v>3241</v>
      </c>
      <c r="D1843">
        <v>1</v>
      </c>
      <c r="E1843" t="s">
        <v>2167</v>
      </c>
      <c r="F1843">
        <f>SUM(L1843:AE1843)</f>
        <v>0</v>
      </c>
      <c r="I1843">
        <v>0</v>
      </c>
      <c r="L1843">
        <f>--(IPPU_Industry!L21&gt;IPPU_Industry!L7+IPPU_Industry!L8+IPPU_Industry!L9+0.000000001)</f>
        <v>0</v>
      </c>
      <c r="M1843">
        <f>--(IPPU_Industry!M21&gt;IPPU_Industry!M7+IPPU_Industry!M8+IPPU_Industry!M9+0.000000001)</f>
        <v>0</v>
      </c>
      <c r="N1843">
        <f>--(IPPU_Industry!N21&gt;IPPU_Industry!N7+IPPU_Industry!N8+IPPU_Industry!N9+0.000000001)</f>
        <v>0</v>
      </c>
      <c r="O1843">
        <f>--(IPPU_Industry!O21&gt;IPPU_Industry!O7+IPPU_Industry!O8+IPPU_Industry!O9+0.000000001)</f>
        <v>0</v>
      </c>
      <c r="P1843">
        <f>--(IPPU_Industry!P21&gt;IPPU_Industry!P7+IPPU_Industry!P8+IPPU_Industry!P9+0.000000001)</f>
        <v>0</v>
      </c>
      <c r="Q1843">
        <f>--(IPPU_Industry!Q21&gt;IPPU_Industry!Q7+IPPU_Industry!Q8+IPPU_Industry!Q9+0.000000001)</f>
        <v>0</v>
      </c>
      <c r="R1843">
        <f>--(IPPU_Industry!R21&gt;IPPU_Industry!R7+IPPU_Industry!R8+IPPU_Industry!R9+0.000000001)</f>
        <v>0</v>
      </c>
      <c r="S1843">
        <f>--(IPPU_Industry!S21&gt;IPPU_Industry!S7+IPPU_Industry!S8+IPPU_Industry!S9+0.000000001)</f>
        <v>0</v>
      </c>
      <c r="T1843">
        <f>--(IPPU_Industry!T21&gt;IPPU_Industry!T7+IPPU_Industry!T8+IPPU_Industry!T9+0.000000001)</f>
        <v>0</v>
      </c>
      <c r="U1843">
        <f>--(IPPU_Industry!U21&gt;IPPU_Industry!U7+IPPU_Industry!U8+IPPU_Industry!U9+0.000000001)</f>
        <v>0</v>
      </c>
      <c r="V1843">
        <f>--(IPPU_Industry!V21&gt;IPPU_Industry!V7+IPPU_Industry!V8+IPPU_Industry!V9+0.000000001)</f>
        <v>0</v>
      </c>
      <c r="W1843">
        <f>--(IPPU_Industry!W21&gt;IPPU_Industry!W7+IPPU_Industry!W8+IPPU_Industry!W9+0.000000001)</f>
        <v>0</v>
      </c>
      <c r="X1843">
        <f>--(IPPU_Industry!X21&gt;IPPU_Industry!X7+IPPU_Industry!X8+IPPU_Industry!X9+0.000000001)</f>
        <v>0</v>
      </c>
      <c r="Y1843">
        <f>--(IPPU_Industry!Y21&gt;IPPU_Industry!Y7+IPPU_Industry!Y8+IPPU_Industry!Y9+0.000000001)</f>
        <v>0</v>
      </c>
      <c r="Z1843">
        <f>--(IPPU_Industry!Z21&gt;IPPU_Industry!Z7+IPPU_Industry!Z8+IPPU_Industry!Z9+0.000000001)</f>
        <v>0</v>
      </c>
      <c r="AA1843">
        <f>--(IPPU_Industry!AA21&gt;IPPU_Industry!AA7+IPPU_Industry!AA8+IPPU_Industry!AA9+0.000000001)</f>
        <v>0</v>
      </c>
      <c r="AB1843">
        <f>--(IPPU_Industry!AB21&gt;IPPU_Industry!AB7+IPPU_Industry!AB8+IPPU_Industry!AB9+0.000000001)</f>
        <v>0</v>
      </c>
      <c r="AC1843">
        <f>--(IPPU_Industry!AC21&gt;IPPU_Industry!AC7+IPPU_Industry!AC8+IPPU_Industry!AC9+0.000000001)</f>
        <v>0</v>
      </c>
      <c r="AD1843">
        <f>--(IPPU_Industry!AD21&gt;IPPU_Industry!AD7+IPPU_Industry!AD8+IPPU_Industry!AD9+0.000000001)</f>
        <v>0</v>
      </c>
      <c r="AE1843">
        <f>--(IPPU_Industry!AE21&gt;IPPU_Industry!AE7+IPPU_Industry!AE8+IPPU_Industry!AE9+0.000000001)</f>
        <v>0</v>
      </c>
    </row>
    <row r="1844" spans="1:31" x14ac:dyDescent="0.45">
      <c r="A1844" t="s">
        <v>3242</v>
      </c>
      <c r="D1844">
        <v>2</v>
      </c>
      <c r="E1844" t="s">
        <v>1161</v>
      </c>
      <c r="F1844">
        <f>MAX(MAX(L1844:AE1844),-MIN(L1844:AE1844))</f>
        <v>0</v>
      </c>
      <c r="I1844">
        <v>0</v>
      </c>
      <c r="L1844">
        <f>IPPU_Industry!L42-IF('Manual inputs'!$E$85="CPAT",IF(IPPU_Industry!L19=0,0,IPPU_Industry!L25*IPPU_Industry!L36/IPPU_Industry!L19),IPPU_Industry!L25)</f>
        <v>0</v>
      </c>
      <c r="M1844">
        <f>IPPU_Industry!M42-IF('Manual inputs'!$E$85="CPAT",IF(IPPU_Industry!M19=0,0,IPPU_Industry!M25*IPPU_Industry!M36/IPPU_Industry!M19),IPPU_Industry!M25)</f>
        <v>0</v>
      </c>
      <c r="N1844">
        <f>IPPU_Industry!N42-IF('Manual inputs'!$E$85="CPAT",IF(IPPU_Industry!N19=0,0,IPPU_Industry!N25*IPPU_Industry!N36/IPPU_Industry!N19),IPPU_Industry!N25)</f>
        <v>0</v>
      </c>
      <c r="O1844">
        <f>IPPU_Industry!O42-IF('Manual inputs'!$E$85="CPAT",IF(IPPU_Industry!O19=0,0,IPPU_Industry!O25*IPPU_Industry!O36/IPPU_Industry!O19),IPPU_Industry!O25)</f>
        <v>0</v>
      </c>
      <c r="P1844">
        <f>IPPU_Industry!P42-IF('Manual inputs'!$E$85="CPAT",IF(IPPU_Industry!P19=0,0,IPPU_Industry!P25*IPPU_Industry!P36/IPPU_Industry!P19),IPPU_Industry!P25)</f>
        <v>0</v>
      </c>
      <c r="Q1844">
        <f>IPPU_Industry!Q42-IF('Manual inputs'!$E$85="CPAT",IF(IPPU_Industry!Q19=0,0,IPPU_Industry!Q25*IPPU_Industry!Q36/IPPU_Industry!Q19),IPPU_Industry!Q25)</f>
        <v>0</v>
      </c>
      <c r="R1844">
        <f>IPPU_Industry!R42-IF('Manual inputs'!$E$85="CPAT",IF(IPPU_Industry!R19=0,0,IPPU_Industry!R25*IPPU_Industry!R36/IPPU_Industry!R19),IPPU_Industry!R25)</f>
        <v>0</v>
      </c>
      <c r="S1844">
        <f>IPPU_Industry!S42-IF('Manual inputs'!$E$85="CPAT",IF(IPPU_Industry!S19=0,0,IPPU_Industry!S25*IPPU_Industry!S36/IPPU_Industry!S19),IPPU_Industry!S25)</f>
        <v>0</v>
      </c>
      <c r="T1844">
        <f>IPPU_Industry!T42-IF('Manual inputs'!$E$85="CPAT",IF(IPPU_Industry!T19=0,0,IPPU_Industry!T25*IPPU_Industry!T36/IPPU_Industry!T19),IPPU_Industry!T25)</f>
        <v>0</v>
      </c>
      <c r="U1844">
        <f>IPPU_Industry!U42-IF('Manual inputs'!$E$85="CPAT",IF(IPPU_Industry!U19=0,0,IPPU_Industry!U25*IPPU_Industry!U36/IPPU_Industry!U19),IPPU_Industry!U25)</f>
        <v>0</v>
      </c>
      <c r="V1844">
        <f>IPPU_Industry!V42-IF('Manual inputs'!$E$85="CPAT",IF(IPPU_Industry!V19=0,0,IPPU_Industry!V25*IPPU_Industry!V36/IPPU_Industry!V19),IPPU_Industry!V25)</f>
        <v>0</v>
      </c>
      <c r="W1844">
        <f>IPPU_Industry!W42-IF('Manual inputs'!$E$85="CPAT",IF(IPPU_Industry!W19=0,0,IPPU_Industry!W25*IPPU_Industry!W36/IPPU_Industry!W19),IPPU_Industry!W25)</f>
        <v>0</v>
      </c>
      <c r="X1844">
        <f>IPPU_Industry!X42-IF('Manual inputs'!$E$85="CPAT",IF(IPPU_Industry!X19=0,0,IPPU_Industry!X25*IPPU_Industry!X36/IPPU_Industry!X19),IPPU_Industry!X25)</f>
        <v>0</v>
      </c>
      <c r="Y1844">
        <f>IPPU_Industry!Y42-IF('Manual inputs'!$E$85="CPAT",IF(IPPU_Industry!Y19=0,0,IPPU_Industry!Y25*IPPU_Industry!Y36/IPPU_Industry!Y19),IPPU_Industry!Y25)</f>
        <v>0</v>
      </c>
      <c r="Z1844">
        <f>IPPU_Industry!Z42-IF('Manual inputs'!$E$85="CPAT",IF(IPPU_Industry!Z19=0,0,IPPU_Industry!Z25*IPPU_Industry!Z36/IPPU_Industry!Z19),IPPU_Industry!Z25)</f>
        <v>0</v>
      </c>
      <c r="AA1844">
        <f>IPPU_Industry!AA42-IF('Manual inputs'!$E$85="CPAT",IF(IPPU_Industry!AA19=0,0,IPPU_Industry!AA25*IPPU_Industry!AA36/IPPU_Industry!AA19),IPPU_Industry!AA25)</f>
        <v>0</v>
      </c>
      <c r="AB1844">
        <f>IPPU_Industry!AB42-IF('Manual inputs'!$E$85="CPAT",IF(IPPU_Industry!AB19=0,0,IPPU_Industry!AB25*IPPU_Industry!AB36/IPPU_Industry!AB19),IPPU_Industry!AB25)</f>
        <v>0</v>
      </c>
      <c r="AC1844">
        <f>IPPU_Industry!AC42-IF('Manual inputs'!$E$85="CPAT",IF(IPPU_Industry!AC19=0,0,IPPU_Industry!AC25*IPPU_Industry!AC36/IPPU_Industry!AC19),IPPU_Industry!AC25)</f>
        <v>0</v>
      </c>
      <c r="AD1844">
        <f>IPPU_Industry!AD42-IF('Manual inputs'!$E$85="CPAT",IF(IPPU_Industry!AD19=0,0,IPPU_Industry!AD25*IPPU_Industry!AD36/IPPU_Industry!AD19),IPPU_Industry!AD25)</f>
        <v>0</v>
      </c>
      <c r="AE1844">
        <f>IPPU_Industry!AE42-IF('Manual inputs'!$E$85="CPAT",IF(IPPU_Industry!AE19=0,0,IPPU_Industry!AE25*IPPU_Industry!AE36/IPPU_Industry!AE19),IPPU_Industry!AE25)</f>
        <v>0</v>
      </c>
    </row>
    <row r="1846" spans="1:31" x14ac:dyDescent="0.45">
      <c r="A1846" s="52" t="s">
        <v>3244</v>
      </c>
    </row>
    <row r="1847" spans="1:31" x14ac:dyDescent="0.45">
      <c r="A1847" t="s">
        <v>3245</v>
      </c>
      <c r="D1847">
        <v>1</v>
      </c>
      <c r="E1847" t="s">
        <v>2167</v>
      </c>
      <c r="F1847">
        <f t="shared" ref="F1847:F1854" si="366">SUM(L1847:AE1847)</f>
        <v>0</v>
      </c>
      <c r="L1847">
        <f>--(IPPU_Industry!L53&lt;-0.000000001)</f>
        <v>0</v>
      </c>
      <c r="M1847">
        <f>--(IPPU_Industry!M53&lt;-0.000000001)</f>
        <v>0</v>
      </c>
      <c r="N1847">
        <f>--(IPPU_Industry!N53&lt;-0.000000001)</f>
        <v>0</v>
      </c>
      <c r="O1847">
        <f>--(IPPU_Industry!O53&lt;-0.000000001)</f>
        <v>0</v>
      </c>
      <c r="P1847">
        <f>--(IPPU_Industry!P53&lt;-0.000000001)</f>
        <v>0</v>
      </c>
      <c r="Q1847">
        <f>--(IPPU_Industry!Q53&lt;-0.000000001)</f>
        <v>0</v>
      </c>
      <c r="R1847">
        <f>--(IPPU_Industry!R53&lt;-0.000000001)</f>
        <v>0</v>
      </c>
      <c r="S1847">
        <f>--(IPPU_Industry!S53&lt;-0.000000001)</f>
        <v>0</v>
      </c>
      <c r="T1847">
        <f>--(IPPU_Industry!T53&lt;-0.000000001)</f>
        <v>0</v>
      </c>
      <c r="U1847">
        <f>--(IPPU_Industry!U53&lt;-0.000000001)</f>
        <v>0</v>
      </c>
      <c r="V1847">
        <f>--(IPPU_Industry!V53&lt;-0.000000001)</f>
        <v>0</v>
      </c>
      <c r="W1847">
        <f>--(IPPU_Industry!W53&lt;-0.000000001)</f>
        <v>0</v>
      </c>
      <c r="X1847">
        <f>--(IPPU_Industry!X53&lt;-0.000000001)</f>
        <v>0</v>
      </c>
      <c r="Y1847">
        <f>--(IPPU_Industry!Y53&lt;-0.000000001)</f>
        <v>0</v>
      </c>
      <c r="Z1847">
        <f>--(IPPU_Industry!Z53&lt;-0.000000001)</f>
        <v>0</v>
      </c>
      <c r="AA1847">
        <f>--(IPPU_Industry!AA53&lt;-0.000000001)</f>
        <v>0</v>
      </c>
      <c r="AB1847">
        <f>--(IPPU_Industry!AB53&lt;-0.000000001)</f>
        <v>0</v>
      </c>
      <c r="AC1847">
        <f>--(IPPU_Industry!AC53&lt;-0.000000001)</f>
        <v>0</v>
      </c>
      <c r="AD1847">
        <f>--(IPPU_Industry!AD53&lt;-0.000000001)</f>
        <v>0</v>
      </c>
      <c r="AE1847">
        <f>--(IPPU_Industry!AE53&lt;-0.000000001)</f>
        <v>0</v>
      </c>
    </row>
    <row r="1848" spans="1:31" x14ac:dyDescent="0.45">
      <c r="A1848" t="s">
        <v>3246</v>
      </c>
      <c r="D1848">
        <v>1</v>
      </c>
      <c r="E1848" t="s">
        <v>2167</v>
      </c>
      <c r="F1848">
        <f t="shared" si="366"/>
        <v>20</v>
      </c>
      <c r="L1848">
        <f>--(IPPU_Industry!L58&lt;-0.000000001)</f>
        <v>1</v>
      </c>
      <c r="M1848">
        <f>--(IPPU_Industry!M58&lt;-0.000000001)</f>
        <v>1</v>
      </c>
      <c r="N1848">
        <f>--(IPPU_Industry!N58&lt;-0.000000001)</f>
        <v>1</v>
      </c>
      <c r="O1848">
        <f>--(IPPU_Industry!O58&lt;-0.000000001)</f>
        <v>1</v>
      </c>
      <c r="P1848">
        <f>--(IPPU_Industry!P58&lt;-0.000000001)</f>
        <v>1</v>
      </c>
      <c r="Q1848">
        <f>--(IPPU_Industry!Q58&lt;-0.000000001)</f>
        <v>1</v>
      </c>
      <c r="R1848">
        <f>--(IPPU_Industry!R58&lt;-0.000000001)</f>
        <v>1</v>
      </c>
      <c r="S1848">
        <f>--(IPPU_Industry!S58&lt;-0.000000001)</f>
        <v>1</v>
      </c>
      <c r="T1848">
        <f>--(IPPU_Industry!T58&lt;-0.000000001)</f>
        <v>1</v>
      </c>
      <c r="U1848">
        <f>--(IPPU_Industry!U58&lt;-0.000000001)</f>
        <v>1</v>
      </c>
      <c r="V1848">
        <f>--(IPPU_Industry!V58&lt;-0.000000001)</f>
        <v>1</v>
      </c>
      <c r="W1848">
        <f>--(IPPU_Industry!W58&lt;-0.000000001)</f>
        <v>1</v>
      </c>
      <c r="X1848">
        <f>--(IPPU_Industry!X58&lt;-0.000000001)</f>
        <v>1</v>
      </c>
      <c r="Y1848">
        <f>--(IPPU_Industry!Y58&lt;-0.000000001)</f>
        <v>1</v>
      </c>
      <c r="Z1848">
        <f>--(IPPU_Industry!Z58&lt;-0.000000001)</f>
        <v>1</v>
      </c>
      <c r="AA1848">
        <f>--(IPPU_Industry!AA58&lt;-0.000000001)</f>
        <v>1</v>
      </c>
      <c r="AB1848">
        <f>--(IPPU_Industry!AB58&lt;-0.000000001)</f>
        <v>1</v>
      </c>
      <c r="AC1848">
        <f>--(IPPU_Industry!AC58&lt;-0.000000001)</f>
        <v>1</v>
      </c>
      <c r="AD1848">
        <f>--(IPPU_Industry!AD58&lt;-0.000000001)</f>
        <v>1</v>
      </c>
      <c r="AE1848">
        <f>--(IPPU_Industry!AE58&lt;-0.000000001)</f>
        <v>1</v>
      </c>
    </row>
    <row r="1849" spans="1:31" x14ac:dyDescent="0.45">
      <c r="A1849" t="s">
        <v>3247</v>
      </c>
      <c r="D1849">
        <v>1</v>
      </c>
      <c r="E1849" t="s">
        <v>2167</v>
      </c>
      <c r="F1849">
        <f t="shared" si="366"/>
        <v>20</v>
      </c>
      <c r="L1849">
        <f>--(IPPU_Industry!L63&lt;-0.000000001)</f>
        <v>1</v>
      </c>
      <c r="M1849">
        <f>--(IPPU_Industry!M63&lt;-0.000000001)</f>
        <v>1</v>
      </c>
      <c r="N1849">
        <f>--(IPPU_Industry!N63&lt;-0.000000001)</f>
        <v>1</v>
      </c>
      <c r="O1849">
        <f>--(IPPU_Industry!O63&lt;-0.000000001)</f>
        <v>1</v>
      </c>
      <c r="P1849">
        <f>--(IPPU_Industry!P63&lt;-0.000000001)</f>
        <v>1</v>
      </c>
      <c r="Q1849">
        <f>--(IPPU_Industry!Q63&lt;-0.000000001)</f>
        <v>1</v>
      </c>
      <c r="R1849">
        <f>--(IPPU_Industry!R63&lt;-0.000000001)</f>
        <v>1</v>
      </c>
      <c r="S1849">
        <f>--(IPPU_Industry!S63&lt;-0.000000001)</f>
        <v>1</v>
      </c>
      <c r="T1849">
        <f>--(IPPU_Industry!T63&lt;-0.000000001)</f>
        <v>1</v>
      </c>
      <c r="U1849">
        <f>--(IPPU_Industry!U63&lt;-0.000000001)</f>
        <v>1</v>
      </c>
      <c r="V1849">
        <f>--(IPPU_Industry!V63&lt;-0.000000001)</f>
        <v>1</v>
      </c>
      <c r="W1849">
        <f>--(IPPU_Industry!W63&lt;-0.000000001)</f>
        <v>1</v>
      </c>
      <c r="X1849">
        <f>--(IPPU_Industry!X63&lt;-0.000000001)</f>
        <v>1</v>
      </c>
      <c r="Y1849">
        <f>--(IPPU_Industry!Y63&lt;-0.000000001)</f>
        <v>1</v>
      </c>
      <c r="Z1849">
        <f>--(IPPU_Industry!Z63&lt;-0.000000001)</f>
        <v>1</v>
      </c>
      <c r="AA1849">
        <f>--(IPPU_Industry!AA63&lt;-0.000000001)</f>
        <v>1</v>
      </c>
      <c r="AB1849">
        <f>--(IPPU_Industry!AB63&lt;-0.000000001)</f>
        <v>1</v>
      </c>
      <c r="AC1849">
        <f>--(IPPU_Industry!AC63&lt;-0.000000001)</f>
        <v>1</v>
      </c>
      <c r="AD1849">
        <f>--(IPPU_Industry!AD63&lt;-0.000000001)</f>
        <v>1</v>
      </c>
      <c r="AE1849">
        <f>--(IPPU_Industry!AE63&lt;-0.000000001)</f>
        <v>1</v>
      </c>
    </row>
    <row r="1850" spans="1:31" x14ac:dyDescent="0.45">
      <c r="A1850" t="s">
        <v>3248</v>
      </c>
      <c r="D1850">
        <v>1</v>
      </c>
      <c r="E1850" t="s">
        <v>2167</v>
      </c>
      <c r="F1850">
        <f t="shared" si="366"/>
        <v>20</v>
      </c>
      <c r="L1850">
        <f>--(IPPU_Industry!L68&lt;-0.000000001)</f>
        <v>1</v>
      </c>
      <c r="M1850">
        <f>--(IPPU_Industry!M68&lt;-0.000000001)</f>
        <v>1</v>
      </c>
      <c r="N1850">
        <f>--(IPPU_Industry!N68&lt;-0.000000001)</f>
        <v>1</v>
      </c>
      <c r="O1850">
        <f>--(IPPU_Industry!O68&lt;-0.000000001)</f>
        <v>1</v>
      </c>
      <c r="P1850">
        <f>--(IPPU_Industry!P68&lt;-0.000000001)</f>
        <v>1</v>
      </c>
      <c r="Q1850">
        <f>--(IPPU_Industry!Q68&lt;-0.000000001)</f>
        <v>1</v>
      </c>
      <c r="R1850">
        <f>--(IPPU_Industry!R68&lt;-0.000000001)</f>
        <v>1</v>
      </c>
      <c r="S1850">
        <f>--(IPPU_Industry!S68&lt;-0.000000001)</f>
        <v>1</v>
      </c>
      <c r="T1850">
        <f>--(IPPU_Industry!T68&lt;-0.000000001)</f>
        <v>1</v>
      </c>
      <c r="U1850">
        <f>--(IPPU_Industry!U68&lt;-0.000000001)</f>
        <v>1</v>
      </c>
      <c r="V1850">
        <f>--(IPPU_Industry!V68&lt;-0.000000001)</f>
        <v>1</v>
      </c>
      <c r="W1850">
        <f>--(IPPU_Industry!W68&lt;-0.000000001)</f>
        <v>1</v>
      </c>
      <c r="X1850">
        <f>--(IPPU_Industry!X68&lt;-0.000000001)</f>
        <v>1</v>
      </c>
      <c r="Y1850">
        <f>--(IPPU_Industry!Y68&lt;-0.000000001)</f>
        <v>1</v>
      </c>
      <c r="Z1850">
        <f>--(IPPU_Industry!Z68&lt;-0.000000001)</f>
        <v>1</v>
      </c>
      <c r="AA1850">
        <f>--(IPPU_Industry!AA68&lt;-0.000000001)</f>
        <v>1</v>
      </c>
      <c r="AB1850">
        <f>--(IPPU_Industry!AB68&lt;-0.000000001)</f>
        <v>1</v>
      </c>
      <c r="AC1850">
        <f>--(IPPU_Industry!AC68&lt;-0.000000001)</f>
        <v>1</v>
      </c>
      <c r="AD1850">
        <f>--(IPPU_Industry!AD68&lt;-0.000000001)</f>
        <v>1</v>
      </c>
      <c r="AE1850">
        <f>--(IPPU_Industry!AE68&lt;-0.000000001)</f>
        <v>1</v>
      </c>
    </row>
    <row r="1851" spans="1:31" x14ac:dyDescent="0.45">
      <c r="A1851" t="s">
        <v>3245</v>
      </c>
      <c r="D1851">
        <v>2</v>
      </c>
      <c r="E1851" t="s">
        <v>2167</v>
      </c>
      <c r="F1851">
        <f t="shared" si="366"/>
        <v>12</v>
      </c>
      <c r="L1851">
        <f>--(IPPU_Industry!L77&lt;-0.000000001)</f>
        <v>0</v>
      </c>
      <c r="M1851">
        <f>--(IPPU_Industry!M77&lt;-0.000000001)</f>
        <v>0</v>
      </c>
      <c r="N1851">
        <f>--(IPPU_Industry!N77&lt;-0.000000001)</f>
        <v>0</v>
      </c>
      <c r="O1851">
        <f>--(IPPU_Industry!O77&lt;-0.000000001)</f>
        <v>0</v>
      </c>
      <c r="P1851">
        <f>--(IPPU_Industry!P77&lt;-0.000000001)</f>
        <v>0</v>
      </c>
      <c r="Q1851">
        <f>--(IPPU_Industry!Q77&lt;-0.000000001)</f>
        <v>0</v>
      </c>
      <c r="R1851">
        <f>--(IPPU_Industry!R77&lt;-0.000000001)</f>
        <v>0</v>
      </c>
      <c r="S1851">
        <f>--(IPPU_Industry!S77&lt;-0.000000001)</f>
        <v>0</v>
      </c>
      <c r="T1851">
        <f>--(IPPU_Industry!T77&lt;-0.000000001)</f>
        <v>1</v>
      </c>
      <c r="U1851">
        <f>--(IPPU_Industry!U77&lt;-0.000000001)</f>
        <v>1</v>
      </c>
      <c r="V1851">
        <f>--(IPPU_Industry!V77&lt;-0.000000001)</f>
        <v>1</v>
      </c>
      <c r="W1851">
        <f>--(IPPU_Industry!W77&lt;-0.000000001)</f>
        <v>1</v>
      </c>
      <c r="X1851">
        <f>--(IPPU_Industry!X77&lt;-0.000000001)</f>
        <v>1</v>
      </c>
      <c r="Y1851">
        <f>--(IPPU_Industry!Y77&lt;-0.000000001)</f>
        <v>1</v>
      </c>
      <c r="Z1851">
        <f>--(IPPU_Industry!Z77&lt;-0.000000001)</f>
        <v>1</v>
      </c>
      <c r="AA1851">
        <f>--(IPPU_Industry!AA77&lt;-0.000000001)</f>
        <v>1</v>
      </c>
      <c r="AB1851">
        <f>--(IPPU_Industry!AB77&lt;-0.000000001)</f>
        <v>1</v>
      </c>
      <c r="AC1851">
        <f>--(IPPU_Industry!AC77&lt;-0.000000001)</f>
        <v>1</v>
      </c>
      <c r="AD1851">
        <f>--(IPPU_Industry!AD77&lt;-0.000000001)</f>
        <v>1</v>
      </c>
      <c r="AE1851">
        <f>--(IPPU_Industry!AE77&lt;-0.000000001)</f>
        <v>1</v>
      </c>
    </row>
    <row r="1852" spans="1:31" x14ac:dyDescent="0.45">
      <c r="A1852" t="s">
        <v>3246</v>
      </c>
      <c r="D1852">
        <v>2</v>
      </c>
      <c r="E1852" t="s">
        <v>2167</v>
      </c>
      <c r="F1852">
        <f t="shared" si="366"/>
        <v>20</v>
      </c>
      <c r="L1852">
        <f>--(IPPU_Industry!L82&lt;-0.000000001)</f>
        <v>1</v>
      </c>
      <c r="M1852">
        <f>--(IPPU_Industry!M82&lt;-0.000000001)</f>
        <v>1</v>
      </c>
      <c r="N1852">
        <f>--(IPPU_Industry!N82&lt;-0.000000001)</f>
        <v>1</v>
      </c>
      <c r="O1852">
        <f>--(IPPU_Industry!O82&lt;-0.000000001)</f>
        <v>1</v>
      </c>
      <c r="P1852">
        <f>--(IPPU_Industry!P82&lt;-0.000000001)</f>
        <v>1</v>
      </c>
      <c r="Q1852">
        <f>--(IPPU_Industry!Q82&lt;-0.000000001)</f>
        <v>1</v>
      </c>
      <c r="R1852">
        <f>--(IPPU_Industry!R82&lt;-0.000000001)</f>
        <v>1</v>
      </c>
      <c r="S1852">
        <f>--(IPPU_Industry!S82&lt;-0.000000001)</f>
        <v>1</v>
      </c>
      <c r="T1852">
        <f>--(IPPU_Industry!T82&lt;-0.000000001)</f>
        <v>1</v>
      </c>
      <c r="U1852">
        <f>--(IPPU_Industry!U82&lt;-0.000000001)</f>
        <v>1</v>
      </c>
      <c r="V1852">
        <f>--(IPPU_Industry!V82&lt;-0.000000001)</f>
        <v>1</v>
      </c>
      <c r="W1852">
        <f>--(IPPU_Industry!W82&lt;-0.000000001)</f>
        <v>1</v>
      </c>
      <c r="X1852">
        <f>--(IPPU_Industry!X82&lt;-0.000000001)</f>
        <v>1</v>
      </c>
      <c r="Y1852">
        <f>--(IPPU_Industry!Y82&lt;-0.000000001)</f>
        <v>1</v>
      </c>
      <c r="Z1852">
        <f>--(IPPU_Industry!Z82&lt;-0.000000001)</f>
        <v>1</v>
      </c>
      <c r="AA1852">
        <f>--(IPPU_Industry!AA82&lt;-0.000000001)</f>
        <v>1</v>
      </c>
      <c r="AB1852">
        <f>--(IPPU_Industry!AB82&lt;-0.000000001)</f>
        <v>1</v>
      </c>
      <c r="AC1852">
        <f>--(IPPU_Industry!AC82&lt;-0.000000001)</f>
        <v>1</v>
      </c>
      <c r="AD1852">
        <f>--(IPPU_Industry!AD82&lt;-0.000000001)</f>
        <v>1</v>
      </c>
      <c r="AE1852">
        <f>--(IPPU_Industry!AE82&lt;-0.000000001)</f>
        <v>1</v>
      </c>
    </row>
    <row r="1853" spans="1:31" x14ac:dyDescent="0.45">
      <c r="A1853" t="s">
        <v>3247</v>
      </c>
      <c r="D1853">
        <v>2</v>
      </c>
      <c r="E1853" t="s">
        <v>2167</v>
      </c>
      <c r="F1853">
        <f t="shared" si="366"/>
        <v>20</v>
      </c>
      <c r="L1853">
        <f>--(IPPU_Industry!L87&lt;-0.000000001)</f>
        <v>1</v>
      </c>
      <c r="M1853">
        <f>--(IPPU_Industry!M87&lt;-0.000000001)</f>
        <v>1</v>
      </c>
      <c r="N1853">
        <f>--(IPPU_Industry!N87&lt;-0.000000001)</f>
        <v>1</v>
      </c>
      <c r="O1853">
        <f>--(IPPU_Industry!O87&lt;-0.000000001)</f>
        <v>1</v>
      </c>
      <c r="P1853">
        <f>--(IPPU_Industry!P87&lt;-0.000000001)</f>
        <v>1</v>
      </c>
      <c r="Q1853">
        <f>--(IPPU_Industry!Q87&lt;-0.000000001)</f>
        <v>1</v>
      </c>
      <c r="R1853">
        <f>--(IPPU_Industry!R87&lt;-0.000000001)</f>
        <v>1</v>
      </c>
      <c r="S1853">
        <f>--(IPPU_Industry!S87&lt;-0.000000001)</f>
        <v>1</v>
      </c>
      <c r="T1853">
        <f>--(IPPU_Industry!T87&lt;-0.000000001)</f>
        <v>1</v>
      </c>
      <c r="U1853">
        <f>--(IPPU_Industry!U87&lt;-0.000000001)</f>
        <v>1</v>
      </c>
      <c r="V1853">
        <f>--(IPPU_Industry!V87&lt;-0.000000001)</f>
        <v>1</v>
      </c>
      <c r="W1853">
        <f>--(IPPU_Industry!W87&lt;-0.000000001)</f>
        <v>1</v>
      </c>
      <c r="X1853">
        <f>--(IPPU_Industry!X87&lt;-0.000000001)</f>
        <v>1</v>
      </c>
      <c r="Y1853">
        <f>--(IPPU_Industry!Y87&lt;-0.000000001)</f>
        <v>1</v>
      </c>
      <c r="Z1853">
        <f>--(IPPU_Industry!Z87&lt;-0.000000001)</f>
        <v>1</v>
      </c>
      <c r="AA1853">
        <f>--(IPPU_Industry!AA87&lt;-0.000000001)</f>
        <v>1</v>
      </c>
      <c r="AB1853">
        <f>--(IPPU_Industry!AB87&lt;-0.000000001)</f>
        <v>1</v>
      </c>
      <c r="AC1853">
        <f>--(IPPU_Industry!AC87&lt;-0.000000001)</f>
        <v>1</v>
      </c>
      <c r="AD1853">
        <f>--(IPPU_Industry!AD87&lt;-0.000000001)</f>
        <v>1</v>
      </c>
      <c r="AE1853">
        <f>--(IPPU_Industry!AE87&lt;-0.000000001)</f>
        <v>1</v>
      </c>
    </row>
    <row r="1854" spans="1:31" x14ac:dyDescent="0.45">
      <c r="A1854" t="s">
        <v>3248</v>
      </c>
      <c r="D1854">
        <v>2</v>
      </c>
      <c r="E1854" t="s">
        <v>2167</v>
      </c>
      <c r="F1854">
        <f t="shared" si="366"/>
        <v>20</v>
      </c>
      <c r="L1854">
        <f>--(IPPU_Industry!L92&lt;-0.000000001)</f>
        <v>1</v>
      </c>
      <c r="M1854">
        <f>--(IPPU_Industry!M92&lt;-0.000000001)</f>
        <v>1</v>
      </c>
      <c r="N1854">
        <f>--(IPPU_Industry!N92&lt;-0.000000001)</f>
        <v>1</v>
      </c>
      <c r="O1854">
        <f>--(IPPU_Industry!O92&lt;-0.000000001)</f>
        <v>1</v>
      </c>
      <c r="P1854">
        <f>--(IPPU_Industry!P92&lt;-0.000000001)</f>
        <v>1</v>
      </c>
      <c r="Q1854">
        <f>--(IPPU_Industry!Q92&lt;-0.000000001)</f>
        <v>1</v>
      </c>
      <c r="R1854">
        <f>--(IPPU_Industry!R92&lt;-0.000000001)</f>
        <v>1</v>
      </c>
      <c r="S1854">
        <f>--(IPPU_Industry!S92&lt;-0.000000001)</f>
        <v>1</v>
      </c>
      <c r="T1854">
        <f>--(IPPU_Industry!T92&lt;-0.000000001)</f>
        <v>1</v>
      </c>
      <c r="U1854">
        <f>--(IPPU_Industry!U92&lt;-0.000000001)</f>
        <v>1</v>
      </c>
      <c r="V1854">
        <f>--(IPPU_Industry!V92&lt;-0.000000001)</f>
        <v>1</v>
      </c>
      <c r="W1854">
        <f>--(IPPU_Industry!W92&lt;-0.000000001)</f>
        <v>1</v>
      </c>
      <c r="X1854">
        <f>--(IPPU_Industry!X92&lt;-0.000000001)</f>
        <v>1</v>
      </c>
      <c r="Y1854">
        <f>--(IPPU_Industry!Y92&lt;-0.000000001)</f>
        <v>1</v>
      </c>
      <c r="Z1854">
        <f>--(IPPU_Industry!Z92&lt;-0.000000001)</f>
        <v>1</v>
      </c>
      <c r="AA1854">
        <f>--(IPPU_Industry!AA92&lt;-0.000000001)</f>
        <v>1</v>
      </c>
      <c r="AB1854">
        <f>--(IPPU_Industry!AB92&lt;-0.000000001)</f>
        <v>1</v>
      </c>
      <c r="AC1854">
        <f>--(IPPU_Industry!AC92&lt;-0.000000001)</f>
        <v>1</v>
      </c>
      <c r="AD1854">
        <f>--(IPPU_Industry!AD92&lt;-0.000000001)</f>
        <v>1</v>
      </c>
      <c r="AE1854">
        <f>--(IPPU_Industry!AE92&lt;-0.000000001)</f>
        <v>1</v>
      </c>
    </row>
    <row r="1855" spans="1:31" x14ac:dyDescent="0.45">
      <c r="A1855" t="s">
        <v>3249</v>
      </c>
      <c r="D1855">
        <v>2</v>
      </c>
      <c r="E1855" t="s">
        <v>3250</v>
      </c>
      <c r="F1855">
        <f>MAX(MAX(L1855:AE1855),-MIN(L1855:AE1855))</f>
        <v>13.613511081620189</v>
      </c>
      <c r="L1855" s="148">
        <f>IPPU_Industry!L44</f>
        <v>0</v>
      </c>
      <c r="M1855" s="148">
        <f>IPPU_Industry!M44</f>
        <v>0</v>
      </c>
      <c r="N1855" s="148">
        <f>IPPU_Industry!N44</f>
        <v>0</v>
      </c>
      <c r="O1855" s="148">
        <f>IPPU_Industry!O44</f>
        <v>0</v>
      </c>
      <c r="P1855" s="148">
        <f>IPPU_Industry!P44</f>
        <v>0</v>
      </c>
      <c r="Q1855" s="148">
        <f>IPPU_Industry!Q44</f>
        <v>1.4090398681312308</v>
      </c>
      <c r="R1855" s="148">
        <f>IPPU_Industry!R44</f>
        <v>2.6673965235448378</v>
      </c>
      <c r="S1855" s="148">
        <f>IPPU_Industry!S44</f>
        <v>3.8181630055287599</v>
      </c>
      <c r="T1855" s="148">
        <f>IPPU_Industry!T44</f>
        <v>4.8795095359972152</v>
      </c>
      <c r="U1855" s="148">
        <f>IPPU_Industry!U44</f>
        <v>5.8802184098541375</v>
      </c>
      <c r="V1855" s="148">
        <f>IPPU_Industry!V44</f>
        <v>6.80772680646227</v>
      </c>
      <c r="W1855" s="148">
        <f>IPPU_Industry!W44</f>
        <v>7.6897753620378069</v>
      </c>
      <c r="X1855" s="148">
        <f>IPPU_Industry!X44</f>
        <v>8.5333569344649902</v>
      </c>
      <c r="Y1855" s="148">
        <f>IPPU_Industry!Y44</f>
        <v>9.3427525163357785</v>
      </c>
      <c r="Z1855" s="148">
        <f>IPPU_Industry!Z44</f>
        <v>10.11919326251622</v>
      </c>
      <c r="AA1855" s="148">
        <f>IPPU_Industry!AA44</f>
        <v>10.865381102071524</v>
      </c>
      <c r="AB1855" s="148">
        <f>IPPU_Industry!AB44</f>
        <v>11.584058705353883</v>
      </c>
      <c r="AC1855" s="148">
        <f>IPPU_Industry!AC44</f>
        <v>12.27945098871038</v>
      </c>
      <c r="AD1855" s="148">
        <f>IPPU_Industry!AD44</f>
        <v>12.955061337753065</v>
      </c>
      <c r="AE1855" s="148">
        <f>IPPU_Industry!AE44</f>
        <v>13.613511081620189</v>
      </c>
    </row>
    <row r="1857" spans="1:35" x14ac:dyDescent="0.45">
      <c r="A1857" t="s">
        <v>3251</v>
      </c>
    </row>
    <row r="1860" spans="1:35" x14ac:dyDescent="0.45">
      <c r="A1860" s="52" t="s">
        <v>3585</v>
      </c>
    </row>
    <row r="1861" spans="1:35" x14ac:dyDescent="0.45">
      <c r="A1861" t="s">
        <v>3591</v>
      </c>
      <c r="D1861" s="92">
        <f>MAX(F1864:F1869)</f>
        <v>0</v>
      </c>
    </row>
    <row r="1863" spans="1:35" x14ac:dyDescent="0.45">
      <c r="A1863" s="50" t="s">
        <v>1488</v>
      </c>
      <c r="B1863" s="50"/>
      <c r="C1863" s="50"/>
      <c r="D1863" s="50" t="s">
        <v>47</v>
      </c>
      <c r="E1863" s="50" t="s">
        <v>1156</v>
      </c>
      <c r="F1863" s="50" t="s">
        <v>1958</v>
      </c>
      <c r="G1863" s="50"/>
      <c r="H1863" s="50"/>
      <c r="I1863" s="50" t="s">
        <v>1489</v>
      </c>
      <c r="J1863" s="50"/>
      <c r="K1863" s="50">
        <v>2021</v>
      </c>
      <c r="L1863" s="50">
        <v>2022</v>
      </c>
      <c r="M1863" s="50">
        <v>2023</v>
      </c>
      <c r="N1863" s="50">
        <v>2024</v>
      </c>
      <c r="O1863" s="50">
        <v>2025</v>
      </c>
      <c r="P1863" s="50">
        <v>2026</v>
      </c>
      <c r="Q1863" s="50">
        <v>2027</v>
      </c>
      <c r="R1863" s="50">
        <v>2028</v>
      </c>
      <c r="S1863" s="50">
        <v>2029</v>
      </c>
      <c r="T1863" s="50">
        <v>2030</v>
      </c>
      <c r="U1863" s="50">
        <v>2031</v>
      </c>
      <c r="V1863" s="50">
        <v>2032</v>
      </c>
      <c r="W1863" s="50">
        <v>2033</v>
      </c>
      <c r="X1863" s="50">
        <v>2034</v>
      </c>
      <c r="Y1863" s="50">
        <v>2035</v>
      </c>
      <c r="Z1863" s="50">
        <v>2036</v>
      </c>
      <c r="AA1863" s="50">
        <v>2037</v>
      </c>
      <c r="AB1863" s="50">
        <v>2038</v>
      </c>
      <c r="AC1863" s="50">
        <v>2039</v>
      </c>
      <c r="AD1863" s="50">
        <v>2040</v>
      </c>
      <c r="AE1863" s="50">
        <v>2041</v>
      </c>
      <c r="AF1863" s="50">
        <v>2042</v>
      </c>
      <c r="AG1863" s="50">
        <v>2043</v>
      </c>
      <c r="AH1863" s="50">
        <v>2044</v>
      </c>
      <c r="AI1863" s="50">
        <v>2045</v>
      </c>
    </row>
    <row r="1864" spans="1:35" x14ac:dyDescent="0.45">
      <c r="A1864" t="s">
        <v>3586</v>
      </c>
      <c r="D1864" t="s">
        <v>77</v>
      </c>
      <c r="E1864" t="s">
        <v>1161</v>
      </c>
      <c r="F1864">
        <f>MAX(MAX(L1864:AE1864),-MIN(L1864:AE1864))</f>
        <v>0</v>
      </c>
      <c r="I1864">
        <v>0</v>
      </c>
      <c r="L1864">
        <f>MAX(ABS(CPAT_National!L27-CPAT_National!L26),ABS(CPAT_National!L28-CPAT_National!L26),ABS(CPAT_National!L29-CPAT_National!L26),ABS(CPAT_National!L35-CPAT_National!L34),ABS(CPAT_National!L36-CPAT_National!L34),ABS(CPAT_National!L37-CPAT_National!L34),ABS(CPAT_National!L43-CPAT_National!L42),ABS(CPAT_National!L44-CPAT_National!L42),ABS(CPAT_National!L45-CPAT_National!L42),ABS(CPAT_National!L51-CPAT_National!L50),ABS(CPAT_National!L52-CPAT_National!L50),ABS(CPAT_National!L53-CPAT_National!L50),ABS(CPAT_National!L59-CPAT_National!L58),ABS(CPAT_National!L60-CPAT_National!L58),ABS(CPAT_National!L61-CPAT_National!L58),ABS(CPAT_National!L67-CPAT_National!L66),ABS(CPAT_National!L68-CPAT_National!L66),ABS(CPAT_National!L69-CPAT_National!L66),ABS(CPAT_National!L83-CPAT_National!L82),ABS(CPAT_National!L84-CPAT_National!L82),ABS(CPAT_National!L85-CPAT_National!L82),ABS(CPAT_National!L91-CPAT_National!L90),ABS(CPAT_National!L92-CPAT_National!L90),ABS(CPAT_National!L93-CPAT_National!L90),ABS(CPAT_National!L123-CPAT_National!L122),ABS(CPAT_National!L124-CPAT_National!L122),ABS(CPAT_National!L125-CPAT_National!L122))</f>
        <v>0</v>
      </c>
      <c r="M1864">
        <f>MAX(ABS(CPAT_National!M27-CPAT_National!M26),ABS(CPAT_National!M28-CPAT_National!M26),ABS(CPAT_National!M29-CPAT_National!M26),ABS(CPAT_National!M35-CPAT_National!M34),ABS(CPAT_National!M36-CPAT_National!M34),ABS(CPAT_National!M37-CPAT_National!M34),ABS(CPAT_National!M43-CPAT_National!M42),ABS(CPAT_National!M44-CPAT_National!M42),ABS(CPAT_National!M45-CPAT_National!M42),ABS(CPAT_National!M51-CPAT_National!M50),ABS(CPAT_National!M52-CPAT_National!M50),ABS(CPAT_National!M53-CPAT_National!M50),ABS(CPAT_National!M59-CPAT_National!M58),ABS(CPAT_National!M60-CPAT_National!M58),ABS(CPAT_National!M61-CPAT_National!M58),ABS(CPAT_National!M67-CPAT_National!M66),ABS(CPAT_National!M68-CPAT_National!M66),ABS(CPAT_National!M69-CPAT_National!M66),ABS(CPAT_National!M83-CPAT_National!M82),ABS(CPAT_National!M84-CPAT_National!M82),ABS(CPAT_National!M85-CPAT_National!M82),ABS(CPAT_National!M91-CPAT_National!M90),ABS(CPAT_National!M92-CPAT_National!M90),ABS(CPAT_National!M93-CPAT_National!M90),ABS(CPAT_National!M123-CPAT_National!M122),ABS(CPAT_National!M124-CPAT_National!M122),ABS(CPAT_National!M125-CPAT_National!M122))</f>
        <v>0</v>
      </c>
      <c r="N1864">
        <f>MAX(ABS(CPAT_National!N27-CPAT_National!N26),ABS(CPAT_National!N28-CPAT_National!N26),ABS(CPAT_National!N29-CPAT_National!N26),ABS(CPAT_National!N35-CPAT_National!N34),ABS(CPAT_National!N36-CPAT_National!N34),ABS(CPAT_National!N37-CPAT_National!N34),ABS(CPAT_National!N43-CPAT_National!N42),ABS(CPAT_National!N44-CPAT_National!N42),ABS(CPAT_National!N45-CPAT_National!N42),ABS(CPAT_National!N51-CPAT_National!N50),ABS(CPAT_National!N52-CPAT_National!N50),ABS(CPAT_National!N53-CPAT_National!N50),ABS(CPAT_National!N59-CPAT_National!N58),ABS(CPAT_National!N60-CPAT_National!N58),ABS(CPAT_National!N61-CPAT_National!N58),ABS(CPAT_National!N67-CPAT_National!N66),ABS(CPAT_National!N68-CPAT_National!N66),ABS(CPAT_National!N69-CPAT_National!N66),ABS(CPAT_National!N83-CPAT_National!N82),ABS(CPAT_National!N84-CPAT_National!N82),ABS(CPAT_National!N85-CPAT_National!N82),ABS(CPAT_National!N91-CPAT_National!N90),ABS(CPAT_National!N92-CPAT_National!N90),ABS(CPAT_National!N93-CPAT_National!N90),ABS(CPAT_National!N123-CPAT_National!N122),ABS(CPAT_National!N124-CPAT_National!N122),ABS(CPAT_National!N125-CPAT_National!N122))</f>
        <v>0</v>
      </c>
      <c r="O1864">
        <f>MAX(ABS(CPAT_National!O27-CPAT_National!O26),ABS(CPAT_National!O28-CPAT_National!O26),ABS(CPAT_National!O29-CPAT_National!O26),ABS(CPAT_National!O35-CPAT_National!O34),ABS(CPAT_National!O36-CPAT_National!O34),ABS(CPAT_National!O37-CPAT_National!O34),ABS(CPAT_National!O43-CPAT_National!O42),ABS(CPAT_National!O44-CPAT_National!O42),ABS(CPAT_National!O45-CPAT_National!O42),ABS(CPAT_National!O51-CPAT_National!O50),ABS(CPAT_National!O52-CPAT_National!O50),ABS(CPAT_National!O53-CPAT_National!O50),ABS(CPAT_National!O59-CPAT_National!O58),ABS(CPAT_National!O60-CPAT_National!O58),ABS(CPAT_National!O61-CPAT_National!O58),ABS(CPAT_National!O67-CPAT_National!O66),ABS(CPAT_National!O68-CPAT_National!O66),ABS(CPAT_National!O69-CPAT_National!O66),ABS(CPAT_National!O83-CPAT_National!O82),ABS(CPAT_National!O84-CPAT_National!O82),ABS(CPAT_National!O85-CPAT_National!O82),ABS(CPAT_National!O91-CPAT_National!O90),ABS(CPAT_National!O92-CPAT_National!O90),ABS(CPAT_National!O93-CPAT_National!O90),ABS(CPAT_National!O123-CPAT_National!O122),ABS(CPAT_National!O124-CPAT_National!O122),ABS(CPAT_National!O125-CPAT_National!O122))</f>
        <v>0</v>
      </c>
      <c r="P1864">
        <f>MAX(ABS(CPAT_National!P27-CPAT_National!P26),ABS(CPAT_National!P28-CPAT_National!P26),ABS(CPAT_National!P29-CPAT_National!P26),ABS(CPAT_National!P35-CPAT_National!P34),ABS(CPAT_National!P36-CPAT_National!P34),ABS(CPAT_National!P37-CPAT_National!P34),ABS(CPAT_National!P43-CPAT_National!P42),ABS(CPAT_National!P44-CPAT_National!P42),ABS(CPAT_National!P45-CPAT_National!P42),ABS(CPAT_National!P51-CPAT_National!P50),ABS(CPAT_National!P52-CPAT_National!P50),ABS(CPAT_National!P53-CPAT_National!P50),ABS(CPAT_National!P59-CPAT_National!P58),ABS(CPAT_National!P60-CPAT_National!P58),ABS(CPAT_National!P61-CPAT_National!P58),ABS(CPAT_National!P67-CPAT_National!P66),ABS(CPAT_National!P68-CPAT_National!P66),ABS(CPAT_National!P69-CPAT_National!P66),ABS(CPAT_National!P83-CPAT_National!P82),ABS(CPAT_National!P84-CPAT_National!P82),ABS(CPAT_National!P85-CPAT_National!P82),ABS(CPAT_National!P91-CPAT_National!P90),ABS(CPAT_National!P92-CPAT_National!P90),ABS(CPAT_National!P93-CPAT_National!P90),ABS(CPAT_National!P123-CPAT_National!P122),ABS(CPAT_National!P124-CPAT_National!P122),ABS(CPAT_National!P125-CPAT_National!P122))</f>
        <v>0</v>
      </c>
      <c r="Q1864">
        <f>MAX(ABS(CPAT_National!Q27-CPAT_National!Q26),ABS(CPAT_National!Q28-CPAT_National!Q26),ABS(CPAT_National!Q29-CPAT_National!Q26),ABS(CPAT_National!Q35-CPAT_National!Q34),ABS(CPAT_National!Q36-CPAT_National!Q34),ABS(CPAT_National!Q37-CPAT_National!Q34),ABS(CPAT_National!Q43-CPAT_National!Q42),ABS(CPAT_National!Q44-CPAT_National!Q42),ABS(CPAT_National!Q45-CPAT_National!Q42),ABS(CPAT_National!Q51-CPAT_National!Q50),ABS(CPAT_National!Q52-CPAT_National!Q50),ABS(CPAT_National!Q53-CPAT_National!Q50),ABS(CPAT_National!Q59-CPAT_National!Q58),ABS(CPAT_National!Q60-CPAT_National!Q58),ABS(CPAT_National!Q61-CPAT_National!Q58),ABS(CPAT_National!Q67-CPAT_National!Q66),ABS(CPAT_National!Q68-CPAT_National!Q66),ABS(CPAT_National!Q69-CPAT_National!Q66),ABS(CPAT_National!Q83-CPAT_National!Q82),ABS(CPAT_National!Q84-CPAT_National!Q82),ABS(CPAT_National!Q85-CPAT_National!Q82),ABS(CPAT_National!Q91-CPAT_National!Q90),ABS(CPAT_National!Q92-CPAT_National!Q90),ABS(CPAT_National!Q93-CPAT_National!Q90),ABS(CPAT_National!Q123-CPAT_National!Q122),ABS(CPAT_National!Q124-CPAT_National!Q122),ABS(CPAT_National!Q125-CPAT_National!Q122))</f>
        <v>0</v>
      </c>
      <c r="R1864">
        <f>MAX(ABS(CPAT_National!R27-CPAT_National!R26),ABS(CPAT_National!R28-CPAT_National!R26),ABS(CPAT_National!R29-CPAT_National!R26),ABS(CPAT_National!R35-CPAT_National!R34),ABS(CPAT_National!R36-CPAT_National!R34),ABS(CPAT_National!R37-CPAT_National!R34),ABS(CPAT_National!R43-CPAT_National!R42),ABS(CPAT_National!R44-CPAT_National!R42),ABS(CPAT_National!R45-CPAT_National!R42),ABS(CPAT_National!R51-CPAT_National!R50),ABS(CPAT_National!R52-CPAT_National!R50),ABS(CPAT_National!R53-CPAT_National!R50),ABS(CPAT_National!R59-CPAT_National!R58),ABS(CPAT_National!R60-CPAT_National!R58),ABS(CPAT_National!R61-CPAT_National!R58),ABS(CPAT_National!R67-CPAT_National!R66),ABS(CPAT_National!R68-CPAT_National!R66),ABS(CPAT_National!R69-CPAT_National!R66),ABS(CPAT_National!R83-CPAT_National!R82),ABS(CPAT_National!R84-CPAT_National!R82),ABS(CPAT_National!R85-CPAT_National!R82),ABS(CPAT_National!R91-CPAT_National!R90),ABS(CPAT_National!R92-CPAT_National!R90),ABS(CPAT_National!R93-CPAT_National!R90),ABS(CPAT_National!R123-CPAT_National!R122),ABS(CPAT_National!R124-CPAT_National!R122),ABS(CPAT_National!R125-CPAT_National!R122))</f>
        <v>0</v>
      </c>
      <c r="S1864">
        <f>MAX(ABS(CPAT_National!S27-CPAT_National!S26),ABS(CPAT_National!S28-CPAT_National!S26),ABS(CPAT_National!S29-CPAT_National!S26),ABS(CPAT_National!S35-CPAT_National!S34),ABS(CPAT_National!S36-CPAT_National!S34),ABS(CPAT_National!S37-CPAT_National!S34),ABS(CPAT_National!S43-CPAT_National!S42),ABS(CPAT_National!S44-CPAT_National!S42),ABS(CPAT_National!S45-CPAT_National!S42),ABS(CPAT_National!S51-CPAT_National!S50),ABS(CPAT_National!S52-CPAT_National!S50),ABS(CPAT_National!S53-CPAT_National!S50),ABS(CPAT_National!S59-CPAT_National!S58),ABS(CPAT_National!S60-CPAT_National!S58),ABS(CPAT_National!S61-CPAT_National!S58),ABS(CPAT_National!S67-CPAT_National!S66),ABS(CPAT_National!S68-CPAT_National!S66),ABS(CPAT_National!S69-CPAT_National!S66),ABS(CPAT_National!S83-CPAT_National!S82),ABS(CPAT_National!S84-CPAT_National!S82),ABS(CPAT_National!S85-CPAT_National!S82),ABS(CPAT_National!S91-CPAT_National!S90),ABS(CPAT_National!S92-CPAT_National!S90),ABS(CPAT_National!S93-CPAT_National!S90),ABS(CPAT_National!S123-CPAT_National!S122),ABS(CPAT_National!S124-CPAT_National!S122),ABS(CPAT_National!S125-CPAT_National!S122))</f>
        <v>0</v>
      </c>
      <c r="T1864">
        <f>MAX(ABS(CPAT_National!T27-CPAT_National!T26),ABS(CPAT_National!T28-CPAT_National!T26),ABS(CPAT_National!T29-CPAT_National!T26),ABS(CPAT_National!T35-CPAT_National!T34),ABS(CPAT_National!T36-CPAT_National!T34),ABS(CPAT_National!T37-CPAT_National!T34),ABS(CPAT_National!T43-CPAT_National!T42),ABS(CPAT_National!T44-CPAT_National!T42),ABS(CPAT_National!T45-CPAT_National!T42),ABS(CPAT_National!T51-CPAT_National!T50),ABS(CPAT_National!T52-CPAT_National!T50),ABS(CPAT_National!T53-CPAT_National!T50),ABS(CPAT_National!T59-CPAT_National!T58),ABS(CPAT_National!T60-CPAT_National!T58),ABS(CPAT_National!T61-CPAT_National!T58),ABS(CPAT_National!T67-CPAT_National!T66),ABS(CPAT_National!T68-CPAT_National!T66),ABS(CPAT_National!T69-CPAT_National!T66),ABS(CPAT_National!T83-CPAT_National!T82),ABS(CPAT_National!T84-CPAT_National!T82),ABS(CPAT_National!T85-CPAT_National!T82),ABS(CPAT_National!T91-CPAT_National!T90),ABS(CPAT_National!T92-CPAT_National!T90),ABS(CPAT_National!T93-CPAT_National!T90),ABS(CPAT_National!T123-CPAT_National!T122),ABS(CPAT_National!T124-CPAT_National!T122),ABS(CPAT_National!T125-CPAT_National!T122))</f>
        <v>0</v>
      </c>
      <c r="U1864">
        <f>MAX(ABS(CPAT_National!U27-CPAT_National!U26),ABS(CPAT_National!U28-CPAT_National!U26),ABS(CPAT_National!U29-CPAT_National!U26),ABS(CPAT_National!U35-CPAT_National!U34),ABS(CPAT_National!U36-CPAT_National!U34),ABS(CPAT_National!U37-CPAT_National!U34),ABS(CPAT_National!U43-CPAT_National!U42),ABS(CPAT_National!U44-CPAT_National!U42),ABS(CPAT_National!U45-CPAT_National!U42),ABS(CPAT_National!U51-CPAT_National!U50),ABS(CPAT_National!U52-CPAT_National!U50),ABS(CPAT_National!U53-CPAT_National!U50),ABS(CPAT_National!U59-CPAT_National!U58),ABS(CPAT_National!U60-CPAT_National!U58),ABS(CPAT_National!U61-CPAT_National!U58),ABS(CPAT_National!U67-CPAT_National!U66),ABS(CPAT_National!U68-CPAT_National!U66),ABS(CPAT_National!U69-CPAT_National!U66),ABS(CPAT_National!U83-CPAT_National!U82),ABS(CPAT_National!U84-CPAT_National!U82),ABS(CPAT_National!U85-CPAT_National!U82),ABS(CPAT_National!U91-CPAT_National!U90),ABS(CPAT_National!U92-CPAT_National!U90),ABS(CPAT_National!U93-CPAT_National!U90),ABS(CPAT_National!U123-CPAT_National!U122),ABS(CPAT_National!U124-CPAT_National!U122),ABS(CPAT_National!U125-CPAT_National!U122))</f>
        <v>0</v>
      </c>
      <c r="V1864">
        <f>MAX(ABS(CPAT_National!V27-CPAT_National!V26),ABS(CPAT_National!V28-CPAT_National!V26),ABS(CPAT_National!V29-CPAT_National!V26),ABS(CPAT_National!V35-CPAT_National!V34),ABS(CPAT_National!V36-CPAT_National!V34),ABS(CPAT_National!V37-CPAT_National!V34),ABS(CPAT_National!V43-CPAT_National!V42),ABS(CPAT_National!V44-CPAT_National!V42),ABS(CPAT_National!V45-CPAT_National!V42),ABS(CPAT_National!V51-CPAT_National!V50),ABS(CPAT_National!V52-CPAT_National!V50),ABS(CPAT_National!V53-CPAT_National!V50),ABS(CPAT_National!V59-CPAT_National!V58),ABS(CPAT_National!V60-CPAT_National!V58),ABS(CPAT_National!V61-CPAT_National!V58),ABS(CPAT_National!V67-CPAT_National!V66),ABS(CPAT_National!V68-CPAT_National!V66),ABS(CPAT_National!V69-CPAT_National!V66),ABS(CPAT_National!V83-CPAT_National!V82),ABS(CPAT_National!V84-CPAT_National!V82),ABS(CPAT_National!V85-CPAT_National!V82),ABS(CPAT_National!V91-CPAT_National!V90),ABS(CPAT_National!V92-CPAT_National!V90),ABS(CPAT_National!V93-CPAT_National!V90),ABS(CPAT_National!V123-CPAT_National!V122),ABS(CPAT_National!V124-CPAT_National!V122),ABS(CPAT_National!V125-CPAT_National!V122))</f>
        <v>0</v>
      </c>
      <c r="W1864">
        <f>MAX(ABS(CPAT_National!W27-CPAT_National!W26),ABS(CPAT_National!W28-CPAT_National!W26),ABS(CPAT_National!W29-CPAT_National!W26),ABS(CPAT_National!W35-CPAT_National!W34),ABS(CPAT_National!W36-CPAT_National!W34),ABS(CPAT_National!W37-CPAT_National!W34),ABS(CPAT_National!W43-CPAT_National!W42),ABS(CPAT_National!W44-CPAT_National!W42),ABS(CPAT_National!W45-CPAT_National!W42),ABS(CPAT_National!W51-CPAT_National!W50),ABS(CPAT_National!W52-CPAT_National!W50),ABS(CPAT_National!W53-CPAT_National!W50),ABS(CPAT_National!W59-CPAT_National!W58),ABS(CPAT_National!W60-CPAT_National!W58),ABS(CPAT_National!W61-CPAT_National!W58),ABS(CPAT_National!W67-CPAT_National!W66),ABS(CPAT_National!W68-CPAT_National!W66),ABS(CPAT_National!W69-CPAT_National!W66),ABS(CPAT_National!W83-CPAT_National!W82),ABS(CPAT_National!W84-CPAT_National!W82),ABS(CPAT_National!W85-CPAT_National!W82),ABS(CPAT_National!W91-CPAT_National!W90),ABS(CPAT_National!W92-CPAT_National!W90),ABS(CPAT_National!W93-CPAT_National!W90),ABS(CPAT_National!W123-CPAT_National!W122),ABS(CPAT_National!W124-CPAT_National!W122),ABS(CPAT_National!W125-CPAT_National!W122))</f>
        <v>0</v>
      </c>
      <c r="X1864">
        <f>MAX(ABS(CPAT_National!X27-CPAT_National!X26),ABS(CPAT_National!X28-CPAT_National!X26),ABS(CPAT_National!X29-CPAT_National!X26),ABS(CPAT_National!X35-CPAT_National!X34),ABS(CPAT_National!X36-CPAT_National!X34),ABS(CPAT_National!X37-CPAT_National!X34),ABS(CPAT_National!X43-CPAT_National!X42),ABS(CPAT_National!X44-CPAT_National!X42),ABS(CPAT_National!X45-CPAT_National!X42),ABS(CPAT_National!X51-CPAT_National!X50),ABS(CPAT_National!X52-CPAT_National!X50),ABS(CPAT_National!X53-CPAT_National!X50),ABS(CPAT_National!X59-CPAT_National!X58),ABS(CPAT_National!X60-CPAT_National!X58),ABS(CPAT_National!X61-CPAT_National!X58),ABS(CPAT_National!X67-CPAT_National!X66),ABS(CPAT_National!X68-CPAT_National!X66),ABS(CPAT_National!X69-CPAT_National!X66),ABS(CPAT_National!X83-CPAT_National!X82),ABS(CPAT_National!X84-CPAT_National!X82),ABS(CPAT_National!X85-CPAT_National!X82),ABS(CPAT_National!X91-CPAT_National!X90),ABS(CPAT_National!X92-CPAT_National!X90),ABS(CPAT_National!X93-CPAT_National!X90),ABS(CPAT_National!X123-CPAT_National!X122),ABS(CPAT_National!X124-CPAT_National!X122),ABS(CPAT_National!X125-CPAT_National!X122))</f>
        <v>0</v>
      </c>
      <c r="Y1864">
        <f>MAX(ABS(CPAT_National!Y27-CPAT_National!Y26),ABS(CPAT_National!Y28-CPAT_National!Y26),ABS(CPAT_National!Y29-CPAT_National!Y26),ABS(CPAT_National!Y35-CPAT_National!Y34),ABS(CPAT_National!Y36-CPAT_National!Y34),ABS(CPAT_National!Y37-CPAT_National!Y34),ABS(CPAT_National!Y43-CPAT_National!Y42),ABS(CPAT_National!Y44-CPAT_National!Y42),ABS(CPAT_National!Y45-CPAT_National!Y42),ABS(CPAT_National!Y51-CPAT_National!Y50),ABS(CPAT_National!Y52-CPAT_National!Y50),ABS(CPAT_National!Y53-CPAT_National!Y50),ABS(CPAT_National!Y59-CPAT_National!Y58),ABS(CPAT_National!Y60-CPAT_National!Y58),ABS(CPAT_National!Y61-CPAT_National!Y58),ABS(CPAT_National!Y67-CPAT_National!Y66),ABS(CPAT_National!Y68-CPAT_National!Y66),ABS(CPAT_National!Y69-CPAT_National!Y66),ABS(CPAT_National!Y83-CPAT_National!Y82),ABS(CPAT_National!Y84-CPAT_National!Y82),ABS(CPAT_National!Y85-CPAT_National!Y82),ABS(CPAT_National!Y91-CPAT_National!Y90),ABS(CPAT_National!Y92-CPAT_National!Y90),ABS(CPAT_National!Y93-CPAT_National!Y90),ABS(CPAT_National!Y123-CPAT_National!Y122),ABS(CPAT_National!Y124-CPAT_National!Y122),ABS(CPAT_National!Y125-CPAT_National!Y122))</f>
        <v>0</v>
      </c>
      <c r="Z1864">
        <f>MAX(ABS(CPAT_National!Z27-CPAT_National!Z26),ABS(CPAT_National!Z28-CPAT_National!Z26),ABS(CPAT_National!Z29-CPAT_National!Z26),ABS(CPAT_National!Z35-CPAT_National!Z34),ABS(CPAT_National!Z36-CPAT_National!Z34),ABS(CPAT_National!Z37-CPAT_National!Z34),ABS(CPAT_National!Z43-CPAT_National!Z42),ABS(CPAT_National!Z44-CPAT_National!Z42),ABS(CPAT_National!Z45-CPAT_National!Z42),ABS(CPAT_National!Z51-CPAT_National!Z50),ABS(CPAT_National!Z52-CPAT_National!Z50),ABS(CPAT_National!Z53-CPAT_National!Z50),ABS(CPAT_National!Z59-CPAT_National!Z58),ABS(CPAT_National!Z60-CPAT_National!Z58),ABS(CPAT_National!Z61-CPAT_National!Z58),ABS(CPAT_National!Z67-CPAT_National!Z66),ABS(CPAT_National!Z68-CPAT_National!Z66),ABS(CPAT_National!Z69-CPAT_National!Z66),ABS(CPAT_National!Z83-CPAT_National!Z82),ABS(CPAT_National!Z84-CPAT_National!Z82),ABS(CPAT_National!Z85-CPAT_National!Z82),ABS(CPAT_National!Z91-CPAT_National!Z90),ABS(CPAT_National!Z92-CPAT_National!Z90),ABS(CPAT_National!Z93-CPAT_National!Z90),ABS(CPAT_National!Z123-CPAT_National!Z122),ABS(CPAT_National!Z124-CPAT_National!Z122),ABS(CPAT_National!Z125-CPAT_National!Z122))</f>
        <v>0</v>
      </c>
      <c r="AA1864">
        <f>MAX(ABS(CPAT_National!AA27-CPAT_National!AA26),ABS(CPAT_National!AA28-CPAT_National!AA26),ABS(CPAT_National!AA29-CPAT_National!AA26),ABS(CPAT_National!AA35-CPAT_National!AA34),ABS(CPAT_National!AA36-CPAT_National!AA34),ABS(CPAT_National!AA37-CPAT_National!AA34),ABS(CPAT_National!AA43-CPAT_National!AA42),ABS(CPAT_National!AA44-CPAT_National!AA42),ABS(CPAT_National!AA45-CPAT_National!AA42),ABS(CPAT_National!AA51-CPAT_National!AA50),ABS(CPAT_National!AA52-CPAT_National!AA50),ABS(CPAT_National!AA53-CPAT_National!AA50),ABS(CPAT_National!AA59-CPAT_National!AA58),ABS(CPAT_National!AA60-CPAT_National!AA58),ABS(CPAT_National!AA61-CPAT_National!AA58),ABS(CPAT_National!AA67-CPAT_National!AA66),ABS(CPAT_National!AA68-CPAT_National!AA66),ABS(CPAT_National!AA69-CPAT_National!AA66),ABS(CPAT_National!AA83-CPAT_National!AA82),ABS(CPAT_National!AA84-CPAT_National!AA82),ABS(CPAT_National!AA85-CPAT_National!AA82),ABS(CPAT_National!AA91-CPAT_National!AA90),ABS(CPAT_National!AA92-CPAT_National!AA90),ABS(CPAT_National!AA93-CPAT_National!AA90),ABS(CPAT_National!AA123-CPAT_National!AA122),ABS(CPAT_National!AA124-CPAT_National!AA122),ABS(CPAT_National!AA125-CPAT_National!AA122))</f>
        <v>0</v>
      </c>
      <c r="AB1864">
        <f>MAX(ABS(CPAT_National!AB27-CPAT_National!AB26),ABS(CPAT_National!AB28-CPAT_National!AB26),ABS(CPAT_National!AB29-CPAT_National!AB26),ABS(CPAT_National!AB35-CPAT_National!AB34),ABS(CPAT_National!AB36-CPAT_National!AB34),ABS(CPAT_National!AB37-CPAT_National!AB34),ABS(CPAT_National!AB43-CPAT_National!AB42),ABS(CPAT_National!AB44-CPAT_National!AB42),ABS(CPAT_National!AB45-CPAT_National!AB42),ABS(CPAT_National!AB51-CPAT_National!AB50),ABS(CPAT_National!AB52-CPAT_National!AB50),ABS(CPAT_National!AB53-CPAT_National!AB50),ABS(CPAT_National!AB59-CPAT_National!AB58),ABS(CPAT_National!AB60-CPAT_National!AB58),ABS(CPAT_National!AB61-CPAT_National!AB58),ABS(CPAT_National!AB67-CPAT_National!AB66),ABS(CPAT_National!AB68-CPAT_National!AB66),ABS(CPAT_National!AB69-CPAT_National!AB66),ABS(CPAT_National!AB83-CPAT_National!AB82),ABS(CPAT_National!AB84-CPAT_National!AB82),ABS(CPAT_National!AB85-CPAT_National!AB82),ABS(CPAT_National!AB91-CPAT_National!AB90),ABS(CPAT_National!AB92-CPAT_National!AB90),ABS(CPAT_National!AB93-CPAT_National!AB90),ABS(CPAT_National!AB123-CPAT_National!AB122),ABS(CPAT_National!AB124-CPAT_National!AB122),ABS(CPAT_National!AB125-CPAT_National!AB122))</f>
        <v>0</v>
      </c>
      <c r="AC1864">
        <f>MAX(ABS(CPAT_National!AC27-CPAT_National!AC26),ABS(CPAT_National!AC28-CPAT_National!AC26),ABS(CPAT_National!AC29-CPAT_National!AC26),ABS(CPAT_National!AC35-CPAT_National!AC34),ABS(CPAT_National!AC36-CPAT_National!AC34),ABS(CPAT_National!AC37-CPAT_National!AC34),ABS(CPAT_National!AC43-CPAT_National!AC42),ABS(CPAT_National!AC44-CPAT_National!AC42),ABS(CPAT_National!AC45-CPAT_National!AC42),ABS(CPAT_National!AC51-CPAT_National!AC50),ABS(CPAT_National!AC52-CPAT_National!AC50),ABS(CPAT_National!AC53-CPAT_National!AC50),ABS(CPAT_National!AC59-CPAT_National!AC58),ABS(CPAT_National!AC60-CPAT_National!AC58),ABS(CPAT_National!AC61-CPAT_National!AC58),ABS(CPAT_National!AC67-CPAT_National!AC66),ABS(CPAT_National!AC68-CPAT_National!AC66),ABS(CPAT_National!AC69-CPAT_National!AC66),ABS(CPAT_National!AC83-CPAT_National!AC82),ABS(CPAT_National!AC84-CPAT_National!AC82),ABS(CPAT_National!AC85-CPAT_National!AC82),ABS(CPAT_National!AC91-CPAT_National!AC90),ABS(CPAT_National!AC92-CPAT_National!AC90),ABS(CPAT_National!AC93-CPAT_National!AC90),ABS(CPAT_National!AC123-CPAT_National!AC122),ABS(CPAT_National!AC124-CPAT_National!AC122),ABS(CPAT_National!AC125-CPAT_National!AC122))</f>
        <v>0</v>
      </c>
      <c r="AD1864">
        <f>MAX(ABS(CPAT_National!AD27-CPAT_National!AD26),ABS(CPAT_National!AD28-CPAT_National!AD26),ABS(CPAT_National!AD29-CPAT_National!AD26),ABS(CPAT_National!AD35-CPAT_National!AD34),ABS(CPAT_National!AD36-CPAT_National!AD34),ABS(CPAT_National!AD37-CPAT_National!AD34),ABS(CPAT_National!AD43-CPAT_National!AD42),ABS(CPAT_National!AD44-CPAT_National!AD42),ABS(CPAT_National!AD45-CPAT_National!AD42),ABS(CPAT_National!AD51-CPAT_National!AD50),ABS(CPAT_National!AD52-CPAT_National!AD50),ABS(CPAT_National!AD53-CPAT_National!AD50),ABS(CPAT_National!AD59-CPAT_National!AD58),ABS(CPAT_National!AD60-CPAT_National!AD58),ABS(CPAT_National!AD61-CPAT_National!AD58),ABS(CPAT_National!AD67-CPAT_National!AD66),ABS(CPAT_National!AD68-CPAT_National!AD66),ABS(CPAT_National!AD69-CPAT_National!AD66),ABS(CPAT_National!AD83-CPAT_National!AD82),ABS(CPAT_National!AD84-CPAT_National!AD82),ABS(CPAT_National!AD85-CPAT_National!AD82),ABS(CPAT_National!AD91-CPAT_National!AD90),ABS(CPAT_National!AD92-CPAT_National!AD90),ABS(CPAT_National!AD93-CPAT_National!AD90),ABS(CPAT_National!AD123-CPAT_National!AD122),ABS(CPAT_National!AD124-CPAT_National!AD122),ABS(CPAT_National!AD125-CPAT_National!AD122))</f>
        <v>0</v>
      </c>
      <c r="AE1864">
        <f>MAX(ABS(CPAT_National!AE27-CPAT_National!AE26),ABS(CPAT_National!AE28-CPAT_National!AE26),ABS(CPAT_National!AE29-CPAT_National!AE26),ABS(CPAT_National!AE35-CPAT_National!AE34),ABS(CPAT_National!AE36-CPAT_National!AE34),ABS(CPAT_National!AE37-CPAT_National!AE34),ABS(CPAT_National!AE43-CPAT_National!AE42),ABS(CPAT_National!AE44-CPAT_National!AE42),ABS(CPAT_National!AE45-CPAT_National!AE42),ABS(CPAT_National!AE51-CPAT_National!AE50),ABS(CPAT_National!AE52-CPAT_National!AE50),ABS(CPAT_National!AE53-CPAT_National!AE50),ABS(CPAT_National!AE59-CPAT_National!AE58),ABS(CPAT_National!AE60-CPAT_National!AE58),ABS(CPAT_National!AE61-CPAT_National!AE58),ABS(CPAT_National!AE67-CPAT_National!AE66),ABS(CPAT_National!AE68-CPAT_National!AE66),ABS(CPAT_National!AE69-CPAT_National!AE66),ABS(CPAT_National!AE83-CPAT_National!AE82),ABS(CPAT_National!AE84-CPAT_National!AE82),ABS(CPAT_National!AE85-CPAT_National!AE82),ABS(CPAT_National!AE91-CPAT_National!AE90),ABS(CPAT_National!AE92-CPAT_National!AE90),ABS(CPAT_National!AE93-CPAT_National!AE90),ABS(CPAT_National!AE123-CPAT_National!AE122),ABS(CPAT_National!AE124-CPAT_National!AE122),ABS(CPAT_National!AE125-CPAT_National!AE122))</f>
        <v>0</v>
      </c>
    </row>
    <row r="1865" spans="1:35" x14ac:dyDescent="0.45">
      <c r="A1865" t="s">
        <v>3587</v>
      </c>
      <c r="D1865">
        <v>2</v>
      </c>
      <c r="E1865" t="s">
        <v>1161</v>
      </c>
      <c r="F1865">
        <f>MAX(MAX(L1865:AE1865),-MIN(L1865:AE1865))</f>
        <v>0</v>
      </c>
      <c r="I1865">
        <v>0</v>
      </c>
      <c r="L1865">
        <f>IF(Table2_Industry!$D$15="-",ABS(Table2_Industry!L84)+ABS(Table2_Industry!L83)+ABS(Table2_Industry!L92)+ABS(Table2_Industry!L94)+ABS(Table2_Industry!L96),0)</f>
        <v>0</v>
      </c>
      <c r="M1865">
        <f>IF(Table2_Industry!$D$15="-",ABS(Table2_Industry!M84)+ABS(Table2_Industry!M83)+ABS(Table2_Industry!M92)+ABS(Table2_Industry!M94)+ABS(Table2_Industry!M96),0)</f>
        <v>0</v>
      </c>
      <c r="N1865">
        <f>IF(Table2_Industry!$D$15="-",ABS(Table2_Industry!N84)+ABS(Table2_Industry!N83)+ABS(Table2_Industry!N92)+ABS(Table2_Industry!N94)+ABS(Table2_Industry!N96),0)</f>
        <v>0</v>
      </c>
      <c r="O1865">
        <f>IF(Table2_Industry!$D$15="-",ABS(Table2_Industry!O84)+ABS(Table2_Industry!O83)+ABS(Table2_Industry!O92)+ABS(Table2_Industry!O94)+ABS(Table2_Industry!O96),0)</f>
        <v>0</v>
      </c>
      <c r="P1865">
        <f>IF(Table2_Industry!$D$15="-",ABS(Table2_Industry!P84)+ABS(Table2_Industry!P83)+ABS(Table2_Industry!P92)+ABS(Table2_Industry!P94)+ABS(Table2_Industry!P96),0)</f>
        <v>0</v>
      </c>
      <c r="Q1865">
        <f>IF(Table2_Industry!$D$15="-",ABS(Table2_Industry!Q84)+ABS(Table2_Industry!Q83)+ABS(Table2_Industry!Q92)+ABS(Table2_Industry!Q94)+ABS(Table2_Industry!Q96),0)</f>
        <v>0</v>
      </c>
      <c r="R1865">
        <f>IF(Table2_Industry!$D$15="-",ABS(Table2_Industry!R84)+ABS(Table2_Industry!R83)+ABS(Table2_Industry!R92)+ABS(Table2_Industry!R94)+ABS(Table2_Industry!R96),0)</f>
        <v>0</v>
      </c>
      <c r="S1865">
        <f>IF(Table2_Industry!$D$15="-",ABS(Table2_Industry!S84)+ABS(Table2_Industry!S83)+ABS(Table2_Industry!S92)+ABS(Table2_Industry!S94)+ABS(Table2_Industry!S96),0)</f>
        <v>0</v>
      </c>
      <c r="T1865">
        <f>IF(Table2_Industry!$D$15="-",ABS(Table2_Industry!T84)+ABS(Table2_Industry!T83)+ABS(Table2_Industry!T92)+ABS(Table2_Industry!T94)+ABS(Table2_Industry!T96),0)</f>
        <v>0</v>
      </c>
      <c r="U1865">
        <f>IF(Table2_Industry!$D$15="-",ABS(Table2_Industry!U84)+ABS(Table2_Industry!U83)+ABS(Table2_Industry!U92)+ABS(Table2_Industry!U94)+ABS(Table2_Industry!U96),0)</f>
        <v>0</v>
      </c>
      <c r="V1865">
        <f>IF(Table2_Industry!$D$15="-",ABS(Table2_Industry!V84)+ABS(Table2_Industry!V83)+ABS(Table2_Industry!V92)+ABS(Table2_Industry!V94)+ABS(Table2_Industry!V96),0)</f>
        <v>0</v>
      </c>
      <c r="W1865">
        <f>IF(Table2_Industry!$D$15="-",ABS(Table2_Industry!W84)+ABS(Table2_Industry!W83)+ABS(Table2_Industry!W92)+ABS(Table2_Industry!W94)+ABS(Table2_Industry!W96),0)</f>
        <v>0</v>
      </c>
      <c r="X1865">
        <f>IF(Table2_Industry!$D$15="-",ABS(Table2_Industry!X84)+ABS(Table2_Industry!X83)+ABS(Table2_Industry!X92)+ABS(Table2_Industry!X94)+ABS(Table2_Industry!X96),0)</f>
        <v>0</v>
      </c>
      <c r="Y1865">
        <f>IF(Table2_Industry!$D$15="-",ABS(Table2_Industry!Y84)+ABS(Table2_Industry!Y83)+ABS(Table2_Industry!Y92)+ABS(Table2_Industry!Y94)+ABS(Table2_Industry!Y96),0)</f>
        <v>0</v>
      </c>
      <c r="Z1865">
        <f>IF(Table2_Industry!$D$15="-",ABS(Table2_Industry!Z84)+ABS(Table2_Industry!Z83)+ABS(Table2_Industry!Z92)+ABS(Table2_Industry!Z94)+ABS(Table2_Industry!Z96),0)</f>
        <v>0</v>
      </c>
      <c r="AA1865">
        <f>IF(Table2_Industry!$D$15="-",ABS(Table2_Industry!AA84)+ABS(Table2_Industry!AA83)+ABS(Table2_Industry!AA92)+ABS(Table2_Industry!AA94)+ABS(Table2_Industry!AA96),0)</f>
        <v>0</v>
      </c>
      <c r="AB1865">
        <f>IF(Table2_Industry!$D$15="-",ABS(Table2_Industry!AB84)+ABS(Table2_Industry!AB83)+ABS(Table2_Industry!AB92)+ABS(Table2_Industry!AB94)+ABS(Table2_Industry!AB96),0)</f>
        <v>0</v>
      </c>
      <c r="AC1865">
        <f>IF(Table2_Industry!$D$15="-",ABS(Table2_Industry!AC84)+ABS(Table2_Industry!AC83)+ABS(Table2_Industry!AC92)+ABS(Table2_Industry!AC94)+ABS(Table2_Industry!AC96),0)</f>
        <v>0</v>
      </c>
      <c r="AD1865">
        <f>IF(Table2_Industry!$D$15="-",ABS(Table2_Industry!AD84)+ABS(Table2_Industry!AD83)+ABS(Table2_Industry!AD92)+ABS(Table2_Industry!AD94)+ABS(Table2_Industry!AD96),0)</f>
        <v>0</v>
      </c>
      <c r="AE1865">
        <f>IF(Table2_Industry!$D$15="-",ABS(Table2_Industry!AE84)+ABS(Table2_Industry!AE83)+ABS(Table2_Industry!AE92)+ABS(Table2_Industry!AE94)+ABS(Table2_Industry!AE96),0)</f>
        <v>0</v>
      </c>
    </row>
    <row r="1866" spans="1:35" x14ac:dyDescent="0.45">
      <c r="A1866" t="s">
        <v>3669</v>
      </c>
      <c r="D1866">
        <v>2</v>
      </c>
      <c r="E1866" t="s">
        <v>1161</v>
      </c>
      <c r="F1866">
        <f>MAX(MAX(L1866:AE1866),-MIN(L1866:AE1866))</f>
        <v>0</v>
      </c>
      <c r="I1866">
        <v>0</v>
      </c>
      <c r="L1866">
        <f>IF(Table2_Industry!$D$15="-",0,Table2_Industry!L82-(Table2_Industry!L61+Table2_Industry!L64-Table2_Industry!L52))</f>
        <v>0</v>
      </c>
      <c r="M1866">
        <f>IF(Table2_Industry!$D$15="-",0,Table2_Industry!M82-(Table2_Industry!M61+Table2_Industry!M64-Table2_Industry!M52))</f>
        <v>0</v>
      </c>
      <c r="N1866">
        <f>IF(Table2_Industry!$D$15="-",0,Table2_Industry!N82-(Table2_Industry!N61+Table2_Industry!N64-Table2_Industry!N52))</f>
        <v>0</v>
      </c>
      <c r="O1866">
        <f>IF(Table2_Industry!$D$15="-",0,Table2_Industry!O82-(Table2_Industry!O61+Table2_Industry!O64-Table2_Industry!O52))</f>
        <v>0</v>
      </c>
      <c r="P1866">
        <f>IF(Table2_Industry!$D$15="-",0,Table2_Industry!P82-(Table2_Industry!P61+Table2_Industry!P64-Table2_Industry!P52))</f>
        <v>0</v>
      </c>
      <c r="Q1866">
        <f>IF(Table2_Industry!$D$15="-",0,Table2_Industry!Q82-(Table2_Industry!Q61+Table2_Industry!Q64-Table2_Industry!Q52))</f>
        <v>0</v>
      </c>
      <c r="R1866">
        <f>IF(Table2_Industry!$D$15="-",0,Table2_Industry!R82-(Table2_Industry!R61+Table2_Industry!R64-Table2_Industry!R52))</f>
        <v>0</v>
      </c>
      <c r="S1866">
        <f>IF(Table2_Industry!$D$15="-",0,Table2_Industry!S82-(Table2_Industry!S61+Table2_Industry!S64-Table2_Industry!S52))</f>
        <v>0</v>
      </c>
      <c r="T1866">
        <f>IF(Table2_Industry!$D$15="-",0,Table2_Industry!T82-(Table2_Industry!T61+Table2_Industry!T64-Table2_Industry!T52))</f>
        <v>0</v>
      </c>
      <c r="U1866">
        <f>IF(Table2_Industry!$D$15="-",0,Table2_Industry!U82-(Table2_Industry!U61+Table2_Industry!U64-Table2_Industry!U52))</f>
        <v>0</v>
      </c>
      <c r="V1866">
        <f>IF(Table2_Industry!$D$15="-",0,Table2_Industry!V82-(Table2_Industry!V61+Table2_Industry!V64-Table2_Industry!V52))</f>
        <v>0</v>
      </c>
      <c r="W1866">
        <f>IF(Table2_Industry!$D$15="-",0,Table2_Industry!W82-(Table2_Industry!W61+Table2_Industry!W64-Table2_Industry!W52))</f>
        <v>0</v>
      </c>
      <c r="X1866">
        <f>IF(Table2_Industry!$D$15="-",0,Table2_Industry!X82-(Table2_Industry!X61+Table2_Industry!X64-Table2_Industry!X52))</f>
        <v>0</v>
      </c>
      <c r="Y1866">
        <f>IF(Table2_Industry!$D$15="-",0,Table2_Industry!Y82-(Table2_Industry!Y61+Table2_Industry!Y64-Table2_Industry!Y52))</f>
        <v>0</v>
      </c>
      <c r="Z1866">
        <f>IF(Table2_Industry!$D$15="-",0,Table2_Industry!Z82-(Table2_Industry!Z61+Table2_Industry!Z64-Table2_Industry!Z52))</f>
        <v>0</v>
      </c>
      <c r="AA1866">
        <f>IF(Table2_Industry!$D$15="-",0,Table2_Industry!AA82-(Table2_Industry!AA61+Table2_Industry!AA64-Table2_Industry!AA52))</f>
        <v>0</v>
      </c>
      <c r="AB1866">
        <f>IF(Table2_Industry!$D$15="-",0,Table2_Industry!AB82-(Table2_Industry!AB61+Table2_Industry!AB64-Table2_Industry!AB52))</f>
        <v>0</v>
      </c>
      <c r="AC1866">
        <f>IF(Table2_Industry!$D$15="-",0,Table2_Industry!AC82-(Table2_Industry!AC61+Table2_Industry!AC64-Table2_Industry!AC52))</f>
        <v>0</v>
      </c>
      <c r="AD1866">
        <f>IF(Table2_Industry!$D$15="-",0,Table2_Industry!AD82-(Table2_Industry!AD61+Table2_Industry!AD64-Table2_Industry!AD52))</f>
        <v>0</v>
      </c>
      <c r="AE1866">
        <f>IF(Table2_Industry!$D$15="-",0,Table2_Industry!AE82-(Table2_Industry!AE61+Table2_Industry!AE64-Table2_Industry!AE52))</f>
        <v>0</v>
      </c>
    </row>
    <row r="1867" spans="1:35" x14ac:dyDescent="0.45">
      <c r="A1867" t="s">
        <v>3588</v>
      </c>
      <c r="D1867">
        <v>2</v>
      </c>
      <c r="E1867" t="s">
        <v>1161</v>
      </c>
      <c r="F1867">
        <f>MAX(MAX(L1867:AE1867),-MIN(L1867:AE1867))</f>
        <v>0</v>
      </c>
      <c r="I1867">
        <v>0</v>
      </c>
      <c r="L1867">
        <f>Table2_Industry!L83-IF(Table2_Industry!$D$15="-",0,Table2_Industry!L49+Table2_Industry!L81+Table2_Industry!L82)</f>
        <v>0</v>
      </c>
      <c r="M1867">
        <f>Table2_Industry!M83-IF(Table2_Industry!$D$15="-",0,Table2_Industry!M49+Table2_Industry!M81+Table2_Industry!M82)</f>
        <v>0</v>
      </c>
      <c r="N1867">
        <f>Table2_Industry!N83-IF(Table2_Industry!$D$15="-",0,Table2_Industry!N49+Table2_Industry!N81+Table2_Industry!N82)</f>
        <v>0</v>
      </c>
      <c r="O1867">
        <f>Table2_Industry!O83-IF(Table2_Industry!$D$15="-",0,Table2_Industry!O49+Table2_Industry!O81+Table2_Industry!O82)</f>
        <v>0</v>
      </c>
      <c r="P1867">
        <f>Table2_Industry!P83-IF(Table2_Industry!$D$15="-",0,Table2_Industry!P49+Table2_Industry!P81+Table2_Industry!P82)</f>
        <v>0</v>
      </c>
      <c r="Q1867">
        <f>Table2_Industry!Q83-IF(Table2_Industry!$D$15="-",0,Table2_Industry!Q49+Table2_Industry!Q81+Table2_Industry!Q82)</f>
        <v>0</v>
      </c>
      <c r="R1867">
        <f>Table2_Industry!R83-IF(Table2_Industry!$D$15="-",0,Table2_Industry!R49+Table2_Industry!R81+Table2_Industry!R82)</f>
        <v>0</v>
      </c>
      <c r="S1867">
        <f>Table2_Industry!S83-IF(Table2_Industry!$D$15="-",0,Table2_Industry!S49+Table2_Industry!S81+Table2_Industry!S82)</f>
        <v>0</v>
      </c>
      <c r="T1867">
        <f>Table2_Industry!T83-IF(Table2_Industry!$D$15="-",0,Table2_Industry!T49+Table2_Industry!T81+Table2_Industry!T82)</f>
        <v>0</v>
      </c>
      <c r="U1867">
        <f>Table2_Industry!U83-IF(Table2_Industry!$D$15="-",0,Table2_Industry!U49+Table2_Industry!U81+Table2_Industry!U82)</f>
        <v>0</v>
      </c>
      <c r="V1867">
        <f>Table2_Industry!V83-IF(Table2_Industry!$D$15="-",0,Table2_Industry!V49+Table2_Industry!V81+Table2_Industry!V82)</f>
        <v>0</v>
      </c>
      <c r="W1867">
        <f>Table2_Industry!W83-IF(Table2_Industry!$D$15="-",0,Table2_Industry!W49+Table2_Industry!W81+Table2_Industry!W82)</f>
        <v>0</v>
      </c>
      <c r="X1867">
        <f>Table2_Industry!X83-IF(Table2_Industry!$D$15="-",0,Table2_Industry!X49+Table2_Industry!X81+Table2_Industry!X82)</f>
        <v>0</v>
      </c>
      <c r="Y1867">
        <f>Table2_Industry!Y83-IF(Table2_Industry!$D$15="-",0,Table2_Industry!Y49+Table2_Industry!Y81+Table2_Industry!Y82)</f>
        <v>0</v>
      </c>
      <c r="Z1867">
        <f>Table2_Industry!Z83-IF(Table2_Industry!$D$15="-",0,Table2_Industry!Z49+Table2_Industry!Z81+Table2_Industry!Z82)</f>
        <v>0</v>
      </c>
      <c r="AA1867">
        <f>Table2_Industry!AA83-IF(Table2_Industry!$D$15="-",0,Table2_Industry!AA49+Table2_Industry!AA81+Table2_Industry!AA82)</f>
        <v>0</v>
      </c>
      <c r="AB1867">
        <f>Table2_Industry!AB83-IF(Table2_Industry!$D$15="-",0,Table2_Industry!AB49+Table2_Industry!AB81+Table2_Industry!AB82)</f>
        <v>0</v>
      </c>
      <c r="AC1867">
        <f>Table2_Industry!AC83-IF(Table2_Industry!$D$15="-",0,Table2_Industry!AC49+Table2_Industry!AC81+Table2_Industry!AC82)</f>
        <v>0</v>
      </c>
      <c r="AD1867">
        <f>Table2_Industry!AD83-IF(Table2_Industry!$D$15="-",0,Table2_Industry!AD49+Table2_Industry!AD81+Table2_Industry!AD82)</f>
        <v>0</v>
      </c>
      <c r="AE1867">
        <f>Table2_Industry!AE83-IF(Table2_Industry!$D$15="-",0,Table2_Industry!AE49+Table2_Industry!AE81+Table2_Industry!AE82)</f>
        <v>0</v>
      </c>
    </row>
    <row r="1868" spans="1:35" x14ac:dyDescent="0.45">
      <c r="A1868" t="s">
        <v>3589</v>
      </c>
      <c r="D1868">
        <v>2</v>
      </c>
      <c r="E1868" t="s">
        <v>2167</v>
      </c>
      <c r="F1868">
        <f>SUM(L1868:AE1868)</f>
        <v>0</v>
      </c>
      <c r="I1868">
        <v>0</v>
      </c>
      <c r="L1868">
        <f>--(Table2_Industry!L92&gt;Table2_Industry!L91+0.000000001)</f>
        <v>0</v>
      </c>
      <c r="M1868">
        <f>--(Table2_Industry!M92&gt;Table2_Industry!M91+0.000000001)</f>
        <v>0</v>
      </c>
      <c r="N1868">
        <f>--(Table2_Industry!N92&gt;Table2_Industry!N91+0.000000001)</f>
        <v>0</v>
      </c>
      <c r="O1868">
        <f>--(Table2_Industry!O92&gt;Table2_Industry!O91+0.000000001)</f>
        <v>0</v>
      </c>
      <c r="P1868">
        <f>--(Table2_Industry!P92&gt;Table2_Industry!P91+0.000000001)</f>
        <v>0</v>
      </c>
      <c r="Q1868">
        <f>--(Table2_Industry!Q92&gt;Table2_Industry!Q91+0.000000001)</f>
        <v>0</v>
      </c>
      <c r="R1868">
        <f>--(Table2_Industry!R92&gt;Table2_Industry!R91+0.000000001)</f>
        <v>0</v>
      </c>
      <c r="S1868">
        <f>--(Table2_Industry!S92&gt;Table2_Industry!S91+0.000000001)</f>
        <v>0</v>
      </c>
      <c r="T1868">
        <f>--(Table2_Industry!T92&gt;Table2_Industry!T91+0.000000001)</f>
        <v>0</v>
      </c>
      <c r="U1868">
        <f>--(Table2_Industry!U92&gt;Table2_Industry!U91+0.000000001)</f>
        <v>0</v>
      </c>
      <c r="V1868">
        <f>--(Table2_Industry!V92&gt;Table2_Industry!V91+0.000000001)</f>
        <v>0</v>
      </c>
      <c r="W1868">
        <f>--(Table2_Industry!W92&gt;Table2_Industry!W91+0.000000001)</f>
        <v>0</v>
      </c>
      <c r="X1868">
        <f>--(Table2_Industry!X92&gt;Table2_Industry!X91+0.000000001)</f>
        <v>0</v>
      </c>
      <c r="Y1868">
        <f>--(Table2_Industry!Y92&gt;Table2_Industry!Y91+0.000000001)</f>
        <v>0</v>
      </c>
      <c r="Z1868">
        <f>--(Table2_Industry!Z92&gt;Table2_Industry!Z91+0.000000001)</f>
        <v>0</v>
      </c>
      <c r="AA1868">
        <f>--(Table2_Industry!AA92&gt;Table2_Industry!AA91+0.000000001)</f>
        <v>0</v>
      </c>
      <c r="AB1868">
        <f>--(Table2_Industry!AB92&gt;Table2_Industry!AB91+0.000000001)</f>
        <v>0</v>
      </c>
      <c r="AC1868">
        <f>--(Table2_Industry!AC92&gt;Table2_Industry!AC91+0.000000001)</f>
        <v>0</v>
      </c>
      <c r="AD1868">
        <f>--(Table2_Industry!AD92&gt;Table2_Industry!AD91+0.000000001)</f>
        <v>0</v>
      </c>
      <c r="AE1868">
        <f>--(Table2_Industry!AE92&gt;Table2_Industry!AE91+0.000000001)</f>
        <v>0</v>
      </c>
    </row>
    <row r="1869" spans="1:35" x14ac:dyDescent="0.45">
      <c r="A1869" t="s">
        <v>3590</v>
      </c>
      <c r="D1869">
        <v>2</v>
      </c>
      <c r="E1869" t="s">
        <v>1161</v>
      </c>
      <c r="F1869">
        <f>IF(OR(Table2_Industry!$D$15="-",Table2_Industry!$D$19&lt;&gt;2030),0,SUMPRODUCT(ABS(Table2_Industry!$F$102:$Q$102-INDEX(Table2_Industry!$F$103:$Q$108,MATCH(Table2_Industry!$B$102,Table2_Industry!$B$103:$B$108,0),0))))</f>
        <v>0</v>
      </c>
      <c r="I1869">
        <v>0</v>
      </c>
    </row>
    <row r="1871" spans="1:35" x14ac:dyDescent="0.45">
      <c r="A1871" s="52" t="s">
        <v>3676</v>
      </c>
    </row>
    <row r="1872" spans="1:35" x14ac:dyDescent="0.45">
      <c r="A1872" t="s">
        <v>3592</v>
      </c>
      <c r="D1872">
        <v>2</v>
      </c>
      <c r="E1872" t="s">
        <v>3250</v>
      </c>
      <c r="F1872" s="133">
        <f>Table2_Industry!S103</f>
        <v>2.347950620250419</v>
      </c>
    </row>
    <row r="1873" spans="1:35" x14ac:dyDescent="0.45">
      <c r="A1873" t="s">
        <v>3593</v>
      </c>
      <c r="D1873">
        <v>2</v>
      </c>
      <c r="E1873" t="s">
        <v>3250</v>
      </c>
      <c r="F1873" s="133">
        <f>Table2_Industry!S104</f>
        <v>2.3475188847566706</v>
      </c>
    </row>
    <row r="1874" spans="1:35" x14ac:dyDescent="0.45">
      <c r="A1874" t="s">
        <v>3594</v>
      </c>
      <c r="D1874">
        <v>2</v>
      </c>
      <c r="E1874" t="s">
        <v>3250</v>
      </c>
      <c r="F1874" s="133">
        <f>Table2_Industry!S105</f>
        <v>2.6336123698808507</v>
      </c>
    </row>
    <row r="1875" spans="1:35" x14ac:dyDescent="0.45">
      <c r="A1875" t="s">
        <v>3595</v>
      </c>
      <c r="D1875">
        <v>2</v>
      </c>
      <c r="E1875" t="s">
        <v>3250</v>
      </c>
      <c r="F1875" s="133">
        <f>Table2_Industry!S106</f>
        <v>3.9414065436773029</v>
      </c>
    </row>
    <row r="1876" spans="1:35" x14ac:dyDescent="0.45">
      <c r="A1876" t="s">
        <v>3596</v>
      </c>
      <c r="D1876">
        <v>2</v>
      </c>
      <c r="E1876" t="s">
        <v>3250</v>
      </c>
      <c r="F1876" s="133">
        <f>Table2_Industry!S107</f>
        <v>2.1819899396107978</v>
      </c>
    </row>
    <row r="1877" spans="1:35" x14ac:dyDescent="0.45">
      <c r="A1877" t="s">
        <v>3597</v>
      </c>
      <c r="D1877">
        <v>2</v>
      </c>
      <c r="E1877" t="s">
        <v>3250</v>
      </c>
      <c r="F1877" s="133">
        <f>Table2_Industry!S108</f>
        <v>-2.283228353745038</v>
      </c>
    </row>
    <row r="1880" spans="1:35" x14ac:dyDescent="0.45">
      <c r="A1880" s="52" t="s">
        <v>3624</v>
      </c>
    </row>
    <row r="1881" spans="1:35" x14ac:dyDescent="0.45">
      <c r="A1881" t="s">
        <v>3637</v>
      </c>
      <c r="D1881" s="92">
        <f>IF(MAX(F1884:F1903)&lt;0.000000001,0,MAX(F1884:F1903))</f>
        <v>0</v>
      </c>
    </row>
    <row r="1883" spans="1:35" x14ac:dyDescent="0.45">
      <c r="A1883" s="50" t="s">
        <v>1488</v>
      </c>
      <c r="B1883" s="50"/>
      <c r="C1883" s="50"/>
      <c r="D1883" s="50"/>
      <c r="E1883" s="50" t="s">
        <v>1111</v>
      </c>
      <c r="F1883" s="50" t="s">
        <v>3625</v>
      </c>
      <c r="G1883" s="50"/>
      <c r="H1883" s="50"/>
      <c r="I1883" s="50" t="s">
        <v>1489</v>
      </c>
      <c r="J1883" s="50"/>
      <c r="K1883" s="50"/>
      <c r="L1883" s="50"/>
      <c r="M1883" s="50"/>
      <c r="N1883" s="50"/>
      <c r="O1883" s="50"/>
      <c r="P1883" s="50"/>
      <c r="Q1883" s="50"/>
      <c r="R1883" s="50"/>
      <c r="S1883" s="50"/>
      <c r="T1883" s="50"/>
      <c r="U1883" s="50"/>
      <c r="V1883" s="50"/>
      <c r="W1883" s="50"/>
      <c r="X1883" s="50"/>
      <c r="Y1883" s="50"/>
      <c r="Z1883" s="50"/>
      <c r="AA1883" s="50"/>
      <c r="AB1883" s="50"/>
      <c r="AC1883" s="50"/>
      <c r="AD1883" s="50"/>
      <c r="AE1883" s="50"/>
      <c r="AF1883" s="50"/>
      <c r="AG1883" s="50"/>
      <c r="AH1883" s="50"/>
      <c r="AI1883" s="50"/>
    </row>
    <row r="1884" spans="1:35" x14ac:dyDescent="0.45">
      <c r="A1884" t="s">
        <v>3626</v>
      </c>
      <c r="E1884" t="s">
        <v>1161</v>
      </c>
      <c r="F1884">
        <f>ABS('Manual inputs'!H30-0.17797725)+ABS('Manual inputs'!I30-0.39301352)+ABS('Manual inputs'!J30-0.03790102)+ABS('Manual inputs'!K30-0)</f>
        <v>0</v>
      </c>
      <c r="I1884">
        <v>0</v>
      </c>
    </row>
    <row r="1885" spans="1:35" x14ac:dyDescent="0.45">
      <c r="A1885" t="s">
        <v>3627</v>
      </c>
      <c r="E1885" t="s">
        <v>1161</v>
      </c>
      <c r="F1885">
        <f>ABS('Manual inputs'!H31-0.04488)+ABS('Manual inputs'!I31-0)+ABS('Manual inputs'!J31-0.04398115)+ABS('Manual inputs'!K31-0)</f>
        <v>0</v>
      </c>
      <c r="I1885">
        <v>0</v>
      </c>
    </row>
    <row r="1886" spans="1:35" x14ac:dyDescent="0.45">
      <c r="A1886" t="s">
        <v>3628</v>
      </c>
      <c r="E1886" t="s">
        <v>1161</v>
      </c>
      <c r="F1886">
        <f>ABS('Manual inputs'!H32-0.1683)+ABS('Manual inputs'!I32-1.25668027)+ABS('Manual inputs'!J32-0.05276542)+ABS('Manual inputs'!K32-0)</f>
        <v>0</v>
      </c>
      <c r="I1886">
        <v>0</v>
      </c>
    </row>
    <row r="1887" spans="1:35" x14ac:dyDescent="0.45">
      <c r="A1887" t="s">
        <v>3629</v>
      </c>
      <c r="E1887" t="s">
        <v>1161</v>
      </c>
      <c r="F1887">
        <f>ABS('Manual inputs'!H33-0.3135685)+ABS('Manual inputs'!I33-0)+ABS('Manual inputs'!J33-0.53702616)+ABS('Manual inputs'!K33-0)</f>
        <v>5.5511151231257827E-17</v>
      </c>
      <c r="I1887">
        <v>0</v>
      </c>
    </row>
    <row r="1888" spans="1:35" x14ac:dyDescent="0.45">
      <c r="A1888" t="s">
        <v>3630</v>
      </c>
      <c r="E1888" t="s">
        <v>1161</v>
      </c>
      <c r="F1888">
        <f>ABS('Manual inputs'!H34-0.71247)+ABS('Manual inputs'!I34-1.26225)+ABS('Manual inputs'!J34-0)+ABS('Manual inputs'!K34-0)</f>
        <v>0</v>
      </c>
      <c r="I1888">
        <v>0</v>
      </c>
    </row>
    <row r="1889" spans="1:9" x14ac:dyDescent="0.45">
      <c r="A1889" t="s">
        <v>3631</v>
      </c>
      <c r="E1889" t="s">
        <v>1161</v>
      </c>
      <c r="F1889">
        <f>ABS('Manual inputs'!H35-0.1122)+ABS('Manual inputs'!I35-0)+ABS('Manual inputs'!J35-0)+ABS('Manual inputs'!K35-0)</f>
        <v>0</v>
      </c>
      <c r="I1889">
        <v>0</v>
      </c>
    </row>
    <row r="1890" spans="1:9" x14ac:dyDescent="0.45">
      <c r="A1890" t="s">
        <v>3632</v>
      </c>
      <c r="E1890" t="s">
        <v>1161</v>
      </c>
      <c r="F1890">
        <f>ABS('Manual inputs'!H36-0.1122)+ABS('Manual inputs'!I36-0)+ABS('Manual inputs'!J36-0)+ABS('Manual inputs'!K36-0.9944125)</f>
        <v>0</v>
      </c>
      <c r="I1890">
        <v>0</v>
      </c>
    </row>
    <row r="1891" spans="1:9" x14ac:dyDescent="0.45">
      <c r="A1891" t="s">
        <v>3633</v>
      </c>
      <c r="E1891" t="s">
        <v>1161</v>
      </c>
      <c r="F1891">
        <f>ABS('Manual inputs'!H37-0.12342)+ABS('Manual inputs'!I37-0)+ABS('Manual inputs'!J37-1.62349304)+ABS('Manual inputs'!K37-0.774)</f>
        <v>0</v>
      </c>
      <c r="I1891">
        <v>0</v>
      </c>
    </row>
    <row r="1892" spans="1:9" x14ac:dyDescent="0.45">
      <c r="A1892" t="s">
        <v>3634</v>
      </c>
      <c r="E1892" t="s">
        <v>1161</v>
      </c>
      <c r="F1892">
        <f>ABS('Manual inputs'!M35-1.1255904)</f>
        <v>0</v>
      </c>
      <c r="I1892">
        <v>0</v>
      </c>
    </row>
    <row r="1893" spans="1:9" x14ac:dyDescent="0.45">
      <c r="A1893" t="s">
        <v>3635</v>
      </c>
      <c r="E1893" t="s">
        <v>1161</v>
      </c>
      <c r="F1893">
        <f>ABS('Manual inputs'!M36-0.8462122)</f>
        <v>0</v>
      </c>
      <c r="I1893">
        <v>0</v>
      </c>
    </row>
    <row r="1894" spans="1:9" x14ac:dyDescent="0.45">
      <c r="A1894" t="s">
        <v>3636</v>
      </c>
      <c r="E1894" t="s">
        <v>1161</v>
      </c>
      <c r="F1894">
        <f>IF('Manual inputs'!E50="IPCC",0,1)</f>
        <v>0</v>
      </c>
      <c r="I1894">
        <v>0</v>
      </c>
    </row>
    <row r="1895" spans="1:9" x14ac:dyDescent="0.45">
      <c r="A1895" t="s">
        <v>3648</v>
      </c>
      <c r="E1895" t="s">
        <v>1161</v>
      </c>
      <c r="F1895">
        <f>IF(ABS('Manual inputs'!U53*(1-EXP(-'Manual inputs'!T53*122))-0.3433)&lt;=0.000001,0,1)</f>
        <v>0</v>
      </c>
      <c r="I1895">
        <v>0</v>
      </c>
    </row>
    <row r="1896" spans="1:9" x14ac:dyDescent="0.45">
      <c r="A1896" t="s">
        <v>3649</v>
      </c>
      <c r="E1896" t="s">
        <v>1161</v>
      </c>
      <c r="F1896">
        <f>ABS('Manual inputs'!U53*(1-EXP(-'Manual inputs'!T53*122))-0.3433)+ABS('Manual inputs'!W53*(1-EXP(-'Manual inputs'!V53*122))-0)</f>
        <v>5.5511151231257827E-17</v>
      </c>
      <c r="I1896">
        <v>0</v>
      </c>
    </row>
    <row r="1897" spans="1:9" x14ac:dyDescent="0.45">
      <c r="A1897" t="s">
        <v>3650</v>
      </c>
      <c r="E1897" t="s">
        <v>1161</v>
      </c>
      <c r="F1897">
        <f>ABS('Manual inputs'!U54*(1-EXP(-'Manual inputs'!T54*122))-0.181)+ABS('Manual inputs'!W54*(1-EXP(-'Manual inputs'!V54*122))-0)</f>
        <v>5.5511151231257827E-17</v>
      </c>
      <c r="I1897">
        <v>0</v>
      </c>
    </row>
    <row r="1898" spans="1:9" x14ac:dyDescent="0.45">
      <c r="A1898" t="s">
        <v>3651</v>
      </c>
      <c r="E1898" t="s">
        <v>1161</v>
      </c>
      <c r="F1898">
        <f>ABS('Manual inputs'!U55*(1-EXP(-'Manual inputs'!T55*122))-0.2803)+ABS('Manual inputs'!W55*(1-EXP(-'Manual inputs'!V55*122))-0)</f>
        <v>0</v>
      </c>
      <c r="I1898">
        <v>0</v>
      </c>
    </row>
    <row r="1899" spans="1:9" x14ac:dyDescent="0.45">
      <c r="A1899" t="s">
        <v>3652</v>
      </c>
      <c r="E1899" t="s">
        <v>1161</v>
      </c>
      <c r="F1899">
        <f>ABS('Manual inputs'!U56*(1-EXP(-'Manual inputs'!T56*122))-0.3352)+ABS('Manual inputs'!W56*(1-EXP(-'Manual inputs'!V56*122))-0)</f>
        <v>5.5511151231257827E-17</v>
      </c>
      <c r="I1899">
        <v>0</v>
      </c>
    </row>
    <row r="1900" spans="1:9" x14ac:dyDescent="0.45">
      <c r="A1900" t="s">
        <v>3653</v>
      </c>
      <c r="E1900" t="s">
        <v>1161</v>
      </c>
      <c r="F1900">
        <f>ABS('Manual inputs'!U57*(1-EXP(-'Manual inputs'!T57*122))-0)+ABS('Manual inputs'!W57*(1-EXP(-'Manual inputs'!V57*122))-0)</f>
        <v>0</v>
      </c>
      <c r="I1900">
        <v>0</v>
      </c>
    </row>
    <row r="1901" spans="1:9" x14ac:dyDescent="0.45">
      <c r="A1901" t="s">
        <v>3654</v>
      </c>
      <c r="E1901" t="s">
        <v>1161</v>
      </c>
      <c r="F1901">
        <f>ABS('Manual inputs'!U58*(1-EXP(-'Manual inputs'!T58*122))-0)+ABS('Manual inputs'!W58*(1-EXP(-'Manual inputs'!V58*122))-0)</f>
        <v>0</v>
      </c>
      <c r="I1901">
        <v>0</v>
      </c>
    </row>
    <row r="1902" spans="1:9" x14ac:dyDescent="0.45">
      <c r="A1902" t="s">
        <v>3655</v>
      </c>
      <c r="E1902" t="s">
        <v>1161</v>
      </c>
      <c r="F1902">
        <f>ABS('Manual inputs'!U59*(1-EXP(-'Manual inputs'!T59*122))-0)+ABS('Manual inputs'!W59*(1-EXP(-'Manual inputs'!V59*122))-0.6179)</f>
        <v>1.1102230246251565E-16</v>
      </c>
      <c r="I1902">
        <v>0</v>
      </c>
    </row>
    <row r="1903" spans="1:9" x14ac:dyDescent="0.45">
      <c r="A1903" t="s">
        <v>3656</v>
      </c>
      <c r="E1903" t="s">
        <v>1161</v>
      </c>
      <c r="F1903">
        <f>ABS('Manual inputs'!U60*(1-EXP(-'Manual inputs'!T60*122))-0.2164)+ABS('Manual inputs'!W60*(1-EXP(-'Manual inputs'!V60*122))-0.2164)</f>
        <v>5.5511151231257827E-17</v>
      </c>
      <c r="I1903">
        <v>0</v>
      </c>
    </row>
    <row r="1906" spans="1:35" x14ac:dyDescent="0.45">
      <c r="A1906" s="52" t="s">
        <v>3677</v>
      </c>
    </row>
    <row r="1907" spans="1:35" x14ac:dyDescent="0.45">
      <c r="A1907" t="s">
        <v>3684</v>
      </c>
      <c r="D1907" s="92">
        <f>IF(MAX(F1910:F1915)&lt;0.000001,0,MAX(F1910:F1915))</f>
        <v>0</v>
      </c>
    </row>
    <row r="1909" spans="1:35" x14ac:dyDescent="0.45">
      <c r="A1909" s="50" t="s">
        <v>1488</v>
      </c>
      <c r="B1909" s="50"/>
      <c r="C1909" s="50"/>
      <c r="D1909" s="50"/>
      <c r="E1909" s="50" t="s">
        <v>1111</v>
      </c>
      <c r="F1909" s="50" t="s">
        <v>3625</v>
      </c>
      <c r="G1909" s="50"/>
      <c r="H1909" s="50"/>
      <c r="I1909" s="50" t="s">
        <v>1489</v>
      </c>
      <c r="J1909" s="50"/>
      <c r="K1909" s="50"/>
      <c r="L1909" s="50"/>
      <c r="M1909" s="50"/>
      <c r="N1909" s="50"/>
      <c r="O1909" s="50"/>
      <c r="P1909" s="50"/>
      <c r="Q1909" s="50"/>
      <c r="R1909" s="50"/>
      <c r="S1909" s="50"/>
      <c r="T1909" s="50"/>
      <c r="U1909" s="50"/>
      <c r="V1909" s="50"/>
      <c r="W1909" s="50"/>
      <c r="X1909" s="50"/>
      <c r="Y1909" s="50"/>
      <c r="Z1909" s="50"/>
      <c r="AA1909" s="50"/>
      <c r="AB1909" s="50"/>
      <c r="AC1909" s="50"/>
      <c r="AD1909" s="50"/>
      <c r="AE1909" s="50"/>
      <c r="AF1909" s="50"/>
      <c r="AG1909" s="50"/>
      <c r="AH1909" s="50"/>
      <c r="AI1909" s="50"/>
    </row>
    <row r="1910" spans="1:35" x14ac:dyDescent="0.45">
      <c r="A1910" t="s">
        <v>3678</v>
      </c>
      <c r="E1910" t="s">
        <v>1161</v>
      </c>
      <c r="F1910">
        <f>SUMPRODUCT(('Manual inputs'!$E$53:$E$60&gt;0)*ABS('Manual inputs'!$F$53:$F$60-122))+SUMPRODUCT(('Manual inputs'!$I$53:$I$60&gt;0)*ABS('Manual inputs'!$J$53:$J$60-122))</f>
        <v>0</v>
      </c>
      <c r="I1910">
        <v>0</v>
      </c>
    </row>
    <row r="1911" spans="1:35" x14ac:dyDescent="0.45">
      <c r="A1911" t="s">
        <v>3679</v>
      </c>
      <c r="E1911" t="s">
        <v>1161</v>
      </c>
      <c r="F1911">
        <f>SUMPRODUCT(ABS(Fund_Industry!$L$407:$AE$407))</f>
        <v>0</v>
      </c>
      <c r="I1911">
        <v>0</v>
      </c>
    </row>
    <row r="1912" spans="1:35" x14ac:dyDescent="0.45">
      <c r="A1912" t="s">
        <v>3680</v>
      </c>
      <c r="E1912" t="s">
        <v>1161</v>
      </c>
      <c r="F1912">
        <f>SUMPRODUCT(--(Table2_Industry!$L$59:$AE$59&lt;IPPU_Industry!$L$17:$AE$17-0.000000001))</f>
        <v>0</v>
      </c>
      <c r="I1912">
        <v>0</v>
      </c>
    </row>
    <row r="1913" spans="1:35" x14ac:dyDescent="0.45">
      <c r="A1913" t="s">
        <v>3681</v>
      </c>
      <c r="E1913" t="s">
        <v>1161</v>
      </c>
      <c r="F1913">
        <f>SUMPRODUCT(--(Table2_Industry!$L$63:$AE$63&lt;-0.000000001))</f>
        <v>0</v>
      </c>
      <c r="I1913">
        <v>0</v>
      </c>
    </row>
    <row r="1914" spans="1:35" x14ac:dyDescent="0.45">
      <c r="A1914" t="s">
        <v>3682</v>
      </c>
      <c r="E1914" t="s">
        <v>1161</v>
      </c>
      <c r="F1914">
        <f>SUMPRODUCT(ABS(Table2_Industry!$L$59:$AE$59+Table2_Industry!$L$63:$AE$63-Table2_Industry!$L$62:$AE$62))</f>
        <v>3.5527136788005009E-14</v>
      </c>
      <c r="I1914">
        <v>0</v>
      </c>
    </row>
    <row r="1915" spans="1:35" x14ac:dyDescent="0.45">
      <c r="A1915" t="s">
        <v>3683</v>
      </c>
      <c r="E1915" t="s">
        <v>1161</v>
      </c>
      <c r="F1915">
        <f>SUMPRODUCT((Table2_Industry!$L$54:$AE$54&lt;=0)+(Table2_Industry!$L$54:$AE$54&gt;1))</f>
        <v>0</v>
      </c>
      <c r="I1915">
        <v>0</v>
      </c>
    </row>
    <row r="1918" spans="1:35" x14ac:dyDescent="0.45">
      <c r="A1918" s="52" t="s">
        <v>3785</v>
      </c>
    </row>
    <row r="1919" spans="1:35" x14ac:dyDescent="0.45">
      <c r="A1919" t="s">
        <v>3786</v>
      </c>
      <c r="D1919" s="92" t="str">
        <f>CarveOut_Table2!D88</f>
        <v>n/a</v>
      </c>
    </row>
    <row r="1920" spans="1:35" x14ac:dyDescent="0.45">
      <c r="A1920" t="s">
        <v>3787</v>
      </c>
      <c r="D1920">
        <f>IFERROR(CarveOut_Table2!D52,"n/a")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Settings</vt:lpstr>
      <vt:lpstr>Manual inputs</vt:lpstr>
      <vt:lpstr>Scenarios</vt:lpstr>
      <vt:lpstr>Mitigation_Industry</vt:lpstr>
      <vt:lpstr>Emissions_Industry</vt:lpstr>
      <vt:lpstr>Rebate_Industry</vt:lpstr>
      <vt:lpstr>Fund_Industry</vt:lpstr>
      <vt:lpstr>IPPU_Industry</vt:lpstr>
      <vt:lpstr>CPAT_National</vt:lpstr>
      <vt:lpstr>Table2_Industry</vt:lpstr>
      <vt:lpstr>CarveOut_Table2</vt:lpstr>
      <vt:lpstr>MTInputs</vt:lpstr>
      <vt:lpstr>Data_Energy</vt:lpstr>
      <vt:lpstr>Data_Prices</vt:lpstr>
      <vt:lpstr>Data_Macro</vt:lpstr>
      <vt:lpstr>Data_Elast</vt:lpstr>
      <vt:lpstr>Data_EF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Stretton</dc:creator>
  <dc:description/>
  <cp:lastModifiedBy>Stephen John Stretton</cp:lastModifiedBy>
  <cp:revision>0</cp:revision>
  <dcterms:created xsi:type="dcterms:W3CDTF">2026-10-01T19:36:19Z</dcterms:created>
  <dcterms:modified xsi:type="dcterms:W3CDTF">2026-10-03T02:36:14Z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